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1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12.xml" ContentType="application/vnd.openxmlformats-officedocument.spreadsheetml.work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worksheets/sheet14.xml" ContentType="application/vnd.openxmlformats-officedocument.spreadsheetml.work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chartsheets/sheet20.xml" ContentType="application/vnd.openxmlformats-officedocument.spreadsheetml.chartsheet+xml"/>
  <Override PartName="/xl/chartsheets/sheet21.xml" ContentType="application/vnd.openxmlformats-officedocument.spreadsheetml.chart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chartsheets/sheet27.xml" ContentType="application/vnd.openxmlformats-officedocument.spreadsheetml.chartsheet+xml"/>
  <Override PartName="/xl/worksheets/sheet19.xml" ContentType="application/vnd.openxmlformats-officedocument.spreadsheetml.worksheet+xml"/>
  <Override PartName="/xl/chartsheets/sheet28.xml" ContentType="application/vnd.openxmlformats-officedocument.spreadsheetml.chartsheet+xml"/>
  <Override PartName="/xl/chartsheets/sheet29.xml" ContentType="application/vnd.openxmlformats-officedocument.spreadsheetml.chartsheet+xml"/>
  <Override PartName="/xl/chartsheets/sheet30.xml" ContentType="application/vnd.openxmlformats-officedocument.spreadsheetml.chart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chartsheets/sheet31.xml" ContentType="application/vnd.openxmlformats-officedocument.spreadsheetml.chartsheet+xml"/>
  <Override PartName="/xl/chartsheets/sheet32.xml" ContentType="application/vnd.openxmlformats-officedocument.spreadsheetml.chartsheet+xml"/>
  <Override PartName="/xl/chartsheets/sheet33.xml" ContentType="application/vnd.openxmlformats-officedocument.spreadsheetml.chart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chartsheets/sheet34.xml" ContentType="application/vnd.openxmlformats-officedocument.spreadsheetml.chartsheet+xml"/>
  <Override PartName="/xl/chartsheets/sheet35.xml" ContentType="application/vnd.openxmlformats-officedocument.spreadsheetml.chartsheet+xml"/>
  <Override PartName="/xl/chartsheets/sheet36.xml" ContentType="application/vnd.openxmlformats-officedocument.spreadsheetml.chartsheet+xml"/>
  <Override PartName="/xl/chartsheets/sheet37.xml" ContentType="application/vnd.openxmlformats-officedocument.spreadsheetml.chart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chartsheets/sheet38.xml" ContentType="application/vnd.openxmlformats-officedocument.spreadsheetml.chart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chartsheets/sheet39.xml" ContentType="application/vnd.openxmlformats-officedocument.spreadsheetml.chartsheet+xml"/>
  <Override PartName="/xl/chartsheets/sheet40.xml" ContentType="application/vnd.openxmlformats-officedocument.spreadsheetml.chartsheet+xml"/>
  <Override PartName="/xl/chartsheets/sheet41.xml" ContentType="application/vnd.openxmlformats-officedocument.spreadsheetml.chartsheet+xml"/>
  <Override PartName="/xl/chartsheets/sheet42.xml" ContentType="application/vnd.openxmlformats-officedocument.spreadsheetml.chartsheet+xml"/>
  <Override PartName="/xl/chartsheets/sheet43.xml" ContentType="application/vnd.openxmlformats-officedocument.spreadsheetml.chartsheet+xml"/>
  <Override PartName="/xl/chartsheets/sheet44.xml" ContentType="application/vnd.openxmlformats-officedocument.spreadsheetml.chart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chartsheets/sheet45.xml" ContentType="application/vnd.openxmlformats-officedocument.spreadsheetml.chartsheet+xml"/>
  <Override PartName="/xl/chartsheets/sheet46.xml" ContentType="application/vnd.openxmlformats-officedocument.spreadsheetml.chartsheet+xml"/>
  <Override PartName="/xl/chartsheets/sheet47.xml" ContentType="application/vnd.openxmlformats-officedocument.spreadsheetml.chartsheet+xml"/>
  <Override PartName="/xl/chartsheets/sheet48.xml" ContentType="application/vnd.openxmlformats-officedocument.spreadsheetml.chartsheet+xml"/>
  <Override PartName="/xl/chartsheets/sheet49.xml" ContentType="application/vnd.openxmlformats-officedocument.spreadsheetml.chart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chartsheets/sheet50.xml" ContentType="application/vnd.openxmlformats-officedocument.spreadsheetml.chartsheet+xml"/>
  <Override PartName="/xl/chartsheets/sheet51.xml" ContentType="application/vnd.openxmlformats-officedocument.spreadsheetml.chartsheet+xml"/>
  <Override PartName="/xl/chartsheets/sheet52.xml" ContentType="application/vnd.openxmlformats-officedocument.spreadsheetml.chartsheet+xml"/>
  <Override PartName="/xl/chartsheets/sheet53.xml" ContentType="application/vnd.openxmlformats-officedocument.spreadsheetml.chartsheet+xml"/>
  <Override PartName="/xl/chartsheets/sheet54.xml" ContentType="application/vnd.openxmlformats-officedocument.spreadsheetml.chart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chartsheets/sheet55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drawings/drawing17.xml" ContentType="application/vnd.openxmlformats-officedocument.drawing+xml"/>
  <Override PartName="/xl/charts/chart16.xml" ContentType="application/vnd.openxmlformats-officedocument.drawingml.chart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drawings/drawing18.xml" ContentType="application/vnd.openxmlformats-officedocument.drawing+xml"/>
  <Override PartName="/xl/charts/chart17.xml" ContentType="application/vnd.openxmlformats-officedocument.drawingml.chart+xml"/>
  <Override PartName="/xl/drawings/drawing19.xml" ContentType="application/vnd.openxmlformats-officedocument.drawing+xml"/>
  <Override PartName="/xl/charts/chart18.xml" ContentType="application/vnd.openxmlformats-officedocument.drawingml.chart+xml"/>
  <Override PartName="/xl/drawings/drawing20.xml" ContentType="application/vnd.openxmlformats-officedocument.drawing+xml"/>
  <Override PartName="/xl/charts/chart19.xml" ContentType="application/vnd.openxmlformats-officedocument.drawingml.chart+xml"/>
  <Override PartName="/xl/drawings/drawing21.xml" ContentType="application/vnd.openxmlformats-officedocument.drawing+xml"/>
  <Override PartName="/xl/charts/chart20.xml" ContentType="application/vnd.openxmlformats-officedocument.drawingml.chart+xml"/>
  <Override PartName="/xl/drawings/drawing22.xml" ContentType="application/vnd.openxmlformats-officedocument.drawing+xml"/>
  <Override PartName="/xl/charts/chart21.xml" ContentType="application/vnd.openxmlformats-officedocument.drawingml.chart+xml"/>
  <Override PartName="/xl/drawings/drawing23.xml" ContentType="application/vnd.openxmlformats-officedocument.drawing+xml"/>
  <Override PartName="/xl/charts/chart22.xml" ContentType="application/vnd.openxmlformats-officedocument.drawingml.chart+xml"/>
  <Override PartName="/xl/drawings/drawing24.xml" ContentType="application/vnd.openxmlformats-officedocument.drawing+xml"/>
  <Override PartName="/xl/charts/chart23.xml" ContentType="application/vnd.openxmlformats-officedocument.drawingml.chart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pivotTables/pivotTable29.xml" ContentType="application/vnd.openxmlformats-officedocument.spreadsheetml.pivotTable+xml"/>
  <Override PartName="/xl/drawings/drawing25.xml" ContentType="application/vnd.openxmlformats-officedocument.drawing+xml"/>
  <Override PartName="/xl/charts/chart24.xml" ContentType="application/vnd.openxmlformats-officedocument.drawingml.chart+xml"/>
  <Override PartName="/xl/drawings/drawing26.xml" ContentType="application/vnd.openxmlformats-officedocument.drawing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26.xml" ContentType="application/vnd.openxmlformats-officedocument.drawingml.chart+xml"/>
  <Override PartName="/xl/drawings/drawing29.xml" ContentType="application/vnd.openxmlformats-officedocument.drawing+xml"/>
  <Override PartName="/xl/charts/chart27.xml" ContentType="application/vnd.openxmlformats-officedocument.drawingml.chart+xml"/>
  <Override PartName="/xl/drawings/drawing30.xml" ContentType="application/vnd.openxmlformats-officedocument.drawingml.chartshapes+xml"/>
  <Override PartName="/xl/drawings/drawing31.xml" ContentType="application/vnd.openxmlformats-officedocument.drawing+xml"/>
  <Override PartName="/xl/charts/chart28.xml" ContentType="application/vnd.openxmlformats-officedocument.drawingml.chart+xml"/>
  <Override PartName="/xl/drawings/drawing32.xml" ContentType="application/vnd.openxmlformats-officedocument.drawing+xml"/>
  <Override PartName="/xl/charts/chart29.xml" ContentType="application/vnd.openxmlformats-officedocument.drawingml.chart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drawings/drawing33.xml" ContentType="application/vnd.openxmlformats-officedocument.drawing+xml"/>
  <Override PartName="/xl/charts/chart30.xml" ContentType="application/vnd.openxmlformats-officedocument.drawingml.chart+xml"/>
  <Override PartName="/xl/drawings/drawing34.xml" ContentType="application/vnd.openxmlformats-officedocument.drawing+xml"/>
  <Override PartName="/xl/charts/chart31.xml" ContentType="application/vnd.openxmlformats-officedocument.drawingml.chart+xml"/>
  <Override PartName="/xl/drawings/drawing35.xml" ContentType="application/vnd.openxmlformats-officedocument.drawing+xml"/>
  <Override PartName="/xl/charts/chart32.xml" ContentType="application/vnd.openxmlformats-officedocument.drawingml.chart+xml"/>
  <Override PartName="/xl/drawings/drawing36.xml" ContentType="application/vnd.openxmlformats-officedocument.drawing+xml"/>
  <Override PartName="/xl/charts/chart33.xml" ContentType="application/vnd.openxmlformats-officedocument.drawingml.chart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pivotTables/pivotTable37.xml" ContentType="application/vnd.openxmlformats-officedocument.spreadsheetml.pivotTable+xml"/>
  <Override PartName="/xl/drawings/drawing37.xml" ContentType="application/vnd.openxmlformats-officedocument.drawing+xml"/>
  <Override PartName="/xl/charts/chart34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35.xml" ContentType="application/vnd.openxmlformats-officedocument.drawingml.chart+xml"/>
  <Override PartName="/xl/drawings/drawing40.xml" ContentType="application/vnd.openxmlformats-officedocument.drawing+xml"/>
  <Override PartName="/xl/charts/chart36.xml" ContentType="application/vnd.openxmlformats-officedocument.drawingml.chart+xml"/>
  <Override PartName="/xl/drawings/drawing41.xml" ContentType="application/vnd.openxmlformats-officedocument.drawingml.chartshapes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drawings/drawing42.xml" ContentType="application/vnd.openxmlformats-officedocument.drawing+xml"/>
  <Override PartName="/xl/charts/chart37.xml" ContentType="application/vnd.openxmlformats-officedocument.drawingml.chart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drawings/drawing43.xml" ContentType="application/vnd.openxmlformats-officedocument.drawing+xml"/>
  <Override PartName="/xl/charts/chart38.xml" ContentType="application/vnd.openxmlformats-officedocument.drawingml.chart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39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40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41.xml" ContentType="application/vnd.openxmlformats-officedocument.drawingml.chart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drawings/drawing50.xml" ContentType="application/vnd.openxmlformats-officedocument.drawing+xml"/>
  <Override PartName="/xl/charts/chart42.xml" ContentType="application/vnd.openxmlformats-officedocument.drawingml.chart+xml"/>
  <Override PartName="/xl/drawings/drawing51.xml" ContentType="application/vnd.openxmlformats-officedocument.drawing+xml"/>
  <Override PartName="/xl/charts/chart43.xml" ContentType="application/vnd.openxmlformats-officedocument.drawingml.chart+xml"/>
  <Override PartName="/xl/pivotTables/pivotTable45.xml" ContentType="application/vnd.openxmlformats-officedocument.spreadsheetml.pivotTable+xml"/>
  <Override PartName="/xl/pivotTables/pivotTable46.xml" ContentType="application/vnd.openxmlformats-officedocument.spreadsheetml.pivotTable+xml"/>
  <Override PartName="/xl/drawings/drawing52.xml" ContentType="application/vnd.openxmlformats-officedocument.drawing+xml"/>
  <Override PartName="/xl/charts/chart44.xml" ContentType="application/vnd.openxmlformats-officedocument.drawingml.chart+xml"/>
  <Override PartName="/xl/drawings/drawing53.xml" ContentType="application/vnd.openxmlformats-officedocument.drawing+xml"/>
  <Override PartName="/xl/charts/chart45.xml" ContentType="application/vnd.openxmlformats-officedocument.drawingml.chart+xml"/>
  <Override PartName="/xl/pivotTables/pivotTable47.xml" ContentType="application/vnd.openxmlformats-officedocument.spreadsheetml.pivotTable+xml"/>
  <Override PartName="/xl/pivotTables/pivotTable48.xml" ContentType="application/vnd.openxmlformats-officedocument.spreadsheetml.pivotTable+xml"/>
  <Override PartName="/xl/pivotTables/pivotTable49.xml" ContentType="application/vnd.openxmlformats-officedocument.spreadsheetml.pivotTable+xml"/>
  <Override PartName="/xl/pivotTables/pivotTable50.xml" ContentType="application/vnd.openxmlformats-officedocument.spreadsheetml.pivotTable+xml"/>
  <Override PartName="/xl/pivotTables/pivotTable51.xml" ContentType="application/vnd.openxmlformats-officedocument.spreadsheetml.pivotTable+xml"/>
  <Override PartName="/xl/pivotTables/pivotTable52.xml" ContentType="application/vnd.openxmlformats-officedocument.spreadsheetml.pivotTable+xml"/>
  <Override PartName="/xl/pivotTables/pivotTable53.xml" ContentType="application/vnd.openxmlformats-officedocument.spreadsheetml.pivotTable+xml"/>
  <Override PartName="/xl/pivotTables/pivotTable54.xml" ContentType="application/vnd.openxmlformats-officedocument.spreadsheetml.pivotTable+xml"/>
  <Override PartName="/xl/pivotTables/pivotTable55.xml" ContentType="application/vnd.openxmlformats-officedocument.spreadsheetml.pivotTable+xml"/>
  <Override PartName="/xl/pivotTables/pivotTable56.xml" ContentType="application/vnd.openxmlformats-officedocument.spreadsheetml.pivotTable+xml"/>
  <Override PartName="/xl/pivotTables/pivotTable57.xml" ContentType="application/vnd.openxmlformats-officedocument.spreadsheetml.pivotTable+xml"/>
  <Override PartName="/xl/pivotTables/pivotTable58.xml" ContentType="application/vnd.openxmlformats-officedocument.spreadsheetml.pivotTable+xml"/>
  <Override PartName="/xl/pivotTables/pivotTable59.xml" ContentType="application/vnd.openxmlformats-officedocument.spreadsheetml.pivotTable+xml"/>
  <Override PartName="/xl/pivotTables/pivotTable60.xml" ContentType="application/vnd.openxmlformats-officedocument.spreadsheetml.pivotTable+xml"/>
  <Override PartName="/xl/pivotTables/pivotTable61.xml" ContentType="application/vnd.openxmlformats-officedocument.spreadsheetml.pivotTable+xml"/>
  <Override PartName="/xl/pivotTables/pivotTable62.xml" ContentType="application/vnd.openxmlformats-officedocument.spreadsheetml.pivotTable+xml"/>
  <Override PartName="/xl/drawings/drawing54.xml" ContentType="application/vnd.openxmlformats-officedocument.drawing+xml"/>
  <Override PartName="/xl/charts/chart46.xml" ContentType="application/vnd.openxmlformats-officedocument.drawingml.chart+xml"/>
  <Override PartName="/xl/drawings/drawing55.xml" ContentType="application/vnd.openxmlformats-officedocument.drawing+xml"/>
  <Override PartName="/xl/charts/chart47.xml" ContentType="application/vnd.openxmlformats-officedocument.drawingml.chart+xml"/>
  <Override PartName="/xl/drawings/drawing56.xml" ContentType="application/vnd.openxmlformats-officedocument.drawing+xml"/>
  <Override PartName="/xl/charts/chart48.xml" ContentType="application/vnd.openxmlformats-officedocument.drawingml.chart+xml"/>
  <Override PartName="/xl/drawings/drawing57.xml" ContentType="application/vnd.openxmlformats-officedocument.drawing+xml"/>
  <Override PartName="/xl/charts/chart49.xml" ContentType="application/vnd.openxmlformats-officedocument.drawingml.chart+xml"/>
  <Override PartName="/xl/drawings/drawing58.xml" ContentType="application/vnd.openxmlformats-officedocument.drawing+xml"/>
  <Override PartName="/xl/charts/chart50.xml" ContentType="application/vnd.openxmlformats-officedocument.drawingml.chart+xml"/>
  <Override PartName="/xl/drawings/drawing59.xml" ContentType="application/vnd.openxmlformats-officedocument.drawingml.chartshapes+xml"/>
  <Override PartName="/xl/drawings/drawing60.xml" ContentType="application/vnd.openxmlformats-officedocument.drawing+xml"/>
  <Override PartName="/xl/charts/chart51.xml" ContentType="application/vnd.openxmlformats-officedocument.drawingml.chart+xml"/>
  <Override PartName="/xl/pivotTables/pivotTable63.xml" ContentType="application/vnd.openxmlformats-officedocument.spreadsheetml.pivotTable+xml"/>
  <Override PartName="/xl/pivotTables/pivotTable64.xml" ContentType="application/vnd.openxmlformats-officedocument.spreadsheetml.pivotTable+xml"/>
  <Override PartName="/xl/pivotTables/pivotTable65.xml" ContentType="application/vnd.openxmlformats-officedocument.spreadsheetml.pivotTable+xml"/>
  <Override PartName="/xl/pivotTables/pivotTable66.xml" ContentType="application/vnd.openxmlformats-officedocument.spreadsheetml.pivotTable+xml"/>
  <Override PartName="/xl/pivotTables/pivotTable67.xml" ContentType="application/vnd.openxmlformats-officedocument.spreadsheetml.pivotTable+xml"/>
  <Override PartName="/xl/pivotTables/pivotTable68.xml" ContentType="application/vnd.openxmlformats-officedocument.spreadsheetml.pivotTable+xml"/>
  <Override PartName="/xl/pivotTables/pivotTable69.xml" ContentType="application/vnd.openxmlformats-officedocument.spreadsheetml.pivotTable+xml"/>
  <Override PartName="/xl/pivotTables/pivotTable70.xml" ContentType="application/vnd.openxmlformats-officedocument.spreadsheetml.pivotTable+xml"/>
  <Override PartName="/xl/pivotTables/pivotTable71.xml" ContentType="application/vnd.openxmlformats-officedocument.spreadsheetml.pivotTable+xml"/>
  <Override PartName="/xl/drawings/drawing61.xml" ContentType="application/vnd.openxmlformats-officedocument.drawing+xml"/>
  <Override PartName="/xl/charts/chart52.xml" ContentType="application/vnd.openxmlformats-officedocument.drawingml.chart+xml"/>
  <Override PartName="/xl/drawings/drawing62.xml" ContentType="application/vnd.openxmlformats-officedocument.drawing+xml"/>
  <Override PartName="/xl/charts/chart53.xml" ContentType="application/vnd.openxmlformats-officedocument.drawingml.chart+xml"/>
  <Override PartName="/xl/drawings/drawing63.xml" ContentType="application/vnd.openxmlformats-officedocument.drawing+xml"/>
  <Override PartName="/xl/charts/chart54.xml" ContentType="application/vnd.openxmlformats-officedocument.drawingml.chart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55.xml" ContentType="application/vnd.openxmlformats-officedocument.drawingml.chart+xml"/>
  <Override PartName="/xl/drawings/drawing66.xml" ContentType="application/vnd.openxmlformats-officedocument.drawing+xml"/>
  <Override PartName="/xl/charts/chart56.xml" ContentType="application/vnd.openxmlformats-officedocument.drawingml.chart+xml"/>
  <Override PartName="/xl/pivotTables/pivotTable72.xml" ContentType="application/vnd.openxmlformats-officedocument.spreadsheetml.pivotTable+xml"/>
  <Override PartName="/xl/pivotTables/pivotTable73.xml" ContentType="application/vnd.openxmlformats-officedocument.spreadsheetml.pivotTable+xml"/>
  <Override PartName="/xl/pivotTables/pivotTable74.xml" ContentType="application/vnd.openxmlformats-officedocument.spreadsheetml.pivotTable+xml"/>
  <Override PartName="/xl/pivotTables/pivotTable75.xml" ContentType="application/vnd.openxmlformats-officedocument.spreadsheetml.pivotTable+xml"/>
  <Override PartName="/xl/pivotTables/pivotTable76.xml" ContentType="application/vnd.openxmlformats-officedocument.spreadsheetml.pivotTable+xml"/>
  <Override PartName="/xl/pivotTables/pivotTable77.xml" ContentType="application/vnd.openxmlformats-officedocument.spreadsheetml.pivotTable+xml"/>
  <Override PartName="/xl/pivotTables/pivotTable78.xml" ContentType="application/vnd.openxmlformats-officedocument.spreadsheetml.pivotTable+xml"/>
  <Override PartName="/xl/pivotTables/pivotTable79.xml" ContentType="application/vnd.openxmlformats-officedocument.spreadsheetml.pivotTable+xml"/>
  <Override PartName="/xl/pivotTables/pivotTable80.xml" ContentType="application/vnd.openxmlformats-officedocument.spreadsheetml.pivotTable+xml"/>
  <Override PartName="/xl/pivotTables/pivotTable81.xml" ContentType="application/vnd.openxmlformats-officedocument.spreadsheetml.pivotTable+xml"/>
  <Override PartName="/xl/pivotTables/pivotTable82.xml" ContentType="application/vnd.openxmlformats-officedocument.spreadsheetml.pivotTable+xml"/>
  <Override PartName="/xl/pivotTables/pivotTable83.xml" ContentType="application/vnd.openxmlformats-officedocument.spreadsheetml.pivotTable+xml"/>
  <Override PartName="/xl/drawings/drawing67.xml" ContentType="application/vnd.openxmlformats-officedocument.drawing+xml"/>
  <Override PartName="/xl/charts/chart57.xml" ContentType="application/vnd.openxmlformats-officedocument.drawingml.chart+xml"/>
  <Override PartName="/xl/drawings/drawing68.xml" ContentType="application/vnd.openxmlformats-officedocument.drawing+xml"/>
  <Override PartName="/xl/charts/chart58.xml" ContentType="application/vnd.openxmlformats-officedocument.drawingml.chart+xml"/>
  <Override PartName="/xl/drawings/drawing69.xml" ContentType="application/vnd.openxmlformats-officedocument.drawing+xml"/>
  <Override PartName="/xl/charts/chart59.xml" ContentType="application/vnd.openxmlformats-officedocument.drawingml.chart+xml"/>
  <Override PartName="/xl/drawings/drawing70.xml" ContentType="application/vnd.openxmlformats-officedocument.drawing+xml"/>
  <Override PartName="/xl/charts/chart60.xml" ContentType="application/vnd.openxmlformats-officedocument.drawingml.chart+xml"/>
  <Override PartName="/xl/drawings/drawing71.xml" ContentType="application/vnd.openxmlformats-officedocument.drawing+xml"/>
  <Override PartName="/xl/charts/chart61.xml" ContentType="application/vnd.openxmlformats-officedocument.drawingml.chart+xml"/>
  <Override PartName="/xl/pivotTables/pivotTable84.xml" ContentType="application/vnd.openxmlformats-officedocument.spreadsheetml.pivotTable+xml"/>
  <Override PartName="/xl/pivotTables/pivotTable85.xml" ContentType="application/vnd.openxmlformats-officedocument.spreadsheetml.pivotTable+xml"/>
  <Override PartName="/xl/drawings/drawing72.xml" ContentType="application/vnd.openxmlformats-officedocument.drawing+xml"/>
  <Override PartName="/xl/charts/chart62.xml" ContentType="application/vnd.openxmlformats-officedocument.drawingml.chart+xml"/>
  <Override PartName="/xl/pivotTables/pivotTable86.xml" ContentType="application/vnd.openxmlformats-officedocument.spreadsheetml.pivotTable+xml"/>
  <Override PartName="/xl/pivotTables/pivotTable87.xml" ContentType="application/vnd.openxmlformats-officedocument.spreadsheetml.pivotTable+xml"/>
  <Override PartName="/xl/drawings/drawing73.xml" ContentType="application/vnd.openxmlformats-officedocument.drawing+xml"/>
  <Override PartName="/xl/charts/chart6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955" firstSheet="73" activeTab="89"/>
  </bookViews>
  <sheets>
    <sheet name="Données " sheetId="5" r:id="rId1"/>
    <sheet name="TAVI" sheetId="16" r:id="rId2"/>
    <sheet name="PM-AICD" sheetId="14" r:id="rId3"/>
    <sheet name="Divers" sheetId="15" r:id="rId4"/>
    <sheet name=" mensuel" sheetId="141" r:id="rId5"/>
    <sheet name="annuel" sheetId="133" r:id="rId6"/>
    <sheet name="Références" sheetId="142" r:id="rId7"/>
    <sheet name="Lieu_Activité" sheetId="108" r:id="rId8"/>
    <sheet name="Pivot-Prov" sheetId="33" r:id="rId9"/>
    <sheet name="Pivot-cardiologue" sheetId="148" r:id="rId10"/>
    <sheet name="Gr_Prov-Global" sheetId="87" r:id="rId11"/>
    <sheet name="Gr_Prov_Mens" sheetId="42" state="hidden" r:id="rId12"/>
    <sheet name="Pivotr-Type Int" sheetId="154" r:id="rId13"/>
    <sheet name="Gr_Type Int Intranet" sheetId="158" r:id="rId14"/>
    <sheet name="Gr Type int Stat" sheetId="156" r:id="rId15"/>
    <sheet name="Gr_Type_Int_Gl (2" sheetId="89" state="hidden" r:id="rId16"/>
    <sheet name="Gr_Type_Int_Mens" sheetId="36" state="hidden" r:id="rId17"/>
    <sheet name="Gr_ Comp année" sheetId="159" r:id="rId18"/>
    <sheet name="Pivot_Valves" sheetId="32" r:id="rId19"/>
    <sheet name="Gr_Valves_Global" sheetId="40" r:id="rId20"/>
    <sheet name="Gr_Valves_Mens" sheetId="44" state="hidden" r:id="rId21"/>
    <sheet name="Pivot délai intervention" sheetId="157" r:id="rId22"/>
    <sheet name="GR Statut selon délai " sheetId="164" r:id="rId23"/>
    <sheet name="Gr_délai intervention global" sheetId="165" r:id="rId24"/>
    <sheet name="Gr_délai_intervention_DCD" sheetId="162" r:id="rId25"/>
    <sheet name="Pivot_Survie" sheetId="34" r:id="rId26"/>
    <sheet name="Gr_Survie_Global" sheetId="46" r:id="rId27"/>
    <sheet name="Gr_Survie_Global (2)" sheetId="90" state="hidden" r:id="rId28"/>
    <sheet name="Gr_Survie_Mens" sheetId="45" state="hidden" r:id="rId29"/>
    <sheet name="Pivot_USI" sheetId="47" r:id="rId30"/>
    <sheet name="CALCULS_USI" sheetId="128" r:id="rId31"/>
    <sheet name="Gr USI_Toutes_Mens_Médiane" sheetId="129" state="hidden" r:id="rId32"/>
    <sheet name="Gr USI_Toutes_Mens_ET" sheetId="91" state="hidden" r:id="rId33"/>
    <sheet name="Gr_USI_Hors_ Mens_Médiane" sheetId="130" r:id="rId34"/>
    <sheet name="Gr_USI_Hors_ Mens_ET" sheetId="92" state="hidden" r:id="rId35"/>
    <sheet name="Gr_USI_LVAD-TX_ Mens_Médiane" sheetId="131" state="hidden" r:id="rId36"/>
    <sheet name="Gr_USI_LVAD-TX_ Mens_ET" sheetId="93" state="hidden" r:id="rId37"/>
    <sheet name="Pivot_Hospi" sheetId="51" r:id="rId38"/>
    <sheet name="CALCULS_Hospi" sheetId="120" r:id="rId39"/>
    <sheet name="Gr_Hospi_Toutes_Mens_Médiane" sheetId="122" state="hidden" r:id="rId40"/>
    <sheet name="Gr_Hospi_Toutes_Mens_ET" sheetId="94" state="hidden" r:id="rId41"/>
    <sheet name="Gr_Hospi hors_ Mens_Médiane" sheetId="125" r:id="rId42"/>
    <sheet name="Gr_Hospi hors_ Mens_ET" sheetId="52" state="hidden" r:id="rId43"/>
    <sheet name="Gr_Hopsi_LVAD-TX Mens_Médiane" sheetId="126" state="hidden" r:id="rId44"/>
    <sheet name="Gr_Hopsi_LVAD-TX Mens_ET" sheetId="53" state="hidden" r:id="rId45"/>
    <sheet name="Pivot-Rév&lt;24h" sheetId="54" r:id="rId46"/>
    <sheet name="Gr_Rév&lt;24h_ Gl" sheetId="63" r:id="rId47"/>
    <sheet name="Gr_Rév&lt;24h Global" sheetId="96" state="hidden" r:id="rId48"/>
    <sheet name="Gr_Rév&lt;24h_Mens" sheetId="64" state="hidden" r:id="rId49"/>
    <sheet name="Pivot-Réhospi&lt;30j" sheetId="58" r:id="rId50"/>
    <sheet name="Pivot-Réhospi&lt;30j (2)" sheetId="74" r:id="rId51"/>
    <sheet name="Gr_Réhospi&lt;30j_Global" sheetId="65" r:id="rId52"/>
    <sheet name="Gr_Réhospi&lt;30j_Global (2)" sheetId="98" state="hidden" r:id="rId53"/>
    <sheet name="Gr_Réhospi&lt;30j_Mens" sheetId="66" state="hidden" r:id="rId54"/>
    <sheet name="Pivot-Inf" sheetId="60" r:id="rId55"/>
    <sheet name="Pivot-Inf (2)" sheetId="73" r:id="rId56"/>
    <sheet name="Gr_Inf_Gobal% (2)" sheetId="106" r:id="rId57"/>
    <sheet name="Gr_inf_Mens%" sheetId="107" state="hidden" r:id="rId58"/>
    <sheet name="Gr_Inf_Mens_NB" sheetId="62" state="hidden" r:id="rId59"/>
    <sheet name="Gr_Nb moy par pat inf" sheetId="105" state="hidden" r:id="rId60"/>
    <sheet name="Pivot-AVC" sheetId="151" r:id="rId61"/>
    <sheet name="Gr_AVC" sheetId="149" r:id="rId62"/>
    <sheet name="Pivot_IM" sheetId="152" r:id="rId63"/>
    <sheet name="Gr_IM" sheetId="153" r:id="rId64"/>
    <sheet name="Pivot-Transf&gt;48H" sheetId="67" r:id="rId65"/>
    <sheet name="Pivot-Transf&gt;48H (2)" sheetId="79" r:id="rId66"/>
    <sheet name="Gr_Transf&gt;48H_Global" sheetId="135" r:id="rId67"/>
    <sheet name="Gr_Transf&gt;48H_HORS" sheetId="137" r:id="rId68"/>
    <sheet name="Gr_Transf&gt;24h_Global-" sheetId="101" state="hidden" r:id="rId69"/>
    <sheet name="Gr-Transf&gt;24H_Mens_NB" sheetId="72" state="hidden" r:id="rId70"/>
    <sheet name="Gr-Transf&gt;24H_Mens_%" sheetId="102" state="hidden" r:id="rId71"/>
    <sheet name="Gr_ Nb moy tranf &gt;24h_Mens" sheetId="103" state="hidden" r:id="rId72"/>
    <sheet name="Pivot-Transf&lt;48H" sheetId="68" r:id="rId73"/>
    <sheet name="Pivot-Transf&lt;48H (2)" sheetId="80" r:id="rId74"/>
    <sheet name="Gr_Transf&lt;24H_Global (2)" sheetId="99" state="hidden" r:id="rId75"/>
    <sheet name="Gr_Transf&lt;24_Mens_Nb" sheetId="70" state="hidden" r:id="rId76"/>
    <sheet name="Gr_Transf&lt;24h_Mens_%" sheetId="100" state="hidden" r:id="rId77"/>
    <sheet name="Gr_moy tranf&lt;24h_Mens" sheetId="104" state="hidden" r:id="rId78"/>
    <sheet name="Gr_Transf&lt;48h Hors" sheetId="166" r:id="rId79"/>
    <sheet name="Pivot-Transf_Tout" sheetId="112" r:id="rId80"/>
    <sheet name="Pivot-Transf_Tout (2)" sheetId="113" r:id="rId81"/>
    <sheet name="Gr_Transf_Tout_GLOBAL" sheetId="115" r:id="rId82"/>
    <sheet name="Gr_Transf_Tout_Global (2)" sheetId="116" state="hidden" r:id="rId83"/>
    <sheet name="Gr_Transf_Tout_Mens_Nb" sheetId="117" state="hidden" r:id="rId84"/>
    <sheet name="Gr_Transf_Tout_Mens_%" sheetId="118" state="hidden" r:id="rId85"/>
    <sheet name="Gr_moy tranf_Tout_Mens" sheetId="119" state="hidden" r:id="rId86"/>
    <sheet name="Pivot_HT" sheetId="143" r:id="rId87"/>
    <sheet name="Gr_HT" sheetId="144" r:id="rId88"/>
    <sheet name="Pivot &gt;80 ans" sheetId="145" r:id="rId89"/>
    <sheet name="Gr-&gt;80 ans" sheetId="167" r:id="rId90"/>
  </sheets>
  <definedNames>
    <definedName name="_xlnm._FilterDatabase" localSheetId="3" hidden="1">Divers!$A$1:$F$1</definedName>
    <definedName name="_xlnm._FilterDatabase" localSheetId="0" hidden="1">'Données '!$A$1:$BX$333</definedName>
    <definedName name="_xlnm._FilterDatabase" localSheetId="7" hidden="1">Lieu_Activité!$A$1:$B$27</definedName>
    <definedName name="_xlnm._FilterDatabase" localSheetId="2" hidden="1">'PM-AICD'!$A$1:$H$146</definedName>
    <definedName name="_xlnm.Print_Titles" localSheetId="5">annuel!$1:$3</definedName>
    <definedName name="Segment_Chirurgien">#N/A</definedName>
    <definedName name="stats">'Données '!$1:$1048576</definedName>
    <definedName name="_xlnm.Print_Area" localSheetId="0">'Données '!$B$228:$I$259</definedName>
  </definedNames>
  <calcPr calcId="162913" concurrentCalc="0"/>
  <pivotCaches>
    <pivotCache cacheId="0" r:id="rId91"/>
    <pivotCache cacheId="98" r:id="rId92"/>
    <pivotCache cacheId="101" r:id="rId93"/>
    <pivotCache cacheId="107" r:id="rId94"/>
    <pivotCache cacheId="112" r:id="rId95"/>
    <pivotCache cacheId="115" r:id="rId96"/>
    <pivotCache cacheId="119" r:id="rId97"/>
    <pivotCache cacheId="123" r:id="rId98"/>
    <pivotCache cacheId="128" r:id="rId99"/>
    <pivotCache cacheId="149" r:id="rId100"/>
  </pivotCaches>
  <extLst>
    <ext xmlns:x14="http://schemas.microsoft.com/office/spreadsheetml/2009/9/main" uri="{BBE1A952-AA13-448e-AADC-164F8A28A991}">
      <x14:slicerCaches>
        <x14:slicerCache r:id="rId101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E23" i="5" l="1"/>
  <c r="E24" i="5"/>
  <c r="AM222" i="5"/>
  <c r="P3" i="5"/>
  <c r="Q3" i="5"/>
  <c r="R3" i="5"/>
  <c r="P4" i="5"/>
  <c r="Q4" i="5"/>
  <c r="R4" i="5"/>
  <c r="P5" i="5"/>
  <c r="Q5" i="5"/>
  <c r="R5" i="5"/>
  <c r="P6" i="5"/>
  <c r="Q6" i="5"/>
  <c r="R6" i="5"/>
  <c r="P7" i="5"/>
  <c r="Q7" i="5"/>
  <c r="R7" i="5"/>
  <c r="P8" i="5"/>
  <c r="Q8" i="5"/>
  <c r="R8" i="5"/>
  <c r="P9" i="5"/>
  <c r="Q9" i="5"/>
  <c r="R9" i="5"/>
  <c r="P10" i="5"/>
  <c r="Q10" i="5"/>
  <c r="R10" i="5"/>
  <c r="P11" i="5"/>
  <c r="Q11" i="5"/>
  <c r="R11" i="5"/>
  <c r="P12" i="5"/>
  <c r="Q12" i="5"/>
  <c r="R12" i="5"/>
  <c r="P13" i="5"/>
  <c r="Q13" i="5"/>
  <c r="R13" i="5"/>
  <c r="P14" i="5"/>
  <c r="Q14" i="5"/>
  <c r="R14" i="5"/>
  <c r="P15" i="5"/>
  <c r="Q15" i="5"/>
  <c r="R15" i="5"/>
  <c r="P16" i="5"/>
  <c r="Q16" i="5"/>
  <c r="R16" i="5"/>
  <c r="P17" i="5"/>
  <c r="Q17" i="5"/>
  <c r="R17" i="5"/>
  <c r="P18" i="5"/>
  <c r="Q18" i="5"/>
  <c r="R18" i="5"/>
  <c r="P19" i="5"/>
  <c r="Q19" i="5"/>
  <c r="R19" i="5"/>
  <c r="P20" i="5"/>
  <c r="Q20" i="5"/>
  <c r="R20" i="5"/>
  <c r="P21" i="5"/>
  <c r="Q21" i="5"/>
  <c r="R21" i="5"/>
  <c r="P22" i="5"/>
  <c r="Q22" i="5"/>
  <c r="R22" i="5"/>
  <c r="P23" i="5"/>
  <c r="Q23" i="5"/>
  <c r="R23" i="5"/>
  <c r="P24" i="5"/>
  <c r="Q24" i="5"/>
  <c r="R24" i="5"/>
  <c r="P25" i="5"/>
  <c r="Q25" i="5"/>
  <c r="R25" i="5"/>
  <c r="P26" i="5"/>
  <c r="Q26" i="5"/>
  <c r="R26" i="5"/>
  <c r="P27" i="5"/>
  <c r="Q27" i="5"/>
  <c r="R27" i="5"/>
  <c r="P28" i="5"/>
  <c r="Q28" i="5"/>
  <c r="R28" i="5"/>
  <c r="P29" i="5"/>
  <c r="Q29" i="5"/>
  <c r="R29" i="5"/>
  <c r="P30" i="5"/>
  <c r="Q30" i="5"/>
  <c r="R30" i="5"/>
  <c r="P31" i="5"/>
  <c r="Q31" i="5"/>
  <c r="R31" i="5"/>
  <c r="P32" i="5"/>
  <c r="Q32" i="5"/>
  <c r="R32" i="5"/>
  <c r="P33" i="5"/>
  <c r="Q33" i="5"/>
  <c r="R33" i="5"/>
  <c r="P34" i="5"/>
  <c r="Q34" i="5"/>
  <c r="R34" i="5"/>
  <c r="P35" i="5"/>
  <c r="Q35" i="5"/>
  <c r="R35" i="5"/>
  <c r="P36" i="5"/>
  <c r="Q36" i="5"/>
  <c r="R36" i="5"/>
  <c r="P37" i="5"/>
  <c r="Q37" i="5"/>
  <c r="R37" i="5"/>
  <c r="P38" i="5"/>
  <c r="Q38" i="5"/>
  <c r="R38" i="5"/>
  <c r="P39" i="5"/>
  <c r="Q39" i="5"/>
  <c r="R39" i="5"/>
  <c r="P40" i="5"/>
  <c r="Q40" i="5"/>
  <c r="R40" i="5"/>
  <c r="P41" i="5"/>
  <c r="Q41" i="5"/>
  <c r="R41" i="5"/>
  <c r="P42" i="5"/>
  <c r="Q42" i="5"/>
  <c r="R42" i="5"/>
  <c r="P43" i="5"/>
  <c r="Q43" i="5"/>
  <c r="R43" i="5"/>
  <c r="P44" i="5"/>
  <c r="Q44" i="5"/>
  <c r="R44" i="5"/>
  <c r="P45" i="5"/>
  <c r="Q45" i="5"/>
  <c r="R45" i="5"/>
  <c r="P46" i="5"/>
  <c r="Q46" i="5"/>
  <c r="R46" i="5"/>
  <c r="P47" i="5"/>
  <c r="Q47" i="5"/>
  <c r="R47" i="5"/>
  <c r="P48" i="5"/>
  <c r="Q48" i="5"/>
  <c r="R48" i="5"/>
  <c r="P49" i="5"/>
  <c r="Q49" i="5"/>
  <c r="R49" i="5"/>
  <c r="P50" i="5"/>
  <c r="Q50" i="5"/>
  <c r="R50" i="5"/>
  <c r="P51" i="5"/>
  <c r="Q51" i="5"/>
  <c r="R51" i="5"/>
  <c r="P52" i="5"/>
  <c r="Q52" i="5"/>
  <c r="R52" i="5"/>
  <c r="P53" i="5"/>
  <c r="Q53" i="5"/>
  <c r="R53" i="5"/>
  <c r="P54" i="5"/>
  <c r="Q54" i="5"/>
  <c r="R54" i="5"/>
  <c r="P55" i="5"/>
  <c r="Q55" i="5"/>
  <c r="R55" i="5"/>
  <c r="P56" i="5"/>
  <c r="Q56" i="5"/>
  <c r="R56" i="5"/>
  <c r="P57" i="5"/>
  <c r="Q57" i="5"/>
  <c r="R57" i="5"/>
  <c r="P58" i="5"/>
  <c r="Q58" i="5"/>
  <c r="R58" i="5"/>
  <c r="P59" i="5"/>
  <c r="Q59" i="5"/>
  <c r="R59" i="5"/>
  <c r="P60" i="5"/>
  <c r="Q60" i="5"/>
  <c r="R60" i="5"/>
  <c r="P61" i="5"/>
  <c r="Q61" i="5"/>
  <c r="R61" i="5"/>
  <c r="P62" i="5"/>
  <c r="Q62" i="5"/>
  <c r="R62" i="5"/>
  <c r="P63" i="5"/>
  <c r="Q63" i="5"/>
  <c r="R63" i="5"/>
  <c r="P64" i="5"/>
  <c r="Q64" i="5"/>
  <c r="R64" i="5"/>
  <c r="P65" i="5"/>
  <c r="Q65" i="5"/>
  <c r="R65" i="5"/>
  <c r="P66" i="5"/>
  <c r="Q66" i="5"/>
  <c r="R66" i="5"/>
  <c r="P67" i="5"/>
  <c r="Q67" i="5"/>
  <c r="R67" i="5"/>
  <c r="P68" i="5"/>
  <c r="Q68" i="5"/>
  <c r="R68" i="5"/>
  <c r="P69" i="5"/>
  <c r="Q69" i="5"/>
  <c r="R69" i="5"/>
  <c r="P70" i="5"/>
  <c r="Q70" i="5"/>
  <c r="R70" i="5"/>
  <c r="P71" i="5"/>
  <c r="Q71" i="5"/>
  <c r="R71" i="5"/>
  <c r="P72" i="5"/>
  <c r="Q72" i="5"/>
  <c r="R72" i="5"/>
  <c r="P73" i="5"/>
  <c r="Q73" i="5"/>
  <c r="R73" i="5"/>
  <c r="P74" i="5"/>
  <c r="Q74" i="5"/>
  <c r="R74" i="5"/>
  <c r="P75" i="5"/>
  <c r="Q75" i="5"/>
  <c r="R75" i="5"/>
  <c r="P76" i="5"/>
  <c r="Q76" i="5"/>
  <c r="R76" i="5"/>
  <c r="P77" i="5"/>
  <c r="Q77" i="5"/>
  <c r="R77" i="5"/>
  <c r="P78" i="5"/>
  <c r="Q78" i="5"/>
  <c r="R78" i="5"/>
  <c r="P79" i="5"/>
  <c r="Q79" i="5"/>
  <c r="R79" i="5"/>
  <c r="P80" i="5"/>
  <c r="Q80" i="5"/>
  <c r="R80" i="5"/>
  <c r="P81" i="5"/>
  <c r="Q81" i="5"/>
  <c r="R81" i="5"/>
  <c r="P82" i="5"/>
  <c r="Q82" i="5"/>
  <c r="R82" i="5"/>
  <c r="P83" i="5"/>
  <c r="Q83" i="5"/>
  <c r="R83" i="5"/>
  <c r="P84" i="5"/>
  <c r="Q84" i="5"/>
  <c r="R84" i="5"/>
  <c r="P85" i="5"/>
  <c r="Q85" i="5"/>
  <c r="R85" i="5"/>
  <c r="P86" i="5"/>
  <c r="Q86" i="5"/>
  <c r="R86" i="5"/>
  <c r="P87" i="5"/>
  <c r="Q87" i="5"/>
  <c r="R87" i="5"/>
  <c r="P88" i="5"/>
  <c r="Q88" i="5"/>
  <c r="R88" i="5"/>
  <c r="P89" i="5"/>
  <c r="Q89" i="5"/>
  <c r="R89" i="5"/>
  <c r="P90" i="5"/>
  <c r="Q90" i="5"/>
  <c r="R90" i="5"/>
  <c r="P91" i="5"/>
  <c r="Q91" i="5"/>
  <c r="R91" i="5"/>
  <c r="P92" i="5"/>
  <c r="Q92" i="5"/>
  <c r="R92" i="5"/>
  <c r="P93" i="5"/>
  <c r="Q93" i="5"/>
  <c r="R93" i="5"/>
  <c r="P94" i="5"/>
  <c r="Q94" i="5"/>
  <c r="R94" i="5"/>
  <c r="P95" i="5"/>
  <c r="Q95" i="5"/>
  <c r="R95" i="5"/>
  <c r="P96" i="5"/>
  <c r="Q96" i="5"/>
  <c r="R96" i="5"/>
  <c r="P97" i="5"/>
  <c r="Q97" i="5"/>
  <c r="R97" i="5"/>
  <c r="P98" i="5"/>
  <c r="Q98" i="5"/>
  <c r="R98" i="5"/>
  <c r="P99" i="5"/>
  <c r="Q99" i="5"/>
  <c r="R99" i="5"/>
  <c r="P100" i="5"/>
  <c r="Q100" i="5"/>
  <c r="R100" i="5"/>
  <c r="P101" i="5"/>
  <c r="Q101" i="5"/>
  <c r="R101" i="5"/>
  <c r="P102" i="5"/>
  <c r="Q102" i="5"/>
  <c r="R102" i="5"/>
  <c r="P103" i="5"/>
  <c r="Q103" i="5"/>
  <c r="R103" i="5"/>
  <c r="P104" i="5"/>
  <c r="Q104" i="5"/>
  <c r="R104" i="5"/>
  <c r="P105" i="5"/>
  <c r="Q105" i="5"/>
  <c r="R105" i="5"/>
  <c r="P106" i="5"/>
  <c r="Q106" i="5"/>
  <c r="R106" i="5"/>
  <c r="P107" i="5"/>
  <c r="Q107" i="5"/>
  <c r="R107" i="5"/>
  <c r="P108" i="5"/>
  <c r="Q108" i="5"/>
  <c r="R108" i="5"/>
  <c r="P109" i="5"/>
  <c r="Q109" i="5"/>
  <c r="R109" i="5"/>
  <c r="P110" i="5"/>
  <c r="Q110" i="5"/>
  <c r="R110" i="5"/>
  <c r="P111" i="5"/>
  <c r="Q111" i="5"/>
  <c r="R111" i="5"/>
  <c r="P112" i="5"/>
  <c r="Q112" i="5"/>
  <c r="R112" i="5"/>
  <c r="P113" i="5"/>
  <c r="Q113" i="5"/>
  <c r="R113" i="5"/>
  <c r="P114" i="5"/>
  <c r="Q114" i="5"/>
  <c r="R114" i="5"/>
  <c r="P115" i="5"/>
  <c r="Q115" i="5"/>
  <c r="R115" i="5"/>
  <c r="P116" i="5"/>
  <c r="Q116" i="5"/>
  <c r="R116" i="5"/>
  <c r="P117" i="5"/>
  <c r="Q117" i="5"/>
  <c r="R117" i="5"/>
  <c r="P118" i="5"/>
  <c r="Q118" i="5"/>
  <c r="R118" i="5"/>
  <c r="P119" i="5"/>
  <c r="Q119" i="5"/>
  <c r="R119" i="5"/>
  <c r="P120" i="5"/>
  <c r="Q120" i="5"/>
  <c r="R120" i="5"/>
  <c r="P121" i="5"/>
  <c r="Q121" i="5"/>
  <c r="R121" i="5"/>
  <c r="P122" i="5"/>
  <c r="Q122" i="5"/>
  <c r="R122" i="5"/>
  <c r="P123" i="5"/>
  <c r="Q123" i="5"/>
  <c r="R123" i="5"/>
  <c r="P124" i="5"/>
  <c r="Q124" i="5"/>
  <c r="R124" i="5"/>
  <c r="P125" i="5"/>
  <c r="Q125" i="5"/>
  <c r="R125" i="5"/>
  <c r="P126" i="5"/>
  <c r="Q126" i="5"/>
  <c r="R126" i="5"/>
  <c r="P127" i="5"/>
  <c r="Q127" i="5"/>
  <c r="R127" i="5"/>
  <c r="P128" i="5"/>
  <c r="Q128" i="5"/>
  <c r="R128" i="5"/>
  <c r="P129" i="5"/>
  <c r="Q129" i="5"/>
  <c r="R129" i="5"/>
  <c r="P130" i="5"/>
  <c r="Q130" i="5"/>
  <c r="R130" i="5"/>
  <c r="P131" i="5"/>
  <c r="Q131" i="5"/>
  <c r="R131" i="5"/>
  <c r="P132" i="5"/>
  <c r="Q132" i="5"/>
  <c r="R132" i="5"/>
  <c r="P133" i="5"/>
  <c r="Q133" i="5"/>
  <c r="R133" i="5"/>
  <c r="P134" i="5"/>
  <c r="Q134" i="5"/>
  <c r="R134" i="5"/>
  <c r="P135" i="5"/>
  <c r="Q135" i="5"/>
  <c r="R135" i="5"/>
  <c r="P136" i="5"/>
  <c r="Q136" i="5"/>
  <c r="R136" i="5"/>
  <c r="P137" i="5"/>
  <c r="Q137" i="5"/>
  <c r="R137" i="5"/>
  <c r="P138" i="5"/>
  <c r="Q138" i="5"/>
  <c r="R138" i="5"/>
  <c r="P139" i="5"/>
  <c r="Q139" i="5"/>
  <c r="R139" i="5"/>
  <c r="P140" i="5"/>
  <c r="Q140" i="5"/>
  <c r="R140" i="5"/>
  <c r="P141" i="5"/>
  <c r="Q141" i="5"/>
  <c r="R141" i="5"/>
  <c r="P142" i="5"/>
  <c r="Q142" i="5"/>
  <c r="R142" i="5"/>
  <c r="P143" i="5"/>
  <c r="Q143" i="5"/>
  <c r="R143" i="5"/>
  <c r="P144" i="5"/>
  <c r="Q144" i="5"/>
  <c r="R144" i="5"/>
  <c r="P145" i="5"/>
  <c r="Q145" i="5"/>
  <c r="R145" i="5"/>
  <c r="P146" i="5"/>
  <c r="Q146" i="5"/>
  <c r="R146" i="5"/>
  <c r="P147" i="5"/>
  <c r="Q147" i="5"/>
  <c r="R147" i="5"/>
  <c r="P148" i="5"/>
  <c r="Q148" i="5"/>
  <c r="R148" i="5"/>
  <c r="P149" i="5"/>
  <c r="Q149" i="5"/>
  <c r="R149" i="5"/>
  <c r="P150" i="5"/>
  <c r="Q150" i="5"/>
  <c r="R150" i="5"/>
  <c r="P151" i="5"/>
  <c r="Q151" i="5"/>
  <c r="R151" i="5"/>
  <c r="P152" i="5"/>
  <c r="Q152" i="5"/>
  <c r="R152" i="5"/>
  <c r="P153" i="5"/>
  <c r="Q153" i="5"/>
  <c r="R153" i="5"/>
  <c r="P154" i="5"/>
  <c r="Q154" i="5"/>
  <c r="R154" i="5"/>
  <c r="P155" i="5"/>
  <c r="Q155" i="5"/>
  <c r="R155" i="5"/>
  <c r="P156" i="5"/>
  <c r="Q156" i="5"/>
  <c r="R156" i="5"/>
  <c r="P157" i="5"/>
  <c r="Q157" i="5"/>
  <c r="R157" i="5"/>
  <c r="P158" i="5"/>
  <c r="Q158" i="5"/>
  <c r="R158" i="5"/>
  <c r="P159" i="5"/>
  <c r="Q159" i="5"/>
  <c r="R159" i="5"/>
  <c r="P160" i="5"/>
  <c r="Q160" i="5"/>
  <c r="R160" i="5"/>
  <c r="P161" i="5"/>
  <c r="Q161" i="5"/>
  <c r="R161" i="5"/>
  <c r="P162" i="5"/>
  <c r="Q162" i="5"/>
  <c r="R162" i="5"/>
  <c r="P163" i="5"/>
  <c r="Q163" i="5"/>
  <c r="R163" i="5"/>
  <c r="P164" i="5"/>
  <c r="Q164" i="5"/>
  <c r="R164" i="5"/>
  <c r="P165" i="5"/>
  <c r="Q165" i="5"/>
  <c r="R165" i="5"/>
  <c r="P166" i="5"/>
  <c r="Q166" i="5"/>
  <c r="R166" i="5"/>
  <c r="P167" i="5"/>
  <c r="Q167" i="5"/>
  <c r="R167" i="5"/>
  <c r="P168" i="5"/>
  <c r="Q168" i="5"/>
  <c r="R168" i="5"/>
  <c r="P169" i="5"/>
  <c r="Q169" i="5"/>
  <c r="R169" i="5"/>
  <c r="P170" i="5"/>
  <c r="Q170" i="5"/>
  <c r="R170" i="5"/>
  <c r="P171" i="5"/>
  <c r="Q171" i="5"/>
  <c r="R171" i="5"/>
  <c r="P172" i="5"/>
  <c r="Q172" i="5"/>
  <c r="R172" i="5"/>
  <c r="P173" i="5"/>
  <c r="Q173" i="5"/>
  <c r="R173" i="5"/>
  <c r="P174" i="5"/>
  <c r="Q174" i="5"/>
  <c r="R174" i="5"/>
  <c r="P175" i="5"/>
  <c r="Q175" i="5"/>
  <c r="R175" i="5"/>
  <c r="P176" i="5"/>
  <c r="Q176" i="5"/>
  <c r="R176" i="5"/>
  <c r="P177" i="5"/>
  <c r="Q177" i="5"/>
  <c r="R177" i="5"/>
  <c r="P178" i="5"/>
  <c r="Q178" i="5"/>
  <c r="R178" i="5"/>
  <c r="P179" i="5"/>
  <c r="Q179" i="5"/>
  <c r="R179" i="5"/>
  <c r="P180" i="5"/>
  <c r="Q180" i="5"/>
  <c r="R180" i="5"/>
  <c r="P181" i="5"/>
  <c r="Q181" i="5"/>
  <c r="R181" i="5"/>
  <c r="P182" i="5"/>
  <c r="Q182" i="5"/>
  <c r="R182" i="5"/>
  <c r="P183" i="5"/>
  <c r="Q183" i="5"/>
  <c r="R183" i="5"/>
  <c r="P184" i="5"/>
  <c r="Q184" i="5"/>
  <c r="R184" i="5"/>
  <c r="P185" i="5"/>
  <c r="Q185" i="5"/>
  <c r="R185" i="5"/>
  <c r="P186" i="5"/>
  <c r="Q186" i="5"/>
  <c r="R186" i="5"/>
  <c r="P187" i="5"/>
  <c r="Q187" i="5"/>
  <c r="R187" i="5"/>
  <c r="P188" i="5"/>
  <c r="Q188" i="5"/>
  <c r="R188" i="5"/>
  <c r="P189" i="5"/>
  <c r="Q189" i="5"/>
  <c r="R189" i="5"/>
  <c r="P190" i="5"/>
  <c r="Q190" i="5"/>
  <c r="R190" i="5"/>
  <c r="P191" i="5"/>
  <c r="Q191" i="5"/>
  <c r="R191" i="5"/>
  <c r="P192" i="5"/>
  <c r="Q192" i="5"/>
  <c r="R192" i="5"/>
  <c r="P193" i="5"/>
  <c r="Q193" i="5"/>
  <c r="R193" i="5"/>
  <c r="P194" i="5"/>
  <c r="Q194" i="5"/>
  <c r="R194" i="5"/>
  <c r="P195" i="5"/>
  <c r="Q195" i="5"/>
  <c r="R195" i="5"/>
  <c r="P196" i="5"/>
  <c r="Q196" i="5"/>
  <c r="R196" i="5"/>
  <c r="P197" i="5"/>
  <c r="Q197" i="5"/>
  <c r="R197" i="5"/>
  <c r="P198" i="5"/>
  <c r="Q198" i="5"/>
  <c r="R198" i="5"/>
  <c r="P199" i="5"/>
  <c r="Q199" i="5"/>
  <c r="R199" i="5"/>
  <c r="P200" i="5"/>
  <c r="Q200" i="5"/>
  <c r="R200" i="5"/>
  <c r="P201" i="5"/>
  <c r="Q201" i="5"/>
  <c r="R201" i="5"/>
  <c r="P202" i="5"/>
  <c r="Q202" i="5"/>
  <c r="R202" i="5"/>
  <c r="P203" i="5"/>
  <c r="Q203" i="5"/>
  <c r="R203" i="5"/>
  <c r="P204" i="5"/>
  <c r="Q204" i="5"/>
  <c r="R204" i="5"/>
  <c r="P205" i="5"/>
  <c r="Q205" i="5"/>
  <c r="R205" i="5"/>
  <c r="P206" i="5"/>
  <c r="Q206" i="5"/>
  <c r="R206" i="5"/>
  <c r="P207" i="5"/>
  <c r="Q207" i="5"/>
  <c r="R207" i="5"/>
  <c r="P208" i="5"/>
  <c r="Q208" i="5"/>
  <c r="R208" i="5"/>
  <c r="P209" i="5"/>
  <c r="Q209" i="5"/>
  <c r="R209" i="5"/>
  <c r="P210" i="5"/>
  <c r="Q210" i="5"/>
  <c r="R210" i="5"/>
  <c r="P211" i="5"/>
  <c r="Q211" i="5"/>
  <c r="R211" i="5"/>
  <c r="P212" i="5"/>
  <c r="Q212" i="5"/>
  <c r="R212" i="5"/>
  <c r="P213" i="5"/>
  <c r="Q213" i="5"/>
  <c r="R213" i="5"/>
  <c r="P214" i="5"/>
  <c r="Q214" i="5"/>
  <c r="R214" i="5"/>
  <c r="P215" i="5"/>
  <c r="Q215" i="5"/>
  <c r="R215" i="5"/>
  <c r="P216" i="5"/>
  <c r="Q216" i="5"/>
  <c r="R216" i="5"/>
  <c r="P217" i="5"/>
  <c r="Q217" i="5"/>
  <c r="R217" i="5"/>
  <c r="P218" i="5"/>
  <c r="Q218" i="5"/>
  <c r="R218" i="5"/>
  <c r="P219" i="5"/>
  <c r="Q219" i="5"/>
  <c r="R219" i="5"/>
  <c r="P220" i="5"/>
  <c r="Q220" i="5"/>
  <c r="R220" i="5"/>
  <c r="P221" i="5"/>
  <c r="Q221" i="5"/>
  <c r="R221" i="5"/>
  <c r="P222" i="5"/>
  <c r="Q222" i="5"/>
  <c r="R222" i="5"/>
  <c r="P223" i="5"/>
  <c r="Q223" i="5"/>
  <c r="R223" i="5"/>
  <c r="P224" i="5"/>
  <c r="Q224" i="5"/>
  <c r="R224" i="5"/>
  <c r="P225" i="5"/>
  <c r="Q225" i="5"/>
  <c r="R225" i="5"/>
  <c r="P226" i="5"/>
  <c r="Q226" i="5"/>
  <c r="R226" i="5"/>
  <c r="P227" i="5"/>
  <c r="Q227" i="5"/>
  <c r="R227" i="5"/>
  <c r="P228" i="5"/>
  <c r="Q228" i="5"/>
  <c r="R228" i="5"/>
  <c r="P229" i="5"/>
  <c r="Q229" i="5"/>
  <c r="R229" i="5"/>
  <c r="P230" i="5"/>
  <c r="Q230" i="5"/>
  <c r="R230" i="5"/>
  <c r="P231" i="5"/>
  <c r="Q231" i="5"/>
  <c r="R231" i="5"/>
  <c r="P232" i="5"/>
  <c r="Q232" i="5"/>
  <c r="R232" i="5"/>
  <c r="P233" i="5"/>
  <c r="Q233" i="5"/>
  <c r="R233" i="5"/>
  <c r="P234" i="5"/>
  <c r="Q234" i="5"/>
  <c r="R234" i="5"/>
  <c r="P235" i="5"/>
  <c r="Q235" i="5"/>
  <c r="R235" i="5"/>
  <c r="P236" i="5"/>
  <c r="Q236" i="5"/>
  <c r="R236" i="5"/>
  <c r="P237" i="5"/>
  <c r="Q237" i="5"/>
  <c r="R237" i="5"/>
  <c r="P238" i="5"/>
  <c r="Q238" i="5"/>
  <c r="R238" i="5"/>
  <c r="P239" i="5"/>
  <c r="Q239" i="5"/>
  <c r="R239" i="5"/>
  <c r="P240" i="5"/>
  <c r="Q240" i="5"/>
  <c r="R240" i="5"/>
  <c r="P241" i="5"/>
  <c r="Q241" i="5"/>
  <c r="R241" i="5"/>
  <c r="P242" i="5"/>
  <c r="Q242" i="5"/>
  <c r="R242" i="5"/>
  <c r="P243" i="5"/>
  <c r="Q243" i="5"/>
  <c r="R243" i="5"/>
  <c r="P244" i="5"/>
  <c r="Q244" i="5"/>
  <c r="R244" i="5"/>
  <c r="P245" i="5"/>
  <c r="Q245" i="5"/>
  <c r="R245" i="5"/>
  <c r="P246" i="5"/>
  <c r="Q246" i="5"/>
  <c r="R246" i="5"/>
  <c r="P247" i="5"/>
  <c r="Q247" i="5"/>
  <c r="R247" i="5"/>
  <c r="P248" i="5"/>
  <c r="Q248" i="5"/>
  <c r="R248" i="5"/>
  <c r="P249" i="5"/>
  <c r="Q249" i="5"/>
  <c r="R249" i="5"/>
  <c r="P250" i="5"/>
  <c r="Q250" i="5"/>
  <c r="R250" i="5"/>
  <c r="P251" i="5"/>
  <c r="Q251" i="5"/>
  <c r="R251" i="5"/>
  <c r="P252" i="5"/>
  <c r="Q252" i="5"/>
  <c r="R252" i="5"/>
  <c r="P253" i="5"/>
  <c r="Q253" i="5"/>
  <c r="R253" i="5"/>
  <c r="P254" i="5"/>
  <c r="Q254" i="5"/>
  <c r="R254" i="5"/>
  <c r="P255" i="5"/>
  <c r="Q255" i="5"/>
  <c r="R255" i="5"/>
  <c r="P256" i="5"/>
  <c r="Q256" i="5"/>
  <c r="R256" i="5"/>
  <c r="P257" i="5"/>
  <c r="Q257" i="5"/>
  <c r="R257" i="5"/>
  <c r="P258" i="5"/>
  <c r="Q258" i="5"/>
  <c r="R258" i="5"/>
  <c r="P259" i="5"/>
  <c r="Q259" i="5"/>
  <c r="R259" i="5"/>
  <c r="P260" i="5"/>
  <c r="Q260" i="5"/>
  <c r="R260" i="5"/>
  <c r="P261" i="5"/>
  <c r="Q261" i="5"/>
  <c r="R261" i="5"/>
  <c r="P262" i="5"/>
  <c r="Q262" i="5"/>
  <c r="R262" i="5"/>
  <c r="P263" i="5"/>
  <c r="Q263" i="5"/>
  <c r="R263" i="5"/>
  <c r="P264" i="5"/>
  <c r="Q264" i="5"/>
  <c r="R264" i="5"/>
  <c r="P265" i="5"/>
  <c r="Q265" i="5"/>
  <c r="R265" i="5"/>
  <c r="P266" i="5"/>
  <c r="Q266" i="5"/>
  <c r="R266" i="5"/>
  <c r="P267" i="5"/>
  <c r="Q267" i="5"/>
  <c r="R267" i="5"/>
  <c r="P268" i="5"/>
  <c r="Q268" i="5"/>
  <c r="R268" i="5"/>
  <c r="P269" i="5"/>
  <c r="Q269" i="5"/>
  <c r="R269" i="5"/>
  <c r="P270" i="5"/>
  <c r="Q270" i="5"/>
  <c r="R270" i="5"/>
  <c r="P271" i="5"/>
  <c r="Q271" i="5"/>
  <c r="R271" i="5"/>
  <c r="P272" i="5"/>
  <c r="Q272" i="5"/>
  <c r="R272" i="5"/>
  <c r="P273" i="5"/>
  <c r="Q273" i="5"/>
  <c r="R273" i="5"/>
  <c r="P274" i="5"/>
  <c r="Q274" i="5"/>
  <c r="R274" i="5"/>
  <c r="P275" i="5"/>
  <c r="Q275" i="5"/>
  <c r="R275" i="5"/>
  <c r="P276" i="5"/>
  <c r="Q276" i="5"/>
  <c r="R276" i="5"/>
  <c r="P277" i="5"/>
  <c r="Q277" i="5"/>
  <c r="R277" i="5"/>
  <c r="P278" i="5"/>
  <c r="Q278" i="5"/>
  <c r="R278" i="5"/>
  <c r="P279" i="5"/>
  <c r="Q279" i="5"/>
  <c r="R279" i="5"/>
  <c r="P280" i="5"/>
  <c r="Q280" i="5"/>
  <c r="R280" i="5"/>
  <c r="P281" i="5"/>
  <c r="Q281" i="5"/>
  <c r="R281" i="5"/>
  <c r="P282" i="5"/>
  <c r="Q282" i="5"/>
  <c r="R282" i="5"/>
  <c r="P283" i="5"/>
  <c r="Q283" i="5"/>
  <c r="R283" i="5"/>
  <c r="P284" i="5"/>
  <c r="Q284" i="5"/>
  <c r="R284" i="5"/>
  <c r="P285" i="5"/>
  <c r="Q285" i="5"/>
  <c r="R285" i="5"/>
  <c r="P286" i="5"/>
  <c r="Q286" i="5"/>
  <c r="R286" i="5"/>
  <c r="P287" i="5"/>
  <c r="Q287" i="5"/>
  <c r="R287" i="5"/>
  <c r="P288" i="5"/>
  <c r="Q288" i="5"/>
  <c r="R288" i="5"/>
  <c r="P289" i="5"/>
  <c r="Q289" i="5"/>
  <c r="R289" i="5"/>
  <c r="P290" i="5"/>
  <c r="Q290" i="5"/>
  <c r="R290" i="5"/>
  <c r="P291" i="5"/>
  <c r="Q291" i="5"/>
  <c r="R291" i="5"/>
  <c r="P292" i="5"/>
  <c r="Q292" i="5"/>
  <c r="R292" i="5"/>
  <c r="P293" i="5"/>
  <c r="Q293" i="5"/>
  <c r="R293" i="5"/>
  <c r="P294" i="5"/>
  <c r="Q294" i="5"/>
  <c r="R294" i="5"/>
  <c r="P295" i="5"/>
  <c r="Q295" i="5"/>
  <c r="R295" i="5"/>
  <c r="P296" i="5"/>
  <c r="Q296" i="5"/>
  <c r="R296" i="5"/>
  <c r="P297" i="5"/>
  <c r="Q297" i="5"/>
  <c r="R297" i="5"/>
  <c r="P298" i="5"/>
  <c r="Q298" i="5"/>
  <c r="R298" i="5"/>
  <c r="P299" i="5"/>
  <c r="Q299" i="5"/>
  <c r="R299" i="5"/>
  <c r="P300" i="5"/>
  <c r="Q300" i="5"/>
  <c r="R300" i="5"/>
  <c r="P301" i="5"/>
  <c r="Q301" i="5"/>
  <c r="R301" i="5"/>
  <c r="P302" i="5"/>
  <c r="Q302" i="5"/>
  <c r="R302" i="5"/>
  <c r="P303" i="5"/>
  <c r="Q303" i="5"/>
  <c r="R303" i="5"/>
  <c r="P304" i="5"/>
  <c r="Q304" i="5"/>
  <c r="R304" i="5"/>
  <c r="P305" i="5"/>
  <c r="Q305" i="5"/>
  <c r="R305" i="5"/>
  <c r="P306" i="5"/>
  <c r="Q306" i="5"/>
  <c r="R306" i="5"/>
  <c r="P307" i="5"/>
  <c r="Q307" i="5"/>
  <c r="R307" i="5"/>
  <c r="BW284" i="5"/>
  <c r="BV284" i="5"/>
  <c r="BU284" i="5"/>
  <c r="BT284" i="5"/>
  <c r="BS284" i="5"/>
  <c r="AI284" i="5"/>
  <c r="BH284" i="5"/>
  <c r="BI284" i="5"/>
  <c r="BR284" i="5"/>
  <c r="BQ284" i="5"/>
  <c r="BO284" i="5"/>
  <c r="BP284" i="5"/>
  <c r="BN284" i="5"/>
  <c r="BL284" i="5"/>
  <c r="BM284" i="5"/>
  <c r="BK284" i="5"/>
  <c r="BJ284" i="5"/>
  <c r="BG284" i="5"/>
  <c r="BF284" i="5"/>
  <c r="BE284" i="5"/>
  <c r="BD284" i="5"/>
  <c r="BC284" i="5"/>
  <c r="AP284" i="5"/>
  <c r="AM284" i="5"/>
  <c r="AK284" i="5"/>
  <c r="E284" i="5"/>
  <c r="F284" i="5"/>
  <c r="BW283" i="5"/>
  <c r="BV283" i="5"/>
  <c r="BU283" i="5"/>
  <c r="BT283" i="5"/>
  <c r="BS283" i="5"/>
  <c r="AI283" i="5"/>
  <c r="BH283" i="5"/>
  <c r="BI283" i="5"/>
  <c r="BR283" i="5"/>
  <c r="BQ283" i="5"/>
  <c r="BO283" i="5"/>
  <c r="BP283" i="5"/>
  <c r="BN283" i="5"/>
  <c r="BL283" i="5"/>
  <c r="BM283" i="5"/>
  <c r="BK283" i="5"/>
  <c r="BJ283" i="5"/>
  <c r="BG283" i="5"/>
  <c r="BF283" i="5"/>
  <c r="BE283" i="5"/>
  <c r="BD283" i="5"/>
  <c r="BC283" i="5"/>
  <c r="AP283" i="5"/>
  <c r="AM283" i="5"/>
  <c r="AK283" i="5"/>
  <c r="E283" i="5"/>
  <c r="F283" i="5"/>
  <c r="BW282" i="5"/>
  <c r="BV282" i="5"/>
  <c r="BU282" i="5"/>
  <c r="BT282" i="5"/>
  <c r="BS282" i="5"/>
  <c r="AI282" i="5"/>
  <c r="BH282" i="5"/>
  <c r="BI282" i="5"/>
  <c r="BR282" i="5"/>
  <c r="BQ282" i="5"/>
  <c r="BO282" i="5"/>
  <c r="BP282" i="5"/>
  <c r="BN282" i="5"/>
  <c r="BL282" i="5"/>
  <c r="BM282" i="5"/>
  <c r="BK282" i="5"/>
  <c r="BJ282" i="5"/>
  <c r="BG282" i="5"/>
  <c r="BF282" i="5"/>
  <c r="BE282" i="5"/>
  <c r="BD282" i="5"/>
  <c r="BC282" i="5"/>
  <c r="AP282" i="5"/>
  <c r="AM282" i="5"/>
  <c r="AK282" i="5"/>
  <c r="E282" i="5"/>
  <c r="F282" i="5"/>
  <c r="BW281" i="5"/>
  <c r="BV281" i="5"/>
  <c r="BU281" i="5"/>
  <c r="BT281" i="5"/>
  <c r="BS281" i="5"/>
  <c r="AI281" i="5"/>
  <c r="BH281" i="5"/>
  <c r="BI281" i="5"/>
  <c r="BR281" i="5"/>
  <c r="BQ281" i="5"/>
  <c r="BO281" i="5"/>
  <c r="BP281" i="5"/>
  <c r="BN281" i="5"/>
  <c r="BL281" i="5"/>
  <c r="BM281" i="5"/>
  <c r="BK281" i="5"/>
  <c r="BJ281" i="5"/>
  <c r="BG281" i="5"/>
  <c r="BF281" i="5"/>
  <c r="BE281" i="5"/>
  <c r="BD281" i="5"/>
  <c r="BC281" i="5"/>
  <c r="AP281" i="5"/>
  <c r="AM281" i="5"/>
  <c r="AK281" i="5"/>
  <c r="E281" i="5"/>
  <c r="F281" i="5"/>
  <c r="BW286" i="5"/>
  <c r="BV286" i="5"/>
  <c r="BU286" i="5"/>
  <c r="BT286" i="5"/>
  <c r="BS286" i="5"/>
  <c r="AI286" i="5"/>
  <c r="BH286" i="5"/>
  <c r="BI286" i="5"/>
  <c r="BR286" i="5"/>
  <c r="BQ286" i="5"/>
  <c r="BO286" i="5"/>
  <c r="BP286" i="5"/>
  <c r="BN286" i="5"/>
  <c r="BL286" i="5"/>
  <c r="BM286" i="5"/>
  <c r="BK286" i="5"/>
  <c r="BJ286" i="5"/>
  <c r="BG286" i="5"/>
  <c r="BF286" i="5"/>
  <c r="BE286" i="5"/>
  <c r="BD286" i="5"/>
  <c r="BC286" i="5"/>
  <c r="AP286" i="5"/>
  <c r="AM286" i="5"/>
  <c r="AK286" i="5"/>
  <c r="E286" i="5"/>
  <c r="F286" i="5"/>
  <c r="BW285" i="5"/>
  <c r="BV285" i="5"/>
  <c r="BU285" i="5"/>
  <c r="BT285" i="5"/>
  <c r="BS285" i="5"/>
  <c r="AI285" i="5"/>
  <c r="BH285" i="5"/>
  <c r="BI285" i="5"/>
  <c r="BR285" i="5"/>
  <c r="BQ285" i="5"/>
  <c r="BO285" i="5"/>
  <c r="BP285" i="5"/>
  <c r="BN285" i="5"/>
  <c r="BL285" i="5"/>
  <c r="BM285" i="5"/>
  <c r="BK285" i="5"/>
  <c r="BJ285" i="5"/>
  <c r="BG285" i="5"/>
  <c r="BF285" i="5"/>
  <c r="BE285" i="5"/>
  <c r="BD285" i="5"/>
  <c r="BC285" i="5"/>
  <c r="AP285" i="5"/>
  <c r="AM285" i="5"/>
  <c r="AK285" i="5"/>
  <c r="E285" i="5"/>
  <c r="F285" i="5"/>
  <c r="BW279" i="5"/>
  <c r="BV279" i="5"/>
  <c r="BU279" i="5"/>
  <c r="BT279" i="5"/>
  <c r="BS279" i="5"/>
  <c r="AI279" i="5"/>
  <c r="BH279" i="5"/>
  <c r="BI279" i="5"/>
  <c r="BR279" i="5"/>
  <c r="BQ279" i="5"/>
  <c r="BO279" i="5"/>
  <c r="BP279" i="5"/>
  <c r="BN279" i="5"/>
  <c r="BL279" i="5"/>
  <c r="BM279" i="5"/>
  <c r="BK279" i="5"/>
  <c r="BJ279" i="5"/>
  <c r="BG279" i="5"/>
  <c r="BF279" i="5"/>
  <c r="BE279" i="5"/>
  <c r="BD279" i="5"/>
  <c r="BC279" i="5"/>
  <c r="AP279" i="5"/>
  <c r="AM279" i="5"/>
  <c r="AK279" i="5"/>
  <c r="E279" i="5"/>
  <c r="F279" i="5"/>
  <c r="BW278" i="5"/>
  <c r="BV278" i="5"/>
  <c r="BU278" i="5"/>
  <c r="BT278" i="5"/>
  <c r="BS278" i="5"/>
  <c r="AI278" i="5"/>
  <c r="BH278" i="5"/>
  <c r="BI278" i="5"/>
  <c r="BR278" i="5"/>
  <c r="BQ278" i="5"/>
  <c r="BO278" i="5"/>
  <c r="BP278" i="5"/>
  <c r="BN278" i="5"/>
  <c r="BL278" i="5"/>
  <c r="BM278" i="5"/>
  <c r="BK278" i="5"/>
  <c r="BJ278" i="5"/>
  <c r="BG278" i="5"/>
  <c r="BF278" i="5"/>
  <c r="BE278" i="5"/>
  <c r="BD278" i="5"/>
  <c r="BC278" i="5"/>
  <c r="AP278" i="5"/>
  <c r="AM278" i="5"/>
  <c r="AK278" i="5"/>
  <c r="E278" i="5"/>
  <c r="F278" i="5"/>
  <c r="BW277" i="5"/>
  <c r="BV277" i="5"/>
  <c r="BU277" i="5"/>
  <c r="BT277" i="5"/>
  <c r="BS277" i="5"/>
  <c r="AI277" i="5"/>
  <c r="BH277" i="5"/>
  <c r="BI277" i="5"/>
  <c r="BR277" i="5"/>
  <c r="BQ277" i="5"/>
  <c r="BO277" i="5"/>
  <c r="BP277" i="5"/>
  <c r="BN277" i="5"/>
  <c r="BL277" i="5"/>
  <c r="BM277" i="5"/>
  <c r="BK277" i="5"/>
  <c r="BJ277" i="5"/>
  <c r="BG277" i="5"/>
  <c r="BF277" i="5"/>
  <c r="BE277" i="5"/>
  <c r="BD277" i="5"/>
  <c r="BC277" i="5"/>
  <c r="AP277" i="5"/>
  <c r="AM277" i="5"/>
  <c r="AK277" i="5"/>
  <c r="E277" i="5"/>
  <c r="F277" i="5"/>
  <c r="AI249" i="5"/>
  <c r="AI2" i="5"/>
  <c r="AI3" i="5"/>
  <c r="AI4" i="5"/>
  <c r="AI5" i="5"/>
  <c r="AI6" i="5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I71" i="5"/>
  <c r="AI72" i="5"/>
  <c r="AI73" i="5"/>
  <c r="AI74" i="5"/>
  <c r="AI75" i="5"/>
  <c r="AI76" i="5"/>
  <c r="AI77" i="5"/>
  <c r="AI78" i="5"/>
  <c r="AI79" i="5"/>
  <c r="AI80" i="5"/>
  <c r="AI81" i="5"/>
  <c r="AI82" i="5"/>
  <c r="AI83" i="5"/>
  <c r="AI84" i="5"/>
  <c r="AI85" i="5"/>
  <c r="AI86" i="5"/>
  <c r="AI87" i="5"/>
  <c r="AI88" i="5"/>
  <c r="AI89" i="5"/>
  <c r="AI90" i="5"/>
  <c r="AI91" i="5"/>
  <c r="AI92" i="5"/>
  <c r="AI93" i="5"/>
  <c r="AI94" i="5"/>
  <c r="AI95" i="5"/>
  <c r="AI96" i="5"/>
  <c r="AI97" i="5"/>
  <c r="AI98" i="5"/>
  <c r="AI99" i="5"/>
  <c r="AI100" i="5"/>
  <c r="AI101" i="5"/>
  <c r="AI102" i="5"/>
  <c r="AI103" i="5"/>
  <c r="AI104" i="5"/>
  <c r="AI105" i="5"/>
  <c r="AI106" i="5"/>
  <c r="AI107" i="5"/>
  <c r="AI108" i="5"/>
  <c r="AI109" i="5"/>
  <c r="AI110" i="5"/>
  <c r="AI111" i="5"/>
  <c r="AI112" i="5"/>
  <c r="AI113" i="5"/>
  <c r="AI114" i="5"/>
  <c r="AI115" i="5"/>
  <c r="AI116" i="5"/>
  <c r="AI117" i="5"/>
  <c r="AI118" i="5"/>
  <c r="AI119" i="5"/>
  <c r="AI120" i="5"/>
  <c r="AI121" i="5"/>
  <c r="AI122" i="5"/>
  <c r="AI123" i="5"/>
  <c r="AI124" i="5"/>
  <c r="AI125" i="5"/>
  <c r="AI126" i="5"/>
  <c r="AI127" i="5"/>
  <c r="AI128" i="5"/>
  <c r="AI129" i="5"/>
  <c r="AI130" i="5"/>
  <c r="AI131" i="5"/>
  <c r="AI132" i="5"/>
  <c r="AI133" i="5"/>
  <c r="AI134" i="5"/>
  <c r="AI135" i="5"/>
  <c r="AI136" i="5"/>
  <c r="AI137" i="5"/>
  <c r="AI138" i="5"/>
  <c r="AI139" i="5"/>
  <c r="AI140" i="5"/>
  <c r="AI141" i="5"/>
  <c r="AI142" i="5"/>
  <c r="AI143" i="5"/>
  <c r="AI144" i="5"/>
  <c r="AI145" i="5"/>
  <c r="AI146" i="5"/>
  <c r="AI147" i="5"/>
  <c r="AI148" i="5"/>
  <c r="AI149" i="5"/>
  <c r="AI150" i="5"/>
  <c r="AI151" i="5"/>
  <c r="AI152" i="5"/>
  <c r="AI153" i="5"/>
  <c r="AI154" i="5"/>
  <c r="AI155" i="5"/>
  <c r="AI156" i="5"/>
  <c r="AI157" i="5"/>
  <c r="AI158" i="5"/>
  <c r="AI159" i="5"/>
  <c r="AI160" i="5"/>
  <c r="AI161" i="5"/>
  <c r="AI162" i="5"/>
  <c r="AI163" i="5"/>
  <c r="AI164" i="5"/>
  <c r="AI165" i="5"/>
  <c r="AI166" i="5"/>
  <c r="AI167" i="5"/>
  <c r="AI168" i="5"/>
  <c r="AI169" i="5"/>
  <c r="AI170" i="5"/>
  <c r="AI171" i="5"/>
  <c r="AI172" i="5"/>
  <c r="AI173" i="5"/>
  <c r="AI174" i="5"/>
  <c r="AI175" i="5"/>
  <c r="AI176" i="5"/>
  <c r="AI177" i="5"/>
  <c r="AI178" i="5"/>
  <c r="AI179" i="5"/>
  <c r="AI180" i="5"/>
  <c r="AI181" i="5"/>
  <c r="AI182" i="5"/>
  <c r="AI183" i="5"/>
  <c r="AI184" i="5"/>
  <c r="AI185" i="5"/>
  <c r="AI186" i="5"/>
  <c r="AI187" i="5"/>
  <c r="AI188" i="5"/>
  <c r="AI189" i="5"/>
  <c r="AI190" i="5"/>
  <c r="AI191" i="5"/>
  <c r="AI192" i="5"/>
  <c r="AI193" i="5"/>
  <c r="AI194" i="5"/>
  <c r="AI195" i="5"/>
  <c r="AI196" i="5"/>
  <c r="AI197" i="5"/>
  <c r="AI198" i="5"/>
  <c r="AI199" i="5"/>
  <c r="AI200" i="5"/>
  <c r="AI201" i="5"/>
  <c r="AI202" i="5"/>
  <c r="AI203" i="5"/>
  <c r="AI204" i="5"/>
  <c r="AI205" i="5"/>
  <c r="AI206" i="5"/>
  <c r="AI207" i="5"/>
  <c r="AI208" i="5"/>
  <c r="AI209" i="5"/>
  <c r="AI210" i="5"/>
  <c r="AI211" i="5"/>
  <c r="AI212" i="5"/>
  <c r="AI213" i="5"/>
  <c r="AI214" i="5"/>
  <c r="AI215" i="5"/>
  <c r="AI216" i="5"/>
  <c r="AI217" i="5"/>
  <c r="AI218" i="5"/>
  <c r="AI219" i="5"/>
  <c r="AI220" i="5"/>
  <c r="AI221" i="5"/>
  <c r="AI222" i="5"/>
  <c r="AI223" i="5"/>
  <c r="AI224" i="5"/>
  <c r="AI225" i="5"/>
  <c r="AI226" i="5"/>
  <c r="AI227" i="5"/>
  <c r="AI228" i="5"/>
  <c r="AI229" i="5"/>
  <c r="AI230" i="5"/>
  <c r="AI231" i="5"/>
  <c r="AI232" i="5"/>
  <c r="AI233" i="5"/>
  <c r="AI234" i="5"/>
  <c r="AI235" i="5"/>
  <c r="AI236" i="5"/>
  <c r="AI237" i="5"/>
  <c r="AI238" i="5"/>
  <c r="AI239" i="5"/>
  <c r="AI240" i="5"/>
  <c r="AI241" i="5"/>
  <c r="AI242" i="5"/>
  <c r="AI243" i="5"/>
  <c r="AI244" i="5"/>
  <c r="AI245" i="5"/>
  <c r="AI246" i="5"/>
  <c r="AI247" i="5"/>
  <c r="AI248" i="5"/>
  <c r="AI250" i="5"/>
  <c r="AI251" i="5"/>
  <c r="AI252" i="5"/>
  <c r="AI253" i="5"/>
  <c r="AI254" i="5"/>
  <c r="AI255" i="5"/>
  <c r="AI256" i="5"/>
  <c r="AI257" i="5"/>
  <c r="AI258" i="5"/>
  <c r="AI259" i="5"/>
  <c r="AI260" i="5"/>
  <c r="AI261" i="5"/>
  <c r="AI262" i="5"/>
  <c r="AI263" i="5"/>
  <c r="AI264" i="5"/>
  <c r="AI265" i="5"/>
  <c r="AI266" i="5"/>
  <c r="AI267" i="5"/>
  <c r="AI268" i="5"/>
  <c r="AI269" i="5"/>
  <c r="AI270" i="5"/>
  <c r="AI271" i="5"/>
  <c r="AI272" i="5"/>
  <c r="AI273" i="5"/>
  <c r="AI274" i="5"/>
  <c r="AI275" i="5"/>
  <c r="AI276" i="5"/>
  <c r="D275" i="133"/>
  <c r="E2" i="5"/>
  <c r="F2" i="5"/>
  <c r="E3" i="5"/>
  <c r="F3" i="5"/>
  <c r="E4" i="5"/>
  <c r="F4" i="5"/>
  <c r="E5" i="5"/>
  <c r="F5" i="5"/>
  <c r="E6" i="5"/>
  <c r="F6" i="5"/>
  <c r="E7" i="5"/>
  <c r="F7" i="5"/>
  <c r="E8" i="5"/>
  <c r="F8" i="5"/>
  <c r="E9" i="5"/>
  <c r="F9" i="5"/>
  <c r="E10" i="5"/>
  <c r="F10" i="5"/>
  <c r="E11" i="5"/>
  <c r="F11" i="5"/>
  <c r="E12" i="5"/>
  <c r="F12" i="5"/>
  <c r="E13" i="5"/>
  <c r="F13" i="5"/>
  <c r="E14" i="5"/>
  <c r="F14" i="5"/>
  <c r="E15" i="5"/>
  <c r="F15" i="5"/>
  <c r="E16" i="5"/>
  <c r="F16" i="5"/>
  <c r="E17" i="5"/>
  <c r="F17" i="5"/>
  <c r="E18" i="5"/>
  <c r="F18" i="5"/>
  <c r="E19" i="5"/>
  <c r="F19" i="5"/>
  <c r="E20" i="5"/>
  <c r="F20" i="5"/>
  <c r="E21" i="5"/>
  <c r="F21" i="5"/>
  <c r="E22" i="5"/>
  <c r="F22" i="5"/>
  <c r="F24" i="5"/>
  <c r="E25" i="5"/>
  <c r="F25" i="5"/>
  <c r="E26" i="5"/>
  <c r="F26" i="5"/>
  <c r="E27" i="5"/>
  <c r="F27" i="5"/>
  <c r="E28" i="5"/>
  <c r="F28" i="5"/>
  <c r="E29" i="5"/>
  <c r="F29" i="5"/>
  <c r="E30" i="5"/>
  <c r="F30" i="5"/>
  <c r="E31" i="5"/>
  <c r="F31" i="5"/>
  <c r="E32" i="5"/>
  <c r="F32" i="5"/>
  <c r="E33" i="5"/>
  <c r="F33" i="5"/>
  <c r="E34" i="5"/>
  <c r="F34" i="5"/>
  <c r="E35" i="5"/>
  <c r="F35" i="5"/>
  <c r="E36" i="5"/>
  <c r="F36" i="5"/>
  <c r="E37" i="5"/>
  <c r="F37" i="5"/>
  <c r="E38" i="5"/>
  <c r="F38" i="5"/>
  <c r="E39" i="5"/>
  <c r="F39" i="5"/>
  <c r="E40" i="5"/>
  <c r="F40" i="5"/>
  <c r="E41" i="5"/>
  <c r="F41" i="5"/>
  <c r="E42" i="5"/>
  <c r="F42" i="5"/>
  <c r="E43" i="5"/>
  <c r="F43" i="5"/>
  <c r="E44" i="5"/>
  <c r="F44" i="5"/>
  <c r="E45" i="5"/>
  <c r="F45" i="5"/>
  <c r="E46" i="5"/>
  <c r="F46" i="5"/>
  <c r="E47" i="5"/>
  <c r="F47" i="5"/>
  <c r="E48" i="5"/>
  <c r="F48" i="5"/>
  <c r="E49" i="5"/>
  <c r="F49" i="5"/>
  <c r="E50" i="5"/>
  <c r="F50" i="5"/>
  <c r="E51" i="5"/>
  <c r="F51" i="5"/>
  <c r="E52" i="5"/>
  <c r="F52" i="5"/>
  <c r="E53" i="5"/>
  <c r="F53" i="5"/>
  <c r="E54" i="5"/>
  <c r="F54" i="5"/>
  <c r="E55" i="5"/>
  <c r="F55" i="5"/>
  <c r="E56" i="5"/>
  <c r="F56" i="5"/>
  <c r="E57" i="5"/>
  <c r="F57" i="5"/>
  <c r="E58" i="5"/>
  <c r="F58" i="5"/>
  <c r="E59" i="5"/>
  <c r="F59" i="5"/>
  <c r="E60" i="5"/>
  <c r="F60" i="5"/>
  <c r="E61" i="5"/>
  <c r="F61" i="5"/>
  <c r="E62" i="5"/>
  <c r="F62" i="5"/>
  <c r="E63" i="5"/>
  <c r="F63" i="5"/>
  <c r="E64" i="5"/>
  <c r="F64" i="5"/>
  <c r="E65" i="5"/>
  <c r="F65" i="5"/>
  <c r="E66" i="5"/>
  <c r="F66" i="5"/>
  <c r="E67" i="5"/>
  <c r="F67" i="5"/>
  <c r="E68" i="5"/>
  <c r="F68" i="5"/>
  <c r="E69" i="5"/>
  <c r="F69" i="5"/>
  <c r="E70" i="5"/>
  <c r="F70" i="5"/>
  <c r="E71" i="5"/>
  <c r="F71" i="5"/>
  <c r="E72" i="5"/>
  <c r="F72" i="5"/>
  <c r="E73" i="5"/>
  <c r="F73" i="5"/>
  <c r="E74" i="5"/>
  <c r="F74" i="5"/>
  <c r="E75" i="5"/>
  <c r="F75" i="5"/>
  <c r="E76" i="5"/>
  <c r="F76" i="5"/>
  <c r="E77" i="5"/>
  <c r="F77" i="5"/>
  <c r="E78" i="5"/>
  <c r="F78" i="5"/>
  <c r="E79" i="5"/>
  <c r="F79" i="5"/>
  <c r="E80" i="5"/>
  <c r="F80" i="5"/>
  <c r="E81" i="5"/>
  <c r="F81" i="5"/>
  <c r="E82" i="5"/>
  <c r="F82" i="5"/>
  <c r="E83" i="5"/>
  <c r="F83" i="5"/>
  <c r="E84" i="5"/>
  <c r="F84" i="5"/>
  <c r="E85" i="5"/>
  <c r="F85" i="5"/>
  <c r="E86" i="5"/>
  <c r="F86" i="5"/>
  <c r="E87" i="5"/>
  <c r="F87" i="5"/>
  <c r="E88" i="5"/>
  <c r="F88" i="5"/>
  <c r="E89" i="5"/>
  <c r="F89" i="5"/>
  <c r="E90" i="5"/>
  <c r="F90" i="5"/>
  <c r="E91" i="5"/>
  <c r="F91" i="5"/>
  <c r="E92" i="5"/>
  <c r="F92" i="5"/>
  <c r="E93" i="5"/>
  <c r="F93" i="5"/>
  <c r="E94" i="5"/>
  <c r="F94" i="5"/>
  <c r="E95" i="5"/>
  <c r="F95" i="5"/>
  <c r="E96" i="5"/>
  <c r="F96" i="5"/>
  <c r="E97" i="5"/>
  <c r="F97" i="5"/>
  <c r="E98" i="5"/>
  <c r="F98" i="5"/>
  <c r="E99" i="5"/>
  <c r="F99" i="5"/>
  <c r="E100" i="5"/>
  <c r="F100" i="5"/>
  <c r="E101" i="5"/>
  <c r="F101" i="5"/>
  <c r="E102" i="5"/>
  <c r="F102" i="5"/>
  <c r="E103" i="5"/>
  <c r="F103" i="5"/>
  <c r="E104" i="5"/>
  <c r="F104" i="5"/>
  <c r="E105" i="5"/>
  <c r="F105" i="5"/>
  <c r="E106" i="5"/>
  <c r="F106" i="5"/>
  <c r="E107" i="5"/>
  <c r="F107" i="5"/>
  <c r="E108" i="5"/>
  <c r="F108" i="5"/>
  <c r="E109" i="5"/>
  <c r="F109" i="5"/>
  <c r="E110" i="5"/>
  <c r="F110" i="5"/>
  <c r="E111" i="5"/>
  <c r="F111" i="5"/>
  <c r="E112" i="5"/>
  <c r="F112" i="5"/>
  <c r="E113" i="5"/>
  <c r="F113" i="5"/>
  <c r="E114" i="5"/>
  <c r="F114" i="5"/>
  <c r="E115" i="5"/>
  <c r="F115" i="5"/>
  <c r="E116" i="5"/>
  <c r="F116" i="5"/>
  <c r="E117" i="5"/>
  <c r="F117" i="5"/>
  <c r="E118" i="5"/>
  <c r="F118" i="5"/>
  <c r="E119" i="5"/>
  <c r="F119" i="5"/>
  <c r="E120" i="5"/>
  <c r="F120" i="5"/>
  <c r="E121" i="5"/>
  <c r="F121" i="5"/>
  <c r="E122" i="5"/>
  <c r="F122" i="5"/>
  <c r="E123" i="5"/>
  <c r="F123" i="5"/>
  <c r="E124" i="5"/>
  <c r="F124" i="5"/>
  <c r="E125" i="5"/>
  <c r="F125" i="5"/>
  <c r="E126" i="5"/>
  <c r="F126" i="5"/>
  <c r="E127" i="5"/>
  <c r="F127" i="5"/>
  <c r="E128" i="5"/>
  <c r="F128" i="5"/>
  <c r="E129" i="5"/>
  <c r="F129" i="5"/>
  <c r="E130" i="5"/>
  <c r="F130" i="5"/>
  <c r="E131" i="5"/>
  <c r="F131" i="5"/>
  <c r="E132" i="5"/>
  <c r="F132" i="5"/>
  <c r="E133" i="5"/>
  <c r="F133" i="5"/>
  <c r="E134" i="5"/>
  <c r="F134" i="5"/>
  <c r="E135" i="5"/>
  <c r="F135" i="5"/>
  <c r="E136" i="5"/>
  <c r="F136" i="5"/>
  <c r="E137" i="5"/>
  <c r="F137" i="5"/>
  <c r="E138" i="5"/>
  <c r="F138" i="5"/>
  <c r="E139" i="5"/>
  <c r="F139" i="5"/>
  <c r="E140" i="5"/>
  <c r="F140" i="5"/>
  <c r="E141" i="5"/>
  <c r="F141" i="5"/>
  <c r="E142" i="5"/>
  <c r="F142" i="5"/>
  <c r="E143" i="5"/>
  <c r="F143" i="5"/>
  <c r="E144" i="5"/>
  <c r="F144" i="5"/>
  <c r="E145" i="5"/>
  <c r="F145" i="5"/>
  <c r="E146" i="5"/>
  <c r="F146" i="5"/>
  <c r="E147" i="5"/>
  <c r="F147" i="5"/>
  <c r="E148" i="5"/>
  <c r="F148" i="5"/>
  <c r="E149" i="5"/>
  <c r="F149" i="5"/>
  <c r="E150" i="5"/>
  <c r="F150" i="5"/>
  <c r="E151" i="5"/>
  <c r="F151" i="5"/>
  <c r="E152" i="5"/>
  <c r="F152" i="5"/>
  <c r="E153" i="5"/>
  <c r="F153" i="5"/>
  <c r="E154" i="5"/>
  <c r="F154" i="5"/>
  <c r="E155" i="5"/>
  <c r="F155" i="5"/>
  <c r="E156" i="5"/>
  <c r="F156" i="5"/>
  <c r="E157" i="5"/>
  <c r="F157" i="5"/>
  <c r="E158" i="5"/>
  <c r="F158" i="5"/>
  <c r="E159" i="5"/>
  <c r="F159" i="5"/>
  <c r="E160" i="5"/>
  <c r="F160" i="5"/>
  <c r="E161" i="5"/>
  <c r="F161" i="5"/>
  <c r="E162" i="5"/>
  <c r="F162" i="5"/>
  <c r="E163" i="5"/>
  <c r="F163" i="5"/>
  <c r="E164" i="5"/>
  <c r="F164" i="5"/>
  <c r="E165" i="5"/>
  <c r="F165" i="5"/>
  <c r="E166" i="5"/>
  <c r="F166" i="5"/>
  <c r="E167" i="5"/>
  <c r="F167" i="5"/>
  <c r="E168" i="5"/>
  <c r="F168" i="5"/>
  <c r="E169" i="5"/>
  <c r="F169" i="5"/>
  <c r="E170" i="5"/>
  <c r="F170" i="5"/>
  <c r="E171" i="5"/>
  <c r="F171" i="5"/>
  <c r="E172" i="5"/>
  <c r="F172" i="5"/>
  <c r="E173" i="5"/>
  <c r="F173" i="5"/>
  <c r="E174" i="5"/>
  <c r="F174" i="5"/>
  <c r="E175" i="5"/>
  <c r="F175" i="5"/>
  <c r="E176" i="5"/>
  <c r="F176" i="5"/>
  <c r="E177" i="5"/>
  <c r="F177" i="5"/>
  <c r="E178" i="5"/>
  <c r="F178" i="5"/>
  <c r="E179" i="5"/>
  <c r="F179" i="5"/>
  <c r="E180" i="5"/>
  <c r="F180" i="5"/>
  <c r="E181" i="5"/>
  <c r="F181" i="5"/>
  <c r="E182" i="5"/>
  <c r="F182" i="5"/>
  <c r="E183" i="5"/>
  <c r="F183" i="5"/>
  <c r="E184" i="5"/>
  <c r="F184" i="5"/>
  <c r="E185" i="5"/>
  <c r="F185" i="5"/>
  <c r="E186" i="5"/>
  <c r="F186" i="5"/>
  <c r="E187" i="5"/>
  <c r="F187" i="5"/>
  <c r="E188" i="5"/>
  <c r="F188" i="5"/>
  <c r="E189" i="5"/>
  <c r="F189" i="5"/>
  <c r="E190" i="5"/>
  <c r="F190" i="5"/>
  <c r="E191" i="5"/>
  <c r="F191" i="5"/>
  <c r="E192" i="5"/>
  <c r="F192" i="5"/>
  <c r="E193" i="5"/>
  <c r="F193" i="5"/>
  <c r="E194" i="5"/>
  <c r="F194" i="5"/>
  <c r="E195" i="5"/>
  <c r="F195" i="5"/>
  <c r="E196" i="5"/>
  <c r="F196" i="5"/>
  <c r="E197" i="5"/>
  <c r="F197" i="5"/>
  <c r="E198" i="5"/>
  <c r="F198" i="5"/>
  <c r="E199" i="5"/>
  <c r="F199" i="5"/>
  <c r="E200" i="5"/>
  <c r="F200" i="5"/>
  <c r="E201" i="5"/>
  <c r="F201" i="5"/>
  <c r="E202" i="5"/>
  <c r="F202" i="5"/>
  <c r="E203" i="5"/>
  <c r="F203" i="5"/>
  <c r="E204" i="5"/>
  <c r="F204" i="5"/>
  <c r="E205" i="5"/>
  <c r="F205" i="5"/>
  <c r="E206" i="5"/>
  <c r="F206" i="5"/>
  <c r="E207" i="5"/>
  <c r="F207" i="5"/>
  <c r="E208" i="5"/>
  <c r="F208" i="5"/>
  <c r="E209" i="5"/>
  <c r="F209" i="5"/>
  <c r="E210" i="5"/>
  <c r="F210" i="5"/>
  <c r="E211" i="5"/>
  <c r="F211" i="5"/>
  <c r="E212" i="5"/>
  <c r="F212" i="5"/>
  <c r="E213" i="5"/>
  <c r="F213" i="5"/>
  <c r="E214" i="5"/>
  <c r="F214" i="5"/>
  <c r="E215" i="5"/>
  <c r="F215" i="5"/>
  <c r="E216" i="5"/>
  <c r="F216" i="5"/>
  <c r="E217" i="5"/>
  <c r="F217" i="5"/>
  <c r="E218" i="5"/>
  <c r="F218" i="5"/>
  <c r="E219" i="5"/>
  <c r="F219" i="5"/>
  <c r="E220" i="5"/>
  <c r="F220" i="5"/>
  <c r="E221" i="5"/>
  <c r="F221" i="5"/>
  <c r="E222" i="5"/>
  <c r="F222" i="5"/>
  <c r="E223" i="5"/>
  <c r="F223" i="5"/>
  <c r="E224" i="5"/>
  <c r="F224" i="5"/>
  <c r="E225" i="5"/>
  <c r="F225" i="5"/>
  <c r="E226" i="5"/>
  <c r="F226" i="5"/>
  <c r="E227" i="5"/>
  <c r="F227" i="5"/>
  <c r="E228" i="5"/>
  <c r="F228" i="5"/>
  <c r="E229" i="5"/>
  <c r="F229" i="5"/>
  <c r="E230" i="5"/>
  <c r="F230" i="5"/>
  <c r="E231" i="5"/>
  <c r="F231" i="5"/>
  <c r="E232" i="5"/>
  <c r="F232" i="5"/>
  <c r="E233" i="5"/>
  <c r="F233" i="5"/>
  <c r="E234" i="5"/>
  <c r="F234" i="5"/>
  <c r="E235" i="5"/>
  <c r="F235" i="5"/>
  <c r="E236" i="5"/>
  <c r="F236" i="5"/>
  <c r="E237" i="5"/>
  <c r="F237" i="5"/>
  <c r="E238" i="5"/>
  <c r="F238" i="5"/>
  <c r="E239" i="5"/>
  <c r="F239" i="5"/>
  <c r="E240" i="5"/>
  <c r="F240" i="5"/>
  <c r="E241" i="5"/>
  <c r="F241" i="5"/>
  <c r="E242" i="5"/>
  <c r="F242" i="5"/>
  <c r="E243" i="5"/>
  <c r="F243" i="5"/>
  <c r="E244" i="5"/>
  <c r="F244" i="5"/>
  <c r="E245" i="5"/>
  <c r="F245" i="5"/>
  <c r="E246" i="5"/>
  <c r="F246" i="5"/>
  <c r="E247" i="5"/>
  <c r="F247" i="5"/>
  <c r="E248" i="5"/>
  <c r="F248" i="5"/>
  <c r="E249" i="5"/>
  <c r="F249" i="5"/>
  <c r="E250" i="5"/>
  <c r="F250" i="5"/>
  <c r="E251" i="5"/>
  <c r="F251" i="5"/>
  <c r="E259" i="5"/>
  <c r="F259" i="5"/>
  <c r="E260" i="5"/>
  <c r="F260" i="5"/>
  <c r="E261" i="5"/>
  <c r="F261" i="5"/>
  <c r="E262" i="5"/>
  <c r="F262" i="5"/>
  <c r="E263" i="5"/>
  <c r="F263" i="5"/>
  <c r="E264" i="5"/>
  <c r="F264" i="5"/>
  <c r="E265" i="5"/>
  <c r="F265" i="5"/>
  <c r="E266" i="5"/>
  <c r="F266" i="5"/>
  <c r="E267" i="5"/>
  <c r="F267" i="5"/>
  <c r="E268" i="5"/>
  <c r="F268" i="5"/>
  <c r="E269" i="5"/>
  <c r="F269" i="5"/>
  <c r="E270" i="5"/>
  <c r="F270" i="5"/>
  <c r="E271" i="5"/>
  <c r="F271" i="5"/>
  <c r="E272" i="5"/>
  <c r="F272" i="5"/>
  <c r="E273" i="5"/>
  <c r="F273" i="5"/>
  <c r="E274" i="5"/>
  <c r="F274" i="5"/>
  <c r="E275" i="5"/>
  <c r="F275" i="5"/>
  <c r="E276" i="5"/>
  <c r="F276" i="5"/>
  <c r="E280" i="5"/>
  <c r="F280" i="5"/>
  <c r="E287" i="5"/>
  <c r="F287" i="5"/>
  <c r="E288" i="5"/>
  <c r="F288" i="5"/>
  <c r="E289" i="5"/>
  <c r="F289" i="5"/>
  <c r="E290" i="5"/>
  <c r="F290" i="5"/>
  <c r="E291" i="5"/>
  <c r="F291" i="5"/>
  <c r="E292" i="5"/>
  <c r="F292" i="5"/>
  <c r="E293" i="5"/>
  <c r="F293" i="5"/>
  <c r="E294" i="5"/>
  <c r="F294" i="5"/>
  <c r="E295" i="5"/>
  <c r="F295" i="5"/>
  <c r="E296" i="5"/>
  <c r="F296" i="5"/>
  <c r="E297" i="5"/>
  <c r="F297" i="5"/>
  <c r="E298" i="5"/>
  <c r="F298" i="5"/>
  <c r="E299" i="5"/>
  <c r="F299" i="5"/>
  <c r="E300" i="5"/>
  <c r="F300" i="5"/>
  <c r="E301" i="5"/>
  <c r="F301" i="5"/>
  <c r="E302" i="5"/>
  <c r="F302" i="5"/>
  <c r="E303" i="5"/>
  <c r="F303" i="5"/>
  <c r="E304" i="5"/>
  <c r="F304" i="5"/>
  <c r="E305" i="5"/>
  <c r="F305" i="5"/>
  <c r="E306" i="5"/>
  <c r="F306" i="5"/>
  <c r="E307" i="5"/>
  <c r="F307" i="5"/>
  <c r="E308" i="5"/>
  <c r="F308" i="5"/>
  <c r="E309" i="5"/>
  <c r="F309" i="5"/>
  <c r="F23" i="5"/>
  <c r="D254" i="133"/>
  <c r="E254" i="133"/>
  <c r="BW2" i="5"/>
  <c r="BW3" i="5"/>
  <c r="BW4" i="5"/>
  <c r="BW5" i="5"/>
  <c r="BW6" i="5"/>
  <c r="BW7" i="5"/>
  <c r="BW8" i="5"/>
  <c r="BW9" i="5"/>
  <c r="BW10" i="5"/>
  <c r="BW11" i="5"/>
  <c r="BW12" i="5"/>
  <c r="BW13" i="5"/>
  <c r="BW14" i="5"/>
  <c r="BW15" i="5"/>
  <c r="BW16" i="5"/>
  <c r="BW17" i="5"/>
  <c r="BW18" i="5"/>
  <c r="BW19" i="5"/>
  <c r="BW20" i="5"/>
  <c r="BW21" i="5"/>
  <c r="BW22" i="5"/>
  <c r="BW23" i="5"/>
  <c r="BW24" i="5"/>
  <c r="BW25" i="5"/>
  <c r="BW26" i="5"/>
  <c r="BW27" i="5"/>
  <c r="BW28" i="5"/>
  <c r="BW29" i="5"/>
  <c r="BW30" i="5"/>
  <c r="BW31" i="5"/>
  <c r="BW32" i="5"/>
  <c r="BW33" i="5"/>
  <c r="BW34" i="5"/>
  <c r="BW35" i="5"/>
  <c r="BW36" i="5"/>
  <c r="BW37" i="5"/>
  <c r="BW38" i="5"/>
  <c r="BW39" i="5"/>
  <c r="BW40" i="5"/>
  <c r="BW41" i="5"/>
  <c r="BW42" i="5"/>
  <c r="BW43" i="5"/>
  <c r="BW44" i="5"/>
  <c r="BW45" i="5"/>
  <c r="BW46" i="5"/>
  <c r="BW47" i="5"/>
  <c r="BW48" i="5"/>
  <c r="BW49" i="5"/>
  <c r="BW50" i="5"/>
  <c r="BW51" i="5"/>
  <c r="BW52" i="5"/>
  <c r="BW53" i="5"/>
  <c r="BW54" i="5"/>
  <c r="BW55" i="5"/>
  <c r="BW56" i="5"/>
  <c r="BW57" i="5"/>
  <c r="BW58" i="5"/>
  <c r="BW59" i="5"/>
  <c r="BW60" i="5"/>
  <c r="BW61" i="5"/>
  <c r="BW62" i="5"/>
  <c r="BW63" i="5"/>
  <c r="BW64" i="5"/>
  <c r="BW65" i="5"/>
  <c r="BW66" i="5"/>
  <c r="BW67" i="5"/>
  <c r="BW68" i="5"/>
  <c r="BW69" i="5"/>
  <c r="BW70" i="5"/>
  <c r="BW71" i="5"/>
  <c r="BW72" i="5"/>
  <c r="BW73" i="5"/>
  <c r="BW74" i="5"/>
  <c r="BW75" i="5"/>
  <c r="BW76" i="5"/>
  <c r="BW77" i="5"/>
  <c r="BW78" i="5"/>
  <c r="BW79" i="5"/>
  <c r="BW80" i="5"/>
  <c r="BW81" i="5"/>
  <c r="BW82" i="5"/>
  <c r="BW83" i="5"/>
  <c r="BW84" i="5"/>
  <c r="BW85" i="5"/>
  <c r="BW86" i="5"/>
  <c r="BW87" i="5"/>
  <c r="BW88" i="5"/>
  <c r="BW89" i="5"/>
  <c r="BW90" i="5"/>
  <c r="BW91" i="5"/>
  <c r="BW92" i="5"/>
  <c r="BW93" i="5"/>
  <c r="BW94" i="5"/>
  <c r="BW95" i="5"/>
  <c r="BW96" i="5"/>
  <c r="BW97" i="5"/>
  <c r="BW98" i="5"/>
  <c r="BW99" i="5"/>
  <c r="BW100" i="5"/>
  <c r="BW101" i="5"/>
  <c r="BW102" i="5"/>
  <c r="BW103" i="5"/>
  <c r="BW104" i="5"/>
  <c r="BW105" i="5"/>
  <c r="BW106" i="5"/>
  <c r="BW107" i="5"/>
  <c r="BW108" i="5"/>
  <c r="BW109" i="5"/>
  <c r="BW110" i="5"/>
  <c r="BW111" i="5"/>
  <c r="BW112" i="5"/>
  <c r="BW113" i="5"/>
  <c r="BW114" i="5"/>
  <c r="BW115" i="5"/>
  <c r="BW116" i="5"/>
  <c r="BW117" i="5"/>
  <c r="BW118" i="5"/>
  <c r="BW119" i="5"/>
  <c r="BW120" i="5"/>
  <c r="BW121" i="5"/>
  <c r="BW122" i="5"/>
  <c r="BW123" i="5"/>
  <c r="BW124" i="5"/>
  <c r="BW125" i="5"/>
  <c r="BW126" i="5"/>
  <c r="BW127" i="5"/>
  <c r="BW128" i="5"/>
  <c r="BW129" i="5"/>
  <c r="BW130" i="5"/>
  <c r="BW131" i="5"/>
  <c r="BW132" i="5"/>
  <c r="BW133" i="5"/>
  <c r="BW134" i="5"/>
  <c r="BW135" i="5"/>
  <c r="BW136" i="5"/>
  <c r="BW137" i="5"/>
  <c r="BW138" i="5"/>
  <c r="BW139" i="5"/>
  <c r="BW140" i="5"/>
  <c r="BW141" i="5"/>
  <c r="BW142" i="5"/>
  <c r="BW143" i="5"/>
  <c r="BW144" i="5"/>
  <c r="BW145" i="5"/>
  <c r="BW146" i="5"/>
  <c r="BW147" i="5"/>
  <c r="BW148" i="5"/>
  <c r="BW149" i="5"/>
  <c r="BW150" i="5"/>
  <c r="BW151" i="5"/>
  <c r="BW152" i="5"/>
  <c r="BW153" i="5"/>
  <c r="BW154" i="5"/>
  <c r="BW155" i="5"/>
  <c r="BW156" i="5"/>
  <c r="BW157" i="5"/>
  <c r="BW158" i="5"/>
  <c r="BW159" i="5"/>
  <c r="BW160" i="5"/>
  <c r="BW161" i="5"/>
  <c r="BW162" i="5"/>
  <c r="BW163" i="5"/>
  <c r="BW164" i="5"/>
  <c r="BW165" i="5"/>
  <c r="BW166" i="5"/>
  <c r="BW167" i="5"/>
  <c r="BW168" i="5"/>
  <c r="BW169" i="5"/>
  <c r="BW170" i="5"/>
  <c r="BW171" i="5"/>
  <c r="BW172" i="5"/>
  <c r="BW173" i="5"/>
  <c r="BW174" i="5"/>
  <c r="BW175" i="5"/>
  <c r="BW176" i="5"/>
  <c r="BW177" i="5"/>
  <c r="BW178" i="5"/>
  <c r="BW179" i="5"/>
  <c r="BW180" i="5"/>
  <c r="BW181" i="5"/>
  <c r="BW182" i="5"/>
  <c r="BW183" i="5"/>
  <c r="BW184" i="5"/>
  <c r="BW185" i="5"/>
  <c r="BW186" i="5"/>
  <c r="BW187" i="5"/>
  <c r="BW188" i="5"/>
  <c r="BW189" i="5"/>
  <c r="BW190" i="5"/>
  <c r="BW191" i="5"/>
  <c r="BW192" i="5"/>
  <c r="BW193" i="5"/>
  <c r="BW194" i="5"/>
  <c r="BW195" i="5"/>
  <c r="BW196" i="5"/>
  <c r="BW197" i="5"/>
  <c r="BW198" i="5"/>
  <c r="BW199" i="5"/>
  <c r="BW200" i="5"/>
  <c r="BW201" i="5"/>
  <c r="BW202" i="5"/>
  <c r="BW203" i="5"/>
  <c r="BW204" i="5"/>
  <c r="BW205" i="5"/>
  <c r="BW206" i="5"/>
  <c r="BW207" i="5"/>
  <c r="BW208" i="5"/>
  <c r="BW209" i="5"/>
  <c r="BW210" i="5"/>
  <c r="BW211" i="5"/>
  <c r="BW212" i="5"/>
  <c r="BW213" i="5"/>
  <c r="BW214" i="5"/>
  <c r="BW215" i="5"/>
  <c r="BW216" i="5"/>
  <c r="BW217" i="5"/>
  <c r="BW218" i="5"/>
  <c r="BW219" i="5"/>
  <c r="BW220" i="5"/>
  <c r="BW221" i="5"/>
  <c r="BW222" i="5"/>
  <c r="BW223" i="5"/>
  <c r="BW224" i="5"/>
  <c r="BW225" i="5"/>
  <c r="BW226" i="5"/>
  <c r="BW227" i="5"/>
  <c r="BW228" i="5"/>
  <c r="BW229" i="5"/>
  <c r="BW230" i="5"/>
  <c r="BW231" i="5"/>
  <c r="BW232" i="5"/>
  <c r="BW233" i="5"/>
  <c r="BW234" i="5"/>
  <c r="BW235" i="5"/>
  <c r="BW236" i="5"/>
  <c r="BW237" i="5"/>
  <c r="BW238" i="5"/>
  <c r="BW239" i="5"/>
  <c r="BW240" i="5"/>
  <c r="BW241" i="5"/>
  <c r="BW242" i="5"/>
  <c r="BW243" i="5"/>
  <c r="BW244" i="5"/>
  <c r="BW245" i="5"/>
  <c r="BW246" i="5"/>
  <c r="BW247" i="5"/>
  <c r="BW248" i="5"/>
  <c r="BW249" i="5"/>
  <c r="BW250" i="5"/>
  <c r="BW251" i="5"/>
  <c r="BW252" i="5"/>
  <c r="BW253" i="5"/>
  <c r="BW254" i="5"/>
  <c r="BW255" i="5"/>
  <c r="BW256" i="5"/>
  <c r="BW257" i="5"/>
  <c r="BW258" i="5"/>
  <c r="BW259" i="5"/>
  <c r="BW260" i="5"/>
  <c r="BW261" i="5"/>
  <c r="BW262" i="5"/>
  <c r="BW263" i="5"/>
  <c r="BW264" i="5"/>
  <c r="BW265" i="5"/>
  <c r="BW266" i="5"/>
  <c r="BW267" i="5"/>
  <c r="BW268" i="5"/>
  <c r="BW269" i="5"/>
  <c r="BW270" i="5"/>
  <c r="BW271" i="5"/>
  <c r="BW272" i="5"/>
  <c r="BW273" i="5"/>
  <c r="BW274" i="5"/>
  <c r="BW275" i="5"/>
  <c r="BW276" i="5"/>
  <c r="BW280" i="5"/>
  <c r="BW287" i="5"/>
  <c r="BW288" i="5"/>
  <c r="BW289" i="5"/>
  <c r="BW290" i="5"/>
  <c r="BW291" i="5"/>
  <c r="BW292" i="5"/>
  <c r="BW293" i="5"/>
  <c r="BW294" i="5"/>
  <c r="BW295" i="5"/>
  <c r="BW296" i="5"/>
  <c r="BW297" i="5"/>
  <c r="BW298" i="5"/>
  <c r="BW299" i="5"/>
  <c r="BW300" i="5"/>
  <c r="BW301" i="5"/>
  <c r="BW302" i="5"/>
  <c r="BW303" i="5"/>
  <c r="BW304" i="5"/>
  <c r="BW305" i="5"/>
  <c r="BW306" i="5"/>
  <c r="BW307" i="5"/>
  <c r="D253" i="133"/>
  <c r="E253" i="133"/>
  <c r="E275" i="133"/>
  <c r="D274" i="133"/>
  <c r="E274" i="133"/>
  <c r="D273" i="133"/>
  <c r="E273" i="133"/>
  <c r="D270" i="133"/>
  <c r="D251" i="133"/>
  <c r="E270" i="133"/>
  <c r="D269" i="133"/>
  <c r="E269" i="133"/>
  <c r="BL249" i="5"/>
  <c r="BM249" i="5"/>
  <c r="BL251" i="5"/>
  <c r="BM251" i="5"/>
  <c r="BL2" i="5"/>
  <c r="BM2" i="5"/>
  <c r="BL3" i="5"/>
  <c r="BM3" i="5"/>
  <c r="BL4" i="5"/>
  <c r="BM4" i="5"/>
  <c r="BL5" i="5"/>
  <c r="BM5" i="5"/>
  <c r="BL6" i="5"/>
  <c r="BM6" i="5"/>
  <c r="BL7" i="5"/>
  <c r="BM7" i="5"/>
  <c r="BL8" i="5"/>
  <c r="BM8" i="5"/>
  <c r="BL9" i="5"/>
  <c r="BM9" i="5"/>
  <c r="BL10" i="5"/>
  <c r="BM10" i="5"/>
  <c r="BL11" i="5"/>
  <c r="BM11" i="5"/>
  <c r="BL12" i="5"/>
  <c r="BM12" i="5"/>
  <c r="BL13" i="5"/>
  <c r="BM13" i="5"/>
  <c r="BL14" i="5"/>
  <c r="BM14" i="5"/>
  <c r="BL15" i="5"/>
  <c r="BM15" i="5"/>
  <c r="BL16" i="5"/>
  <c r="BM16" i="5"/>
  <c r="BL17" i="5"/>
  <c r="BM17" i="5"/>
  <c r="BL18" i="5"/>
  <c r="BM18" i="5"/>
  <c r="BL19" i="5"/>
  <c r="BM19" i="5"/>
  <c r="BL20" i="5"/>
  <c r="BM20" i="5"/>
  <c r="BL21" i="5"/>
  <c r="BM21" i="5"/>
  <c r="BL22" i="5"/>
  <c r="BM22" i="5"/>
  <c r="BL23" i="5"/>
  <c r="BM23" i="5"/>
  <c r="BL24" i="5"/>
  <c r="BM24" i="5"/>
  <c r="BL25" i="5"/>
  <c r="BM25" i="5"/>
  <c r="BL26" i="5"/>
  <c r="BM26" i="5"/>
  <c r="BL27" i="5"/>
  <c r="BM27" i="5"/>
  <c r="BL28" i="5"/>
  <c r="BM28" i="5"/>
  <c r="BL29" i="5"/>
  <c r="BM29" i="5"/>
  <c r="BL30" i="5"/>
  <c r="BM30" i="5"/>
  <c r="BL31" i="5"/>
  <c r="BM31" i="5"/>
  <c r="BL32" i="5"/>
  <c r="BM32" i="5"/>
  <c r="BL33" i="5"/>
  <c r="BM33" i="5"/>
  <c r="BL34" i="5"/>
  <c r="BM34" i="5"/>
  <c r="BL35" i="5"/>
  <c r="BM35" i="5"/>
  <c r="BL36" i="5"/>
  <c r="BM36" i="5"/>
  <c r="BL37" i="5"/>
  <c r="BM37" i="5"/>
  <c r="BL38" i="5"/>
  <c r="BM38" i="5"/>
  <c r="BL39" i="5"/>
  <c r="BM39" i="5"/>
  <c r="BL40" i="5"/>
  <c r="BM40" i="5"/>
  <c r="BL41" i="5"/>
  <c r="BM41" i="5"/>
  <c r="BL42" i="5"/>
  <c r="BM42" i="5"/>
  <c r="BL43" i="5"/>
  <c r="BM43" i="5"/>
  <c r="BL44" i="5"/>
  <c r="BM44" i="5"/>
  <c r="BL45" i="5"/>
  <c r="BM45" i="5"/>
  <c r="BL46" i="5"/>
  <c r="BM46" i="5"/>
  <c r="BL47" i="5"/>
  <c r="BM47" i="5"/>
  <c r="BL48" i="5"/>
  <c r="BM48" i="5"/>
  <c r="BL49" i="5"/>
  <c r="BM49" i="5"/>
  <c r="BL50" i="5"/>
  <c r="BM50" i="5"/>
  <c r="BL51" i="5"/>
  <c r="BM51" i="5"/>
  <c r="BL52" i="5"/>
  <c r="BM52" i="5"/>
  <c r="BL53" i="5"/>
  <c r="BM53" i="5"/>
  <c r="BL54" i="5"/>
  <c r="BM54" i="5"/>
  <c r="BL55" i="5"/>
  <c r="BM55" i="5"/>
  <c r="BL56" i="5"/>
  <c r="BM56" i="5"/>
  <c r="BL57" i="5"/>
  <c r="BM57" i="5"/>
  <c r="BL58" i="5"/>
  <c r="BM58" i="5"/>
  <c r="BL59" i="5"/>
  <c r="BM59" i="5"/>
  <c r="BL60" i="5"/>
  <c r="BM60" i="5"/>
  <c r="BL61" i="5"/>
  <c r="BM61" i="5"/>
  <c r="BL62" i="5"/>
  <c r="BM62" i="5"/>
  <c r="BL63" i="5"/>
  <c r="BM63" i="5"/>
  <c r="BL64" i="5"/>
  <c r="BM64" i="5"/>
  <c r="BL65" i="5"/>
  <c r="BM65" i="5"/>
  <c r="BL66" i="5"/>
  <c r="BM66" i="5"/>
  <c r="BL67" i="5"/>
  <c r="BM67" i="5"/>
  <c r="BL68" i="5"/>
  <c r="BM68" i="5"/>
  <c r="BL69" i="5"/>
  <c r="BM69" i="5"/>
  <c r="BL70" i="5"/>
  <c r="BM70" i="5"/>
  <c r="BL71" i="5"/>
  <c r="BM71" i="5"/>
  <c r="BL72" i="5"/>
  <c r="BM72" i="5"/>
  <c r="BL73" i="5"/>
  <c r="BM73" i="5"/>
  <c r="BL74" i="5"/>
  <c r="BM74" i="5"/>
  <c r="BL75" i="5"/>
  <c r="BM75" i="5"/>
  <c r="BL76" i="5"/>
  <c r="BM76" i="5"/>
  <c r="BL77" i="5"/>
  <c r="BM77" i="5"/>
  <c r="BL78" i="5"/>
  <c r="BM78" i="5"/>
  <c r="BL79" i="5"/>
  <c r="BM79" i="5"/>
  <c r="BL80" i="5"/>
  <c r="BM80" i="5"/>
  <c r="BL81" i="5"/>
  <c r="BM81" i="5"/>
  <c r="BL82" i="5"/>
  <c r="BM82" i="5"/>
  <c r="BL83" i="5"/>
  <c r="BM83" i="5"/>
  <c r="BL84" i="5"/>
  <c r="BM84" i="5"/>
  <c r="BL85" i="5"/>
  <c r="BM85" i="5"/>
  <c r="BL86" i="5"/>
  <c r="BM86" i="5"/>
  <c r="BL87" i="5"/>
  <c r="BM87" i="5"/>
  <c r="BL88" i="5"/>
  <c r="BM88" i="5"/>
  <c r="BL89" i="5"/>
  <c r="BM89" i="5"/>
  <c r="BL90" i="5"/>
  <c r="BM90" i="5"/>
  <c r="BL91" i="5"/>
  <c r="BM91" i="5"/>
  <c r="BL92" i="5"/>
  <c r="BM92" i="5"/>
  <c r="BL93" i="5"/>
  <c r="BM93" i="5"/>
  <c r="BL94" i="5"/>
  <c r="BM94" i="5"/>
  <c r="BL95" i="5"/>
  <c r="BM95" i="5"/>
  <c r="BL96" i="5"/>
  <c r="BM96" i="5"/>
  <c r="BL97" i="5"/>
  <c r="BM97" i="5"/>
  <c r="BL98" i="5"/>
  <c r="BM98" i="5"/>
  <c r="BL99" i="5"/>
  <c r="BM99" i="5"/>
  <c r="BL100" i="5"/>
  <c r="BM100" i="5"/>
  <c r="BL101" i="5"/>
  <c r="BM101" i="5"/>
  <c r="BL102" i="5"/>
  <c r="BM102" i="5"/>
  <c r="BL103" i="5"/>
  <c r="BM103" i="5"/>
  <c r="BL104" i="5"/>
  <c r="BM104" i="5"/>
  <c r="BL105" i="5"/>
  <c r="BM105" i="5"/>
  <c r="BL106" i="5"/>
  <c r="BM106" i="5"/>
  <c r="BL107" i="5"/>
  <c r="BM107" i="5"/>
  <c r="BL108" i="5"/>
  <c r="BM108" i="5"/>
  <c r="BL109" i="5"/>
  <c r="BM109" i="5"/>
  <c r="BL110" i="5"/>
  <c r="BM110" i="5"/>
  <c r="BL111" i="5"/>
  <c r="BM111" i="5"/>
  <c r="BL112" i="5"/>
  <c r="BM112" i="5"/>
  <c r="BL113" i="5"/>
  <c r="BM113" i="5"/>
  <c r="BL114" i="5"/>
  <c r="BM114" i="5"/>
  <c r="BL115" i="5"/>
  <c r="BM115" i="5"/>
  <c r="BL116" i="5"/>
  <c r="BM116" i="5"/>
  <c r="BL117" i="5"/>
  <c r="BM117" i="5"/>
  <c r="BL118" i="5"/>
  <c r="BM118" i="5"/>
  <c r="BL119" i="5"/>
  <c r="BM119" i="5"/>
  <c r="BL120" i="5"/>
  <c r="BM120" i="5"/>
  <c r="BL121" i="5"/>
  <c r="BM121" i="5"/>
  <c r="BL122" i="5"/>
  <c r="BM122" i="5"/>
  <c r="BL123" i="5"/>
  <c r="BM123" i="5"/>
  <c r="BL124" i="5"/>
  <c r="BM124" i="5"/>
  <c r="BL125" i="5"/>
  <c r="BM125" i="5"/>
  <c r="BL126" i="5"/>
  <c r="BM126" i="5"/>
  <c r="BL127" i="5"/>
  <c r="BM127" i="5"/>
  <c r="BL128" i="5"/>
  <c r="BM128" i="5"/>
  <c r="BL129" i="5"/>
  <c r="BM129" i="5"/>
  <c r="BL130" i="5"/>
  <c r="BM130" i="5"/>
  <c r="BL131" i="5"/>
  <c r="BM131" i="5"/>
  <c r="BL132" i="5"/>
  <c r="BM132" i="5"/>
  <c r="BL133" i="5"/>
  <c r="BM133" i="5"/>
  <c r="BL134" i="5"/>
  <c r="BM134" i="5"/>
  <c r="BL135" i="5"/>
  <c r="BM135" i="5"/>
  <c r="BL136" i="5"/>
  <c r="BM136" i="5"/>
  <c r="BL137" i="5"/>
  <c r="BM137" i="5"/>
  <c r="BL138" i="5"/>
  <c r="BM138" i="5"/>
  <c r="BL139" i="5"/>
  <c r="BM139" i="5"/>
  <c r="BL140" i="5"/>
  <c r="BM140" i="5"/>
  <c r="BL141" i="5"/>
  <c r="BM141" i="5"/>
  <c r="BL142" i="5"/>
  <c r="BM142" i="5"/>
  <c r="BL143" i="5"/>
  <c r="BM143" i="5"/>
  <c r="BL144" i="5"/>
  <c r="BM144" i="5"/>
  <c r="BL145" i="5"/>
  <c r="BM145" i="5"/>
  <c r="BL146" i="5"/>
  <c r="BM146" i="5"/>
  <c r="BL147" i="5"/>
  <c r="BM147" i="5"/>
  <c r="BL148" i="5"/>
  <c r="BM148" i="5"/>
  <c r="BL149" i="5"/>
  <c r="BM149" i="5"/>
  <c r="BL150" i="5"/>
  <c r="BM150" i="5"/>
  <c r="BL151" i="5"/>
  <c r="BM151" i="5"/>
  <c r="BL152" i="5"/>
  <c r="BM152" i="5"/>
  <c r="BL153" i="5"/>
  <c r="BM153" i="5"/>
  <c r="BL154" i="5"/>
  <c r="BM154" i="5"/>
  <c r="BL155" i="5"/>
  <c r="BM155" i="5"/>
  <c r="BL156" i="5"/>
  <c r="BM156" i="5"/>
  <c r="BL157" i="5"/>
  <c r="BM157" i="5"/>
  <c r="BL158" i="5"/>
  <c r="BM158" i="5"/>
  <c r="BL159" i="5"/>
  <c r="BM159" i="5"/>
  <c r="BL160" i="5"/>
  <c r="BM160" i="5"/>
  <c r="BL161" i="5"/>
  <c r="BM161" i="5"/>
  <c r="BL162" i="5"/>
  <c r="BM162" i="5"/>
  <c r="BL163" i="5"/>
  <c r="BM163" i="5"/>
  <c r="BL164" i="5"/>
  <c r="BM164" i="5"/>
  <c r="BL165" i="5"/>
  <c r="BM165" i="5"/>
  <c r="BL166" i="5"/>
  <c r="BM166" i="5"/>
  <c r="BL167" i="5"/>
  <c r="BM167" i="5"/>
  <c r="BL168" i="5"/>
  <c r="BM168" i="5"/>
  <c r="BL169" i="5"/>
  <c r="BM169" i="5"/>
  <c r="BL170" i="5"/>
  <c r="BM170" i="5"/>
  <c r="BL171" i="5"/>
  <c r="BM171" i="5"/>
  <c r="BL172" i="5"/>
  <c r="BM172" i="5"/>
  <c r="BL173" i="5"/>
  <c r="BM173" i="5"/>
  <c r="BL174" i="5"/>
  <c r="BM174" i="5"/>
  <c r="BL175" i="5"/>
  <c r="BM175" i="5"/>
  <c r="BL176" i="5"/>
  <c r="BM176" i="5"/>
  <c r="BL177" i="5"/>
  <c r="BM177" i="5"/>
  <c r="BL178" i="5"/>
  <c r="BM178" i="5"/>
  <c r="BL179" i="5"/>
  <c r="BM179" i="5"/>
  <c r="BL180" i="5"/>
  <c r="BM180" i="5"/>
  <c r="BL181" i="5"/>
  <c r="BM181" i="5"/>
  <c r="BL182" i="5"/>
  <c r="BM182" i="5"/>
  <c r="BL183" i="5"/>
  <c r="BM183" i="5"/>
  <c r="BL184" i="5"/>
  <c r="BM184" i="5"/>
  <c r="BL185" i="5"/>
  <c r="BM185" i="5"/>
  <c r="BL186" i="5"/>
  <c r="BM186" i="5"/>
  <c r="BL187" i="5"/>
  <c r="BM187" i="5"/>
  <c r="BL188" i="5"/>
  <c r="BM188" i="5"/>
  <c r="BL189" i="5"/>
  <c r="BM189" i="5"/>
  <c r="BL190" i="5"/>
  <c r="BM190" i="5"/>
  <c r="BL191" i="5"/>
  <c r="BM191" i="5"/>
  <c r="BL192" i="5"/>
  <c r="BM192" i="5"/>
  <c r="BL193" i="5"/>
  <c r="BM193" i="5"/>
  <c r="BL194" i="5"/>
  <c r="BM194" i="5"/>
  <c r="BL195" i="5"/>
  <c r="BM195" i="5"/>
  <c r="BL196" i="5"/>
  <c r="BM196" i="5"/>
  <c r="BL197" i="5"/>
  <c r="BM197" i="5"/>
  <c r="BL198" i="5"/>
  <c r="BM198" i="5"/>
  <c r="BL199" i="5"/>
  <c r="BM199" i="5"/>
  <c r="BL200" i="5"/>
  <c r="BM200" i="5"/>
  <c r="BL201" i="5"/>
  <c r="BM201" i="5"/>
  <c r="BL202" i="5"/>
  <c r="BM202" i="5"/>
  <c r="BL203" i="5"/>
  <c r="BM203" i="5"/>
  <c r="BL204" i="5"/>
  <c r="BM204" i="5"/>
  <c r="BL205" i="5"/>
  <c r="BM205" i="5"/>
  <c r="BL206" i="5"/>
  <c r="BM206" i="5"/>
  <c r="BL207" i="5"/>
  <c r="BM207" i="5"/>
  <c r="BL208" i="5"/>
  <c r="BM208" i="5"/>
  <c r="BL209" i="5"/>
  <c r="BM209" i="5"/>
  <c r="BL210" i="5"/>
  <c r="BM210" i="5"/>
  <c r="BL211" i="5"/>
  <c r="BM211" i="5"/>
  <c r="BL212" i="5"/>
  <c r="BM212" i="5"/>
  <c r="BL213" i="5"/>
  <c r="BM213" i="5"/>
  <c r="BL214" i="5"/>
  <c r="BM214" i="5"/>
  <c r="BL215" i="5"/>
  <c r="BM215" i="5"/>
  <c r="BL216" i="5"/>
  <c r="BM216" i="5"/>
  <c r="BL217" i="5"/>
  <c r="BM217" i="5"/>
  <c r="BL218" i="5"/>
  <c r="BM218" i="5"/>
  <c r="BL219" i="5"/>
  <c r="BM219" i="5"/>
  <c r="BL220" i="5"/>
  <c r="BM220" i="5"/>
  <c r="BL221" i="5"/>
  <c r="BM221" i="5"/>
  <c r="BL222" i="5"/>
  <c r="BM222" i="5"/>
  <c r="BL223" i="5"/>
  <c r="BM223" i="5"/>
  <c r="BL224" i="5"/>
  <c r="BM224" i="5"/>
  <c r="BL225" i="5"/>
  <c r="BM225" i="5"/>
  <c r="BL226" i="5"/>
  <c r="BM226" i="5"/>
  <c r="BL227" i="5"/>
  <c r="BM227" i="5"/>
  <c r="BL228" i="5"/>
  <c r="BM228" i="5"/>
  <c r="BL229" i="5"/>
  <c r="BM229" i="5"/>
  <c r="BL230" i="5"/>
  <c r="BM230" i="5"/>
  <c r="BL231" i="5"/>
  <c r="BM231" i="5"/>
  <c r="BL232" i="5"/>
  <c r="BM232" i="5"/>
  <c r="BL233" i="5"/>
  <c r="BM233" i="5"/>
  <c r="BL234" i="5"/>
  <c r="BM234" i="5"/>
  <c r="BL235" i="5"/>
  <c r="BM235" i="5"/>
  <c r="BL236" i="5"/>
  <c r="BM236" i="5"/>
  <c r="BL237" i="5"/>
  <c r="BM237" i="5"/>
  <c r="BL238" i="5"/>
  <c r="BM238" i="5"/>
  <c r="BL239" i="5"/>
  <c r="BM239" i="5"/>
  <c r="BL240" i="5"/>
  <c r="BM240" i="5"/>
  <c r="BL241" i="5"/>
  <c r="BM241" i="5"/>
  <c r="BL242" i="5"/>
  <c r="BM242" i="5"/>
  <c r="BL243" i="5"/>
  <c r="BM243" i="5"/>
  <c r="BL244" i="5"/>
  <c r="BM244" i="5"/>
  <c r="BL245" i="5"/>
  <c r="BM245" i="5"/>
  <c r="BL246" i="5"/>
  <c r="BM246" i="5"/>
  <c r="BL247" i="5"/>
  <c r="BM247" i="5"/>
  <c r="BL248" i="5"/>
  <c r="BM248" i="5"/>
  <c r="BL250" i="5"/>
  <c r="BM250" i="5"/>
  <c r="BL252" i="5"/>
  <c r="BM252" i="5"/>
  <c r="BL253" i="5"/>
  <c r="BM253" i="5"/>
  <c r="BL254" i="5"/>
  <c r="BM254" i="5"/>
  <c r="BL255" i="5"/>
  <c r="BM255" i="5"/>
  <c r="BL256" i="5"/>
  <c r="BM256" i="5"/>
  <c r="BL257" i="5"/>
  <c r="BM257" i="5"/>
  <c r="BL258" i="5"/>
  <c r="BM258" i="5"/>
  <c r="BL259" i="5"/>
  <c r="BM259" i="5"/>
  <c r="D272" i="133"/>
  <c r="BO2" i="5"/>
  <c r="BP2" i="5"/>
  <c r="BO3" i="5"/>
  <c r="BP3" i="5"/>
  <c r="BO4" i="5"/>
  <c r="BP4" i="5"/>
  <c r="BO5" i="5"/>
  <c r="BP5" i="5"/>
  <c r="BO6" i="5"/>
  <c r="BP6" i="5"/>
  <c r="BO7" i="5"/>
  <c r="BP7" i="5"/>
  <c r="BO8" i="5"/>
  <c r="BP8" i="5"/>
  <c r="BO9" i="5"/>
  <c r="BP9" i="5"/>
  <c r="BO10" i="5"/>
  <c r="BP10" i="5"/>
  <c r="BO11" i="5"/>
  <c r="BP11" i="5"/>
  <c r="BO12" i="5"/>
  <c r="BP12" i="5"/>
  <c r="BO13" i="5"/>
  <c r="BP13" i="5"/>
  <c r="BO14" i="5"/>
  <c r="BP14" i="5"/>
  <c r="BO15" i="5"/>
  <c r="BP15" i="5"/>
  <c r="BO16" i="5"/>
  <c r="BP16" i="5"/>
  <c r="BO17" i="5"/>
  <c r="BP17" i="5"/>
  <c r="BO18" i="5"/>
  <c r="BP18" i="5"/>
  <c r="BO19" i="5"/>
  <c r="BP19" i="5"/>
  <c r="BO20" i="5"/>
  <c r="BP20" i="5"/>
  <c r="BO21" i="5"/>
  <c r="BP21" i="5"/>
  <c r="BO22" i="5"/>
  <c r="BP22" i="5"/>
  <c r="BO23" i="5"/>
  <c r="BP23" i="5"/>
  <c r="BO24" i="5"/>
  <c r="BP24" i="5"/>
  <c r="BO25" i="5"/>
  <c r="BP25" i="5"/>
  <c r="BO26" i="5"/>
  <c r="BP26" i="5"/>
  <c r="BO27" i="5"/>
  <c r="BP27" i="5"/>
  <c r="BO28" i="5"/>
  <c r="BP28" i="5"/>
  <c r="BO29" i="5"/>
  <c r="BP29" i="5"/>
  <c r="BO30" i="5"/>
  <c r="BP30" i="5"/>
  <c r="BO31" i="5"/>
  <c r="BP31" i="5"/>
  <c r="BO32" i="5"/>
  <c r="BP32" i="5"/>
  <c r="BO33" i="5"/>
  <c r="BP33" i="5"/>
  <c r="BO34" i="5"/>
  <c r="BP34" i="5"/>
  <c r="BO35" i="5"/>
  <c r="BP35" i="5"/>
  <c r="BO36" i="5"/>
  <c r="BP36" i="5"/>
  <c r="BO37" i="5"/>
  <c r="BP37" i="5"/>
  <c r="BO38" i="5"/>
  <c r="BP38" i="5"/>
  <c r="BO39" i="5"/>
  <c r="BP39" i="5"/>
  <c r="BO40" i="5"/>
  <c r="BP40" i="5"/>
  <c r="BO41" i="5"/>
  <c r="BP41" i="5"/>
  <c r="BO42" i="5"/>
  <c r="BP42" i="5"/>
  <c r="BO43" i="5"/>
  <c r="BP43" i="5"/>
  <c r="BO44" i="5"/>
  <c r="BP44" i="5"/>
  <c r="BO45" i="5"/>
  <c r="BP45" i="5"/>
  <c r="BO46" i="5"/>
  <c r="BP46" i="5"/>
  <c r="BO47" i="5"/>
  <c r="BP47" i="5"/>
  <c r="BO48" i="5"/>
  <c r="BP48" i="5"/>
  <c r="BO49" i="5"/>
  <c r="BP49" i="5"/>
  <c r="BO50" i="5"/>
  <c r="BP50" i="5"/>
  <c r="BO51" i="5"/>
  <c r="BP51" i="5"/>
  <c r="BO52" i="5"/>
  <c r="BP52" i="5"/>
  <c r="BO53" i="5"/>
  <c r="BP53" i="5"/>
  <c r="BO54" i="5"/>
  <c r="BP54" i="5"/>
  <c r="BO55" i="5"/>
  <c r="BP55" i="5"/>
  <c r="BO56" i="5"/>
  <c r="BP56" i="5"/>
  <c r="BO57" i="5"/>
  <c r="BP57" i="5"/>
  <c r="BO58" i="5"/>
  <c r="BP58" i="5"/>
  <c r="BO59" i="5"/>
  <c r="BP59" i="5"/>
  <c r="BO60" i="5"/>
  <c r="BP60" i="5"/>
  <c r="BO61" i="5"/>
  <c r="BP61" i="5"/>
  <c r="BO62" i="5"/>
  <c r="BP62" i="5"/>
  <c r="BO63" i="5"/>
  <c r="BP63" i="5"/>
  <c r="BO64" i="5"/>
  <c r="BP64" i="5"/>
  <c r="BO65" i="5"/>
  <c r="BP65" i="5"/>
  <c r="BO66" i="5"/>
  <c r="BP66" i="5"/>
  <c r="BO67" i="5"/>
  <c r="BP67" i="5"/>
  <c r="BO68" i="5"/>
  <c r="BP68" i="5"/>
  <c r="BO69" i="5"/>
  <c r="BP69" i="5"/>
  <c r="BO70" i="5"/>
  <c r="BP70" i="5"/>
  <c r="BO71" i="5"/>
  <c r="BP71" i="5"/>
  <c r="BO72" i="5"/>
  <c r="BP72" i="5"/>
  <c r="BO73" i="5"/>
  <c r="BP73" i="5"/>
  <c r="BO74" i="5"/>
  <c r="BP74" i="5"/>
  <c r="BO75" i="5"/>
  <c r="BP75" i="5"/>
  <c r="BO76" i="5"/>
  <c r="BP76" i="5"/>
  <c r="BO77" i="5"/>
  <c r="BP77" i="5"/>
  <c r="BO78" i="5"/>
  <c r="BP78" i="5"/>
  <c r="BO79" i="5"/>
  <c r="BP79" i="5"/>
  <c r="BO80" i="5"/>
  <c r="BP80" i="5"/>
  <c r="BO81" i="5"/>
  <c r="BP81" i="5"/>
  <c r="BO82" i="5"/>
  <c r="BP82" i="5"/>
  <c r="BO83" i="5"/>
  <c r="BP83" i="5"/>
  <c r="BO84" i="5"/>
  <c r="BP84" i="5"/>
  <c r="BO85" i="5"/>
  <c r="BP85" i="5"/>
  <c r="BO86" i="5"/>
  <c r="BP86" i="5"/>
  <c r="BO87" i="5"/>
  <c r="BP87" i="5"/>
  <c r="BO88" i="5"/>
  <c r="BP88" i="5"/>
  <c r="BO89" i="5"/>
  <c r="BP89" i="5"/>
  <c r="BO90" i="5"/>
  <c r="BP90" i="5"/>
  <c r="BO91" i="5"/>
  <c r="BP91" i="5"/>
  <c r="BO92" i="5"/>
  <c r="BP92" i="5"/>
  <c r="BO93" i="5"/>
  <c r="BP93" i="5"/>
  <c r="BO94" i="5"/>
  <c r="BP94" i="5"/>
  <c r="BO95" i="5"/>
  <c r="BP95" i="5"/>
  <c r="BO96" i="5"/>
  <c r="BP96" i="5"/>
  <c r="BO97" i="5"/>
  <c r="BP97" i="5"/>
  <c r="BO98" i="5"/>
  <c r="BP98" i="5"/>
  <c r="BO99" i="5"/>
  <c r="BP99" i="5"/>
  <c r="BO100" i="5"/>
  <c r="BP100" i="5"/>
  <c r="BO101" i="5"/>
  <c r="BP101" i="5"/>
  <c r="BO102" i="5"/>
  <c r="BP102" i="5"/>
  <c r="BO103" i="5"/>
  <c r="BP103" i="5"/>
  <c r="BO104" i="5"/>
  <c r="BP104" i="5"/>
  <c r="BO105" i="5"/>
  <c r="BP105" i="5"/>
  <c r="BO106" i="5"/>
  <c r="BP106" i="5"/>
  <c r="BO107" i="5"/>
  <c r="BP107" i="5"/>
  <c r="BO108" i="5"/>
  <c r="BP108" i="5"/>
  <c r="BO109" i="5"/>
  <c r="BP109" i="5"/>
  <c r="BO110" i="5"/>
  <c r="BP110" i="5"/>
  <c r="BO111" i="5"/>
  <c r="BP111" i="5"/>
  <c r="BO112" i="5"/>
  <c r="BP112" i="5"/>
  <c r="BO113" i="5"/>
  <c r="BP113" i="5"/>
  <c r="BO114" i="5"/>
  <c r="BP114" i="5"/>
  <c r="BO115" i="5"/>
  <c r="BP115" i="5"/>
  <c r="BO116" i="5"/>
  <c r="BP116" i="5"/>
  <c r="BO117" i="5"/>
  <c r="BP117" i="5"/>
  <c r="BO118" i="5"/>
  <c r="BP118" i="5"/>
  <c r="BO119" i="5"/>
  <c r="BP119" i="5"/>
  <c r="BO120" i="5"/>
  <c r="BP120" i="5"/>
  <c r="BO121" i="5"/>
  <c r="BP121" i="5"/>
  <c r="BO122" i="5"/>
  <c r="BP122" i="5"/>
  <c r="BO123" i="5"/>
  <c r="BP123" i="5"/>
  <c r="BO124" i="5"/>
  <c r="BP124" i="5"/>
  <c r="BO125" i="5"/>
  <c r="BP125" i="5"/>
  <c r="BO126" i="5"/>
  <c r="BP126" i="5"/>
  <c r="BO127" i="5"/>
  <c r="BP127" i="5"/>
  <c r="BO128" i="5"/>
  <c r="BP128" i="5"/>
  <c r="BO129" i="5"/>
  <c r="BP129" i="5"/>
  <c r="BO130" i="5"/>
  <c r="BP130" i="5"/>
  <c r="BO131" i="5"/>
  <c r="BP131" i="5"/>
  <c r="BO132" i="5"/>
  <c r="BP132" i="5"/>
  <c r="BO133" i="5"/>
  <c r="BP133" i="5"/>
  <c r="BO134" i="5"/>
  <c r="BP134" i="5"/>
  <c r="BO135" i="5"/>
  <c r="BP135" i="5"/>
  <c r="BO136" i="5"/>
  <c r="BP136" i="5"/>
  <c r="BO137" i="5"/>
  <c r="BP137" i="5"/>
  <c r="BO138" i="5"/>
  <c r="BP138" i="5"/>
  <c r="BO139" i="5"/>
  <c r="BP139" i="5"/>
  <c r="BO140" i="5"/>
  <c r="BP140" i="5"/>
  <c r="BO141" i="5"/>
  <c r="BP141" i="5"/>
  <c r="BO142" i="5"/>
  <c r="BP142" i="5"/>
  <c r="BO143" i="5"/>
  <c r="BP143" i="5"/>
  <c r="BO144" i="5"/>
  <c r="BP144" i="5"/>
  <c r="BO145" i="5"/>
  <c r="BP145" i="5"/>
  <c r="BO146" i="5"/>
  <c r="BP146" i="5"/>
  <c r="BO147" i="5"/>
  <c r="BP147" i="5"/>
  <c r="BO148" i="5"/>
  <c r="BP148" i="5"/>
  <c r="BO149" i="5"/>
  <c r="BP149" i="5"/>
  <c r="BO150" i="5"/>
  <c r="BP150" i="5"/>
  <c r="BO151" i="5"/>
  <c r="BP151" i="5"/>
  <c r="BO152" i="5"/>
  <c r="BP152" i="5"/>
  <c r="BO153" i="5"/>
  <c r="BP153" i="5"/>
  <c r="BO154" i="5"/>
  <c r="BP154" i="5"/>
  <c r="BO155" i="5"/>
  <c r="BP155" i="5"/>
  <c r="BO156" i="5"/>
  <c r="BP156" i="5"/>
  <c r="BO157" i="5"/>
  <c r="BP157" i="5"/>
  <c r="BO158" i="5"/>
  <c r="BP158" i="5"/>
  <c r="BO159" i="5"/>
  <c r="BP159" i="5"/>
  <c r="BO160" i="5"/>
  <c r="BP160" i="5"/>
  <c r="BO161" i="5"/>
  <c r="BP161" i="5"/>
  <c r="BO162" i="5"/>
  <c r="BP162" i="5"/>
  <c r="BO163" i="5"/>
  <c r="BP163" i="5"/>
  <c r="BO164" i="5"/>
  <c r="BP164" i="5"/>
  <c r="BO165" i="5"/>
  <c r="BP165" i="5"/>
  <c r="BO166" i="5"/>
  <c r="BP166" i="5"/>
  <c r="BO167" i="5"/>
  <c r="BP167" i="5"/>
  <c r="BO168" i="5"/>
  <c r="BP168" i="5"/>
  <c r="BO169" i="5"/>
  <c r="BP169" i="5"/>
  <c r="BO170" i="5"/>
  <c r="BP170" i="5"/>
  <c r="BO171" i="5"/>
  <c r="BP171" i="5"/>
  <c r="BO172" i="5"/>
  <c r="BP172" i="5"/>
  <c r="BO173" i="5"/>
  <c r="BP173" i="5"/>
  <c r="BO174" i="5"/>
  <c r="BP174" i="5"/>
  <c r="BO175" i="5"/>
  <c r="BP175" i="5"/>
  <c r="BO176" i="5"/>
  <c r="BP176" i="5"/>
  <c r="BO177" i="5"/>
  <c r="BP177" i="5"/>
  <c r="BO178" i="5"/>
  <c r="BP178" i="5"/>
  <c r="BO179" i="5"/>
  <c r="BP179" i="5"/>
  <c r="BO180" i="5"/>
  <c r="BP180" i="5"/>
  <c r="BO181" i="5"/>
  <c r="BP181" i="5"/>
  <c r="BO182" i="5"/>
  <c r="BP182" i="5"/>
  <c r="BO183" i="5"/>
  <c r="BP183" i="5"/>
  <c r="BO184" i="5"/>
  <c r="BP184" i="5"/>
  <c r="BO185" i="5"/>
  <c r="BP185" i="5"/>
  <c r="BO186" i="5"/>
  <c r="BP186" i="5"/>
  <c r="BO187" i="5"/>
  <c r="BP187" i="5"/>
  <c r="BO188" i="5"/>
  <c r="BP188" i="5"/>
  <c r="BO189" i="5"/>
  <c r="BP189" i="5"/>
  <c r="BO190" i="5"/>
  <c r="BP190" i="5"/>
  <c r="BO191" i="5"/>
  <c r="BP191" i="5"/>
  <c r="BO192" i="5"/>
  <c r="BP192" i="5"/>
  <c r="BO193" i="5"/>
  <c r="BP193" i="5"/>
  <c r="BO194" i="5"/>
  <c r="BP194" i="5"/>
  <c r="BO195" i="5"/>
  <c r="BP195" i="5"/>
  <c r="BO196" i="5"/>
  <c r="BP196" i="5"/>
  <c r="BO197" i="5"/>
  <c r="BP197" i="5"/>
  <c r="BO198" i="5"/>
  <c r="BP198" i="5"/>
  <c r="BO199" i="5"/>
  <c r="BP199" i="5"/>
  <c r="BO200" i="5"/>
  <c r="BP200" i="5"/>
  <c r="BO201" i="5"/>
  <c r="BP201" i="5"/>
  <c r="BO202" i="5"/>
  <c r="BP202" i="5"/>
  <c r="BO203" i="5"/>
  <c r="BP203" i="5"/>
  <c r="BO204" i="5"/>
  <c r="BP204" i="5"/>
  <c r="BO205" i="5"/>
  <c r="BP205" i="5"/>
  <c r="BO206" i="5"/>
  <c r="BP206" i="5"/>
  <c r="BO207" i="5"/>
  <c r="BP207" i="5"/>
  <c r="BO208" i="5"/>
  <c r="BP208" i="5"/>
  <c r="BO209" i="5"/>
  <c r="BP209" i="5"/>
  <c r="BO210" i="5"/>
  <c r="BP210" i="5"/>
  <c r="BO211" i="5"/>
  <c r="BP211" i="5"/>
  <c r="BO212" i="5"/>
  <c r="BP212" i="5"/>
  <c r="BO213" i="5"/>
  <c r="BP213" i="5"/>
  <c r="BO214" i="5"/>
  <c r="BP214" i="5"/>
  <c r="BO215" i="5"/>
  <c r="BP215" i="5"/>
  <c r="BO216" i="5"/>
  <c r="BP216" i="5"/>
  <c r="BO217" i="5"/>
  <c r="BP217" i="5"/>
  <c r="BO218" i="5"/>
  <c r="BP218" i="5"/>
  <c r="BO219" i="5"/>
  <c r="BP219" i="5"/>
  <c r="BO220" i="5"/>
  <c r="BP220" i="5"/>
  <c r="BO221" i="5"/>
  <c r="BP221" i="5"/>
  <c r="BO222" i="5"/>
  <c r="BP222" i="5"/>
  <c r="BO223" i="5"/>
  <c r="BP223" i="5"/>
  <c r="BO224" i="5"/>
  <c r="BP224" i="5"/>
  <c r="BO225" i="5"/>
  <c r="BP225" i="5"/>
  <c r="BO226" i="5"/>
  <c r="BP226" i="5"/>
  <c r="BO227" i="5"/>
  <c r="BP227" i="5"/>
  <c r="BO228" i="5"/>
  <c r="BP228" i="5"/>
  <c r="BO229" i="5"/>
  <c r="BP229" i="5"/>
  <c r="BO230" i="5"/>
  <c r="BP230" i="5"/>
  <c r="BO231" i="5"/>
  <c r="BP231" i="5"/>
  <c r="BO232" i="5"/>
  <c r="BP232" i="5"/>
  <c r="BO233" i="5"/>
  <c r="BP233" i="5"/>
  <c r="BO234" i="5"/>
  <c r="BP234" i="5"/>
  <c r="BO235" i="5"/>
  <c r="BP235" i="5"/>
  <c r="BO236" i="5"/>
  <c r="BP236" i="5"/>
  <c r="BO237" i="5"/>
  <c r="BP237" i="5"/>
  <c r="BO238" i="5"/>
  <c r="BP238" i="5"/>
  <c r="BO239" i="5"/>
  <c r="BP239" i="5"/>
  <c r="BO240" i="5"/>
  <c r="BP240" i="5"/>
  <c r="BO241" i="5"/>
  <c r="BP241" i="5"/>
  <c r="BO242" i="5"/>
  <c r="BP242" i="5"/>
  <c r="BO243" i="5"/>
  <c r="BP243" i="5"/>
  <c r="BO244" i="5"/>
  <c r="BP244" i="5"/>
  <c r="BO245" i="5"/>
  <c r="BP245" i="5"/>
  <c r="BO246" i="5"/>
  <c r="BP246" i="5"/>
  <c r="BO247" i="5"/>
  <c r="BP247" i="5"/>
  <c r="BO248" i="5"/>
  <c r="BP248" i="5"/>
  <c r="BO249" i="5"/>
  <c r="BP249" i="5"/>
  <c r="BO250" i="5"/>
  <c r="BP250" i="5"/>
  <c r="BO251" i="5"/>
  <c r="BP251" i="5"/>
  <c r="BO252" i="5"/>
  <c r="BP252" i="5"/>
  <c r="BO253" i="5"/>
  <c r="BP253" i="5"/>
  <c r="BO254" i="5"/>
  <c r="BP254" i="5"/>
  <c r="BO255" i="5"/>
  <c r="BP255" i="5"/>
  <c r="BO256" i="5"/>
  <c r="BP256" i="5"/>
  <c r="BO257" i="5"/>
  <c r="BP257" i="5"/>
  <c r="BO258" i="5"/>
  <c r="BP258" i="5"/>
  <c r="BO259" i="5"/>
  <c r="BP259" i="5"/>
  <c r="D271" i="133"/>
  <c r="D292" i="141"/>
  <c r="E292" i="141"/>
  <c r="D291" i="141"/>
  <c r="E291" i="141"/>
  <c r="D290" i="141"/>
  <c r="E290" i="141"/>
  <c r="D287" i="141"/>
  <c r="D286" i="141"/>
  <c r="D285" i="141"/>
  <c r="D284" i="141"/>
  <c r="D282" i="141"/>
  <c r="D281" i="141"/>
  <c r="Q2" i="5"/>
  <c r="Q308" i="5"/>
  <c r="Q309" i="5"/>
  <c r="D280" i="141"/>
  <c r="R2" i="5"/>
  <c r="R308" i="5"/>
  <c r="R309" i="5"/>
  <c r="D279" i="141"/>
  <c r="D278" i="141"/>
  <c r="D277" i="141"/>
  <c r="D276" i="141"/>
  <c r="D275" i="141"/>
  <c r="D274" i="141"/>
  <c r="D272" i="141"/>
  <c r="D271" i="141"/>
  <c r="D270" i="141"/>
  <c r="D269" i="141"/>
  <c r="AP258" i="5"/>
  <c r="BE258" i="5"/>
  <c r="BF258" i="5"/>
  <c r="BG258" i="5"/>
  <c r="BC258" i="5"/>
  <c r="BH258" i="5"/>
  <c r="BD258" i="5"/>
  <c r="BI258" i="5"/>
  <c r="BJ258" i="5"/>
  <c r="BK258" i="5"/>
  <c r="BN258" i="5"/>
  <c r="BQ258" i="5"/>
  <c r="BR258" i="5"/>
  <c r="BS258" i="5"/>
  <c r="BT258" i="5"/>
  <c r="BU258" i="5"/>
  <c r="BV258" i="5"/>
  <c r="E258" i="5"/>
  <c r="AK258" i="5"/>
  <c r="AM258" i="5"/>
  <c r="B26" i="151"/>
  <c r="B25" i="151"/>
  <c r="B24" i="151"/>
  <c r="B22" i="151"/>
  <c r="B23" i="151"/>
  <c r="BG250" i="5"/>
  <c r="BC250" i="5"/>
  <c r="BG251" i="5"/>
  <c r="BC251" i="5"/>
  <c r="BG252" i="5"/>
  <c r="BC252" i="5"/>
  <c r="BG254" i="5"/>
  <c r="BC254" i="5"/>
  <c r="BG255" i="5"/>
  <c r="BC255" i="5"/>
  <c r="BG256" i="5"/>
  <c r="BC256" i="5"/>
  <c r="BG257" i="5"/>
  <c r="BC257" i="5"/>
  <c r="BE252" i="5"/>
  <c r="BF252" i="5"/>
  <c r="BH252" i="5"/>
  <c r="BD252" i="5"/>
  <c r="BI252" i="5"/>
  <c r="BJ252" i="5"/>
  <c r="BK252" i="5"/>
  <c r="BN252" i="5"/>
  <c r="BQ252" i="5"/>
  <c r="BR252" i="5"/>
  <c r="BS252" i="5"/>
  <c r="BT252" i="5"/>
  <c r="BU252" i="5"/>
  <c r="BV252" i="5"/>
  <c r="BE253" i="5"/>
  <c r="BF253" i="5"/>
  <c r="BG253" i="5"/>
  <c r="BC253" i="5"/>
  <c r="BH253" i="5"/>
  <c r="BD253" i="5"/>
  <c r="BI253" i="5"/>
  <c r="BJ253" i="5"/>
  <c r="BK253" i="5"/>
  <c r="BN253" i="5"/>
  <c r="BQ253" i="5"/>
  <c r="BS253" i="5"/>
  <c r="BT253" i="5"/>
  <c r="BU253" i="5"/>
  <c r="BV253" i="5"/>
  <c r="BE254" i="5"/>
  <c r="BF254" i="5"/>
  <c r="BH254" i="5"/>
  <c r="BD254" i="5"/>
  <c r="BI254" i="5"/>
  <c r="BJ254" i="5"/>
  <c r="BK254" i="5"/>
  <c r="BN254" i="5"/>
  <c r="BQ254" i="5"/>
  <c r="BS254" i="5"/>
  <c r="BT254" i="5"/>
  <c r="BU254" i="5"/>
  <c r="BV254" i="5"/>
  <c r="BE255" i="5"/>
  <c r="BF255" i="5"/>
  <c r="BH255" i="5"/>
  <c r="BD255" i="5"/>
  <c r="BI255" i="5"/>
  <c r="BJ255" i="5"/>
  <c r="BK255" i="5"/>
  <c r="BN255" i="5"/>
  <c r="BQ255" i="5"/>
  <c r="BS255" i="5"/>
  <c r="BT255" i="5"/>
  <c r="BU255" i="5"/>
  <c r="BV255" i="5"/>
  <c r="BE256" i="5"/>
  <c r="BF256" i="5"/>
  <c r="BH256" i="5"/>
  <c r="BD256" i="5"/>
  <c r="BI256" i="5"/>
  <c r="BJ256" i="5"/>
  <c r="BK256" i="5"/>
  <c r="BN256" i="5"/>
  <c r="BQ256" i="5"/>
  <c r="BS256" i="5"/>
  <c r="BT256" i="5"/>
  <c r="BU256" i="5"/>
  <c r="BV256" i="5"/>
  <c r="BE257" i="5"/>
  <c r="BF257" i="5"/>
  <c r="BH257" i="5"/>
  <c r="BI257" i="5"/>
  <c r="BR257" i="5"/>
  <c r="BJ257" i="5"/>
  <c r="BK257" i="5"/>
  <c r="BN257" i="5"/>
  <c r="BQ257" i="5"/>
  <c r="BS257" i="5"/>
  <c r="BT257" i="5"/>
  <c r="BU257" i="5"/>
  <c r="BV257" i="5"/>
  <c r="BD257" i="5"/>
  <c r="BR256" i="5"/>
  <c r="BR255" i="5"/>
  <c r="BR254" i="5"/>
  <c r="BR253" i="5"/>
  <c r="AK253" i="5"/>
  <c r="AM253" i="5"/>
  <c r="AP253" i="5"/>
  <c r="AK254" i="5"/>
  <c r="AM254" i="5"/>
  <c r="AP254" i="5"/>
  <c r="AK255" i="5"/>
  <c r="AM255" i="5"/>
  <c r="AP255" i="5"/>
  <c r="AK256" i="5"/>
  <c r="AM256" i="5"/>
  <c r="AP256" i="5"/>
  <c r="AK257" i="5"/>
  <c r="AM257" i="5"/>
  <c r="AP257" i="5"/>
  <c r="AP252" i="5"/>
  <c r="P308" i="5"/>
  <c r="P309" i="5"/>
  <c r="AK252" i="5"/>
  <c r="AM252" i="5"/>
  <c r="E252" i="5"/>
  <c r="E253" i="5"/>
  <c r="E254" i="5"/>
  <c r="E255" i="5"/>
  <c r="E256" i="5"/>
  <c r="E257" i="5"/>
  <c r="BV248" i="5"/>
  <c r="BU248" i="5"/>
  <c r="BT248" i="5"/>
  <c r="BS248" i="5"/>
  <c r="BQ248" i="5"/>
  <c r="BN248" i="5"/>
  <c r="BK248" i="5"/>
  <c r="BJ248" i="5"/>
  <c r="BI248" i="5"/>
  <c r="BH248" i="5"/>
  <c r="BR248" i="5"/>
  <c r="BG248" i="5"/>
  <c r="BF248" i="5"/>
  <c r="BE248" i="5"/>
  <c r="BD248" i="5"/>
  <c r="BC248" i="5"/>
  <c r="AP248" i="5"/>
  <c r="AM248" i="5"/>
  <c r="AK248" i="5"/>
  <c r="BV247" i="5"/>
  <c r="BU247" i="5"/>
  <c r="BT247" i="5"/>
  <c r="BS247" i="5"/>
  <c r="BH247" i="5"/>
  <c r="BI247" i="5"/>
  <c r="BR247" i="5"/>
  <c r="BQ247" i="5"/>
  <c r="BN247" i="5"/>
  <c r="BK247" i="5"/>
  <c r="BJ247" i="5"/>
  <c r="BG247" i="5"/>
  <c r="BF247" i="5"/>
  <c r="BE247" i="5"/>
  <c r="BD247" i="5"/>
  <c r="BC247" i="5"/>
  <c r="AP247" i="5"/>
  <c r="AM247" i="5"/>
  <c r="AK247" i="5"/>
  <c r="BV246" i="5"/>
  <c r="BU246" i="5"/>
  <c r="BT246" i="5"/>
  <c r="BS246" i="5"/>
  <c r="BQ246" i="5"/>
  <c r="BN246" i="5"/>
  <c r="BK246" i="5"/>
  <c r="BJ246" i="5"/>
  <c r="BI246" i="5"/>
  <c r="BH246" i="5"/>
  <c r="BR246" i="5"/>
  <c r="BG246" i="5"/>
  <c r="BF246" i="5"/>
  <c r="BE246" i="5"/>
  <c r="BD246" i="5"/>
  <c r="BC246" i="5"/>
  <c r="AP246" i="5"/>
  <c r="AM246" i="5"/>
  <c r="AK246" i="5"/>
  <c r="BV245" i="5"/>
  <c r="BU245" i="5"/>
  <c r="BT245" i="5"/>
  <c r="BS245" i="5"/>
  <c r="BH245" i="5"/>
  <c r="BI245" i="5"/>
  <c r="BR245" i="5"/>
  <c r="BQ245" i="5"/>
  <c r="BN245" i="5"/>
  <c r="BK245" i="5"/>
  <c r="BJ245" i="5"/>
  <c r="BG245" i="5"/>
  <c r="BF245" i="5"/>
  <c r="BE245" i="5"/>
  <c r="BD245" i="5"/>
  <c r="BC245" i="5"/>
  <c r="AP245" i="5"/>
  <c r="AM245" i="5"/>
  <c r="AK245" i="5"/>
  <c r="BV250" i="5"/>
  <c r="BU250" i="5"/>
  <c r="BT250" i="5"/>
  <c r="BS250" i="5"/>
  <c r="BQ250" i="5"/>
  <c r="BN250" i="5"/>
  <c r="BK250" i="5"/>
  <c r="BJ250" i="5"/>
  <c r="BI250" i="5"/>
  <c r="BF250" i="5"/>
  <c r="BE250" i="5"/>
  <c r="AP250" i="5"/>
  <c r="AM250" i="5"/>
  <c r="AK250" i="5"/>
  <c r="BH250" i="5"/>
  <c r="BV249" i="5"/>
  <c r="BU249" i="5"/>
  <c r="BT249" i="5"/>
  <c r="BS249" i="5"/>
  <c r="BQ249" i="5"/>
  <c r="BN249" i="5"/>
  <c r="BK249" i="5"/>
  <c r="BJ249" i="5"/>
  <c r="BI249" i="5"/>
  <c r="BG249" i="5"/>
  <c r="BF249" i="5"/>
  <c r="BE249" i="5"/>
  <c r="BC249" i="5"/>
  <c r="AP249" i="5"/>
  <c r="AM249" i="5"/>
  <c r="AK249" i="5"/>
  <c r="BH249" i="5"/>
  <c r="BV251" i="5"/>
  <c r="BU251" i="5"/>
  <c r="BT251" i="5"/>
  <c r="BS251" i="5"/>
  <c r="BQ251" i="5"/>
  <c r="BN251" i="5"/>
  <c r="BK251" i="5"/>
  <c r="BJ251" i="5"/>
  <c r="BI251" i="5"/>
  <c r="BH251" i="5"/>
  <c r="BR251" i="5"/>
  <c r="BF251" i="5"/>
  <c r="BE251" i="5"/>
  <c r="BD251" i="5"/>
  <c r="AP251" i="5"/>
  <c r="AM251" i="5"/>
  <c r="AK251" i="5"/>
  <c r="BD249" i="5"/>
  <c r="BR249" i="5"/>
  <c r="BR250" i="5"/>
  <c r="BD250" i="5"/>
  <c r="BH235" i="5"/>
  <c r="AI280" i="5"/>
  <c r="AI287" i="5"/>
  <c r="AI288" i="5"/>
  <c r="AI289" i="5"/>
  <c r="AI290" i="5"/>
  <c r="AI291" i="5"/>
  <c r="AI292" i="5"/>
  <c r="AI293" i="5"/>
  <c r="AI294" i="5"/>
  <c r="AI295" i="5"/>
  <c r="AI296" i="5"/>
  <c r="AI297" i="5"/>
  <c r="AI298" i="5"/>
  <c r="AI299" i="5"/>
  <c r="AI300" i="5"/>
  <c r="AI301" i="5"/>
  <c r="AI302" i="5"/>
  <c r="AI303" i="5"/>
  <c r="AI304" i="5"/>
  <c r="AI305" i="5"/>
  <c r="AI306" i="5"/>
  <c r="AI307" i="5"/>
  <c r="AI308" i="5"/>
  <c r="AI309" i="5"/>
  <c r="D245" i="133"/>
  <c r="E245" i="133"/>
  <c r="D244" i="133"/>
  <c r="E244" i="133"/>
  <c r="D243" i="133"/>
  <c r="E243" i="133"/>
  <c r="D240" i="133"/>
  <c r="E240" i="133"/>
  <c r="D239" i="133"/>
  <c r="D221" i="133"/>
  <c r="E239" i="133"/>
  <c r="D224" i="133"/>
  <c r="E224" i="133"/>
  <c r="BW308" i="5"/>
  <c r="BW309" i="5"/>
  <c r="D223" i="133"/>
  <c r="E223" i="133"/>
  <c r="D242" i="133"/>
  <c r="D241" i="133"/>
  <c r="D252" i="141"/>
  <c r="D240" i="141"/>
  <c r="D253" i="141"/>
  <c r="D255" i="141"/>
  <c r="E255" i="141"/>
  <c r="D256" i="141"/>
  <c r="D261" i="141"/>
  <c r="E261" i="141"/>
  <c r="D263" i="141"/>
  <c r="E263" i="141"/>
  <c r="D262" i="141"/>
  <c r="E262" i="141"/>
  <c r="D190" i="141"/>
  <c r="D205" i="141"/>
  <c r="E205" i="141"/>
  <c r="D204" i="141"/>
  <c r="D182" i="141"/>
  <c r="D203" i="141"/>
  <c r="D197" i="141"/>
  <c r="D198" i="141"/>
  <c r="D194" i="141"/>
  <c r="D195" i="141"/>
  <c r="D165" i="141"/>
  <c r="D153" i="141"/>
  <c r="D166" i="141"/>
  <c r="D168" i="141"/>
  <c r="D169" i="141"/>
  <c r="E169" i="141"/>
  <c r="D241" i="141"/>
  <c r="E241" i="141"/>
  <c r="D209" i="133"/>
  <c r="D190" i="133"/>
  <c r="E209" i="133"/>
  <c r="D178" i="133"/>
  <c r="E178" i="133"/>
  <c r="D147" i="133"/>
  <c r="E147" i="133"/>
  <c r="D117" i="133"/>
  <c r="D87" i="133"/>
  <c r="E87" i="133"/>
  <c r="D57" i="133"/>
  <c r="E57" i="133"/>
  <c r="D27" i="133"/>
  <c r="E27" i="133"/>
  <c r="E287" i="141"/>
  <c r="D258" i="141"/>
  <c r="E258" i="141"/>
  <c r="D229" i="141"/>
  <c r="D211" i="141"/>
  <c r="E229" i="141"/>
  <c r="D200" i="141"/>
  <c r="D171" i="141"/>
  <c r="D142" i="141"/>
  <c r="D113" i="141"/>
  <c r="D84" i="141"/>
  <c r="D55" i="141"/>
  <c r="D26" i="141"/>
  <c r="D257" i="141"/>
  <c r="D243" i="141"/>
  <c r="D242" i="141"/>
  <c r="E242" i="141"/>
  <c r="D212" i="133"/>
  <c r="E212" i="133"/>
  <c r="D213" i="133"/>
  <c r="E213" i="133"/>
  <c r="D234" i="141"/>
  <c r="E234" i="141"/>
  <c r="BH205" i="5"/>
  <c r="BH207" i="5"/>
  <c r="BH215" i="5"/>
  <c r="BI215" i="5"/>
  <c r="BR215" i="5"/>
  <c r="BH219" i="5"/>
  <c r="BD219" i="5"/>
  <c r="BH222" i="5"/>
  <c r="BD222" i="5"/>
  <c r="BH224" i="5"/>
  <c r="BD224" i="5"/>
  <c r="BH227" i="5"/>
  <c r="BH229" i="5"/>
  <c r="BD229" i="5"/>
  <c r="BH234" i="5"/>
  <c r="BH237" i="5"/>
  <c r="BD237" i="5"/>
  <c r="BH241" i="5"/>
  <c r="BH243" i="5"/>
  <c r="BH259" i="5"/>
  <c r="BD259" i="5"/>
  <c r="BH276" i="5"/>
  <c r="BH288" i="5"/>
  <c r="BH292" i="5"/>
  <c r="BD292" i="5"/>
  <c r="BH300" i="5"/>
  <c r="D332" i="133"/>
  <c r="D301" i="133"/>
  <c r="D233" i="141"/>
  <c r="E233" i="141"/>
  <c r="D226" i="141"/>
  <c r="D227" i="141"/>
  <c r="D228" i="141"/>
  <c r="D232" i="141"/>
  <c r="AP223" i="5"/>
  <c r="BT199" i="5"/>
  <c r="AP218" i="5"/>
  <c r="AP219" i="5"/>
  <c r="AP220" i="5"/>
  <c r="AP221" i="5"/>
  <c r="AP222" i="5"/>
  <c r="AP224" i="5"/>
  <c r="AP225" i="5"/>
  <c r="AP226" i="5"/>
  <c r="AP227" i="5"/>
  <c r="AP228" i="5"/>
  <c r="AP229" i="5"/>
  <c r="AP230" i="5"/>
  <c r="AP231" i="5"/>
  <c r="AP232" i="5"/>
  <c r="AP233" i="5"/>
  <c r="AP234" i="5"/>
  <c r="AP235" i="5"/>
  <c r="AP236" i="5"/>
  <c r="AP237" i="5"/>
  <c r="AP238" i="5"/>
  <c r="AP239" i="5"/>
  <c r="AP240" i="5"/>
  <c r="AP241" i="5"/>
  <c r="AP242" i="5"/>
  <c r="AP243" i="5"/>
  <c r="AP244" i="5"/>
  <c r="AP259" i="5"/>
  <c r="AP260" i="5"/>
  <c r="AP261" i="5"/>
  <c r="AP262" i="5"/>
  <c r="AP263" i="5"/>
  <c r="AP264" i="5"/>
  <c r="AP265" i="5"/>
  <c r="AP266" i="5"/>
  <c r="AP267" i="5"/>
  <c r="AP268" i="5"/>
  <c r="AP269" i="5"/>
  <c r="AP270" i="5"/>
  <c r="AP271" i="5"/>
  <c r="AP272" i="5"/>
  <c r="AP273" i="5"/>
  <c r="AP274" i="5"/>
  <c r="AP275" i="5"/>
  <c r="AP276" i="5"/>
  <c r="AP280" i="5"/>
  <c r="AP287" i="5"/>
  <c r="AP288" i="5"/>
  <c r="AP289" i="5"/>
  <c r="AP290" i="5"/>
  <c r="AP291" i="5"/>
  <c r="AP292" i="5"/>
  <c r="AP293" i="5"/>
  <c r="AP294" i="5"/>
  <c r="AP295" i="5"/>
  <c r="AP296" i="5"/>
  <c r="AP297" i="5"/>
  <c r="AP298" i="5"/>
  <c r="AP299" i="5"/>
  <c r="AP300" i="5"/>
  <c r="AP301" i="5"/>
  <c r="AP302" i="5"/>
  <c r="AP303" i="5"/>
  <c r="AP304" i="5"/>
  <c r="AP305" i="5"/>
  <c r="AP306" i="5"/>
  <c r="AP307" i="5"/>
  <c r="AP308" i="5"/>
  <c r="AP309" i="5"/>
  <c r="BH220" i="5"/>
  <c r="BD220" i="5"/>
  <c r="BH221" i="5"/>
  <c r="BH223" i="5"/>
  <c r="BD223" i="5"/>
  <c r="AK219" i="5"/>
  <c r="AK220" i="5"/>
  <c r="AK221" i="5"/>
  <c r="AK222" i="5"/>
  <c r="AK223" i="5"/>
  <c r="AM219" i="5"/>
  <c r="AM220" i="5"/>
  <c r="AM221" i="5"/>
  <c r="AM223" i="5"/>
  <c r="BE219" i="5"/>
  <c r="BE220" i="5"/>
  <c r="BE221" i="5"/>
  <c r="BE222" i="5"/>
  <c r="BE223" i="5"/>
  <c r="BF219" i="5"/>
  <c r="BF220" i="5"/>
  <c r="BF221" i="5"/>
  <c r="BF222" i="5"/>
  <c r="BF223" i="5"/>
  <c r="BG219" i="5"/>
  <c r="BC219" i="5"/>
  <c r="BG220" i="5"/>
  <c r="BC220" i="5"/>
  <c r="BG221" i="5"/>
  <c r="BC221" i="5"/>
  <c r="BG222" i="5"/>
  <c r="BC222" i="5"/>
  <c r="BG223" i="5"/>
  <c r="BC223" i="5"/>
  <c r="BI219" i="5"/>
  <c r="BI220" i="5"/>
  <c r="BI221" i="5"/>
  <c r="BI222" i="5"/>
  <c r="BI223" i="5"/>
  <c r="BJ219" i="5"/>
  <c r="BJ220" i="5"/>
  <c r="BJ221" i="5"/>
  <c r="BJ222" i="5"/>
  <c r="BJ223" i="5"/>
  <c r="BK219" i="5"/>
  <c r="BK220" i="5"/>
  <c r="BK221" i="5"/>
  <c r="BK222" i="5"/>
  <c r="BK223" i="5"/>
  <c r="BN219" i="5"/>
  <c r="BN220" i="5"/>
  <c r="BN221" i="5"/>
  <c r="BN222" i="5"/>
  <c r="BN223" i="5"/>
  <c r="BQ219" i="5"/>
  <c r="BQ220" i="5"/>
  <c r="BQ221" i="5"/>
  <c r="BQ222" i="5"/>
  <c r="BQ223" i="5"/>
  <c r="BS219" i="5"/>
  <c r="BS220" i="5"/>
  <c r="BS221" i="5"/>
  <c r="BS222" i="5"/>
  <c r="BS223" i="5"/>
  <c r="BT219" i="5"/>
  <c r="BT220" i="5"/>
  <c r="BT221" i="5"/>
  <c r="BT222" i="5"/>
  <c r="BT223" i="5"/>
  <c r="BU219" i="5"/>
  <c r="BU220" i="5"/>
  <c r="BU221" i="5"/>
  <c r="BU222" i="5"/>
  <c r="BU223" i="5"/>
  <c r="BV219" i="5"/>
  <c r="BV220" i="5"/>
  <c r="BV221" i="5"/>
  <c r="BV222" i="5"/>
  <c r="BV223" i="5"/>
  <c r="AK224" i="5"/>
  <c r="AK225" i="5"/>
  <c r="AM224" i="5"/>
  <c r="AM225" i="5"/>
  <c r="BE224" i="5"/>
  <c r="BE225" i="5"/>
  <c r="BF224" i="5"/>
  <c r="BF225" i="5"/>
  <c r="BG224" i="5"/>
  <c r="BC224" i="5"/>
  <c r="BG225" i="5"/>
  <c r="BC225" i="5"/>
  <c r="BH225" i="5"/>
  <c r="BI225" i="5"/>
  <c r="BR225" i="5"/>
  <c r="BI224" i="5"/>
  <c r="BJ224" i="5"/>
  <c r="BJ225" i="5"/>
  <c r="BK224" i="5"/>
  <c r="BK225" i="5"/>
  <c r="BN224" i="5"/>
  <c r="BN225" i="5"/>
  <c r="BQ224" i="5"/>
  <c r="BQ225" i="5"/>
  <c r="BS224" i="5"/>
  <c r="BS225" i="5"/>
  <c r="BT224" i="5"/>
  <c r="BT225" i="5"/>
  <c r="BU224" i="5"/>
  <c r="BU225" i="5"/>
  <c r="BV224" i="5"/>
  <c r="BV225" i="5"/>
  <c r="AK226" i="5"/>
  <c r="AK227" i="5"/>
  <c r="AM226" i="5"/>
  <c r="AM227" i="5"/>
  <c r="BE226" i="5"/>
  <c r="BE227" i="5"/>
  <c r="BF226" i="5"/>
  <c r="BF227" i="5"/>
  <c r="BG226" i="5"/>
  <c r="BC226" i="5"/>
  <c r="BG227" i="5"/>
  <c r="BC227" i="5"/>
  <c r="BH226" i="5"/>
  <c r="BD226" i="5"/>
  <c r="BI226" i="5"/>
  <c r="BI227" i="5"/>
  <c r="BJ226" i="5"/>
  <c r="BJ227" i="5"/>
  <c r="BK226" i="5"/>
  <c r="BK227" i="5"/>
  <c r="BN226" i="5"/>
  <c r="BN227" i="5"/>
  <c r="BQ226" i="5"/>
  <c r="BQ227" i="5"/>
  <c r="BS226" i="5"/>
  <c r="BS227" i="5"/>
  <c r="BT226" i="5"/>
  <c r="BT227" i="5"/>
  <c r="BU226" i="5"/>
  <c r="BU227" i="5"/>
  <c r="BV226" i="5"/>
  <c r="BV227" i="5"/>
  <c r="BH293" i="5"/>
  <c r="BH296" i="5"/>
  <c r="BD296" i="5"/>
  <c r="AK292" i="5"/>
  <c r="AK293" i="5"/>
  <c r="AK294" i="5"/>
  <c r="AK295" i="5"/>
  <c r="AK296" i="5"/>
  <c r="AM292" i="5"/>
  <c r="AM293" i="5"/>
  <c r="AM294" i="5"/>
  <c r="AM295" i="5"/>
  <c r="AM296" i="5"/>
  <c r="BE292" i="5"/>
  <c r="BE293" i="5"/>
  <c r="BE294" i="5"/>
  <c r="BE295" i="5"/>
  <c r="BE296" i="5"/>
  <c r="BF292" i="5"/>
  <c r="BF293" i="5"/>
  <c r="BF294" i="5"/>
  <c r="BF295" i="5"/>
  <c r="BF296" i="5"/>
  <c r="BG292" i="5"/>
  <c r="BC292" i="5"/>
  <c r="BG293" i="5"/>
  <c r="BC293" i="5"/>
  <c r="BG294" i="5"/>
  <c r="BC294" i="5"/>
  <c r="BG295" i="5"/>
  <c r="BC295" i="5"/>
  <c r="BG296" i="5"/>
  <c r="BC296" i="5"/>
  <c r="BH294" i="5"/>
  <c r="BI294" i="5"/>
  <c r="BR294" i="5"/>
  <c r="BH295" i="5"/>
  <c r="BD295" i="5"/>
  <c r="BI292" i="5"/>
  <c r="BI293" i="5"/>
  <c r="BI295" i="5"/>
  <c r="BI296" i="5"/>
  <c r="BJ292" i="5"/>
  <c r="BJ293" i="5"/>
  <c r="BJ294" i="5"/>
  <c r="BJ295" i="5"/>
  <c r="BJ296" i="5"/>
  <c r="BK292" i="5"/>
  <c r="BK293" i="5"/>
  <c r="BK294" i="5"/>
  <c r="BK295" i="5"/>
  <c r="BK296" i="5"/>
  <c r="BL292" i="5"/>
  <c r="BM292" i="5"/>
  <c r="BL293" i="5"/>
  <c r="BM293" i="5"/>
  <c r="BL294" i="5"/>
  <c r="BM294" i="5"/>
  <c r="BL295" i="5"/>
  <c r="BM295" i="5"/>
  <c r="BL296" i="5"/>
  <c r="BM296" i="5"/>
  <c r="BN292" i="5"/>
  <c r="BN293" i="5"/>
  <c r="BN294" i="5"/>
  <c r="BN295" i="5"/>
  <c r="BN296" i="5"/>
  <c r="BO292" i="5"/>
  <c r="BP292" i="5"/>
  <c r="BO293" i="5"/>
  <c r="BP293" i="5"/>
  <c r="BO294" i="5"/>
  <c r="BP294" i="5"/>
  <c r="BO295" i="5"/>
  <c r="BP295" i="5"/>
  <c r="BO296" i="5"/>
  <c r="BP296" i="5"/>
  <c r="BQ292" i="5"/>
  <c r="BQ293" i="5"/>
  <c r="BQ294" i="5"/>
  <c r="BQ295" i="5"/>
  <c r="BQ296" i="5"/>
  <c r="BS292" i="5"/>
  <c r="BS293" i="5"/>
  <c r="BS294" i="5"/>
  <c r="BS295" i="5"/>
  <c r="BS296" i="5"/>
  <c r="BT292" i="5"/>
  <c r="BT293" i="5"/>
  <c r="BT294" i="5"/>
  <c r="BT295" i="5"/>
  <c r="BT296" i="5"/>
  <c r="BU292" i="5"/>
  <c r="BU293" i="5"/>
  <c r="BU294" i="5"/>
  <c r="BU295" i="5"/>
  <c r="BU296" i="5"/>
  <c r="BV292" i="5"/>
  <c r="BV293" i="5"/>
  <c r="BV294" i="5"/>
  <c r="BV295" i="5"/>
  <c r="BV296" i="5"/>
  <c r="BH264" i="5"/>
  <c r="BD264" i="5"/>
  <c r="BH265" i="5"/>
  <c r="BH266" i="5"/>
  <c r="BD266" i="5"/>
  <c r="BH268" i="5"/>
  <c r="BD268" i="5"/>
  <c r="AK264" i="5"/>
  <c r="AK265" i="5"/>
  <c r="AK266" i="5"/>
  <c r="AK267" i="5"/>
  <c r="AK268" i="5"/>
  <c r="AM264" i="5"/>
  <c r="AM265" i="5"/>
  <c r="AM266" i="5"/>
  <c r="AM267" i="5"/>
  <c r="AM268" i="5"/>
  <c r="BE264" i="5"/>
  <c r="BE265" i="5"/>
  <c r="BE266" i="5"/>
  <c r="BE267" i="5"/>
  <c r="BE268" i="5"/>
  <c r="BF264" i="5"/>
  <c r="BF265" i="5"/>
  <c r="BF266" i="5"/>
  <c r="BF267" i="5"/>
  <c r="BF268" i="5"/>
  <c r="BG264" i="5"/>
  <c r="BC264" i="5"/>
  <c r="BG265" i="5"/>
  <c r="BC265" i="5"/>
  <c r="BG266" i="5"/>
  <c r="BC266" i="5"/>
  <c r="BG267" i="5"/>
  <c r="BC267" i="5"/>
  <c r="BG268" i="5"/>
  <c r="BC268" i="5"/>
  <c r="BH267" i="5"/>
  <c r="BD267" i="5"/>
  <c r="BI264" i="5"/>
  <c r="BI265" i="5"/>
  <c r="BI266" i="5"/>
  <c r="BI267" i="5"/>
  <c r="BI268" i="5"/>
  <c r="BJ264" i="5"/>
  <c r="BJ265" i="5"/>
  <c r="BJ266" i="5"/>
  <c r="BJ267" i="5"/>
  <c r="BJ268" i="5"/>
  <c r="BK264" i="5"/>
  <c r="BK265" i="5"/>
  <c r="BK266" i="5"/>
  <c r="BK267" i="5"/>
  <c r="BK268" i="5"/>
  <c r="BL264" i="5"/>
  <c r="BM264" i="5"/>
  <c r="BL265" i="5"/>
  <c r="BM265" i="5"/>
  <c r="BL266" i="5"/>
  <c r="BM266" i="5"/>
  <c r="BL267" i="5"/>
  <c r="BM267" i="5"/>
  <c r="BL268" i="5"/>
  <c r="BM268" i="5"/>
  <c r="BN264" i="5"/>
  <c r="BN265" i="5"/>
  <c r="BN266" i="5"/>
  <c r="BN267" i="5"/>
  <c r="BN268" i="5"/>
  <c r="BO264" i="5"/>
  <c r="BP264" i="5"/>
  <c r="BO265" i="5"/>
  <c r="BP265" i="5"/>
  <c r="BO266" i="5"/>
  <c r="BP266" i="5"/>
  <c r="BO267" i="5"/>
  <c r="BP267" i="5"/>
  <c r="BO268" i="5"/>
  <c r="BP268" i="5"/>
  <c r="BQ264" i="5"/>
  <c r="BQ265" i="5"/>
  <c r="BQ266" i="5"/>
  <c r="BQ267" i="5"/>
  <c r="BQ268" i="5"/>
  <c r="BS264" i="5"/>
  <c r="BS265" i="5"/>
  <c r="BS266" i="5"/>
  <c r="BS267" i="5"/>
  <c r="BS268" i="5"/>
  <c r="BT264" i="5"/>
  <c r="BT265" i="5"/>
  <c r="BT266" i="5"/>
  <c r="BT267" i="5"/>
  <c r="BT268" i="5"/>
  <c r="BU264" i="5"/>
  <c r="BU265" i="5"/>
  <c r="BU266" i="5"/>
  <c r="BU267" i="5"/>
  <c r="BU268" i="5"/>
  <c r="BV264" i="5"/>
  <c r="BV265" i="5"/>
  <c r="BV266" i="5"/>
  <c r="BV267" i="5"/>
  <c r="BV268" i="5"/>
  <c r="AK229" i="5"/>
  <c r="AM229" i="5"/>
  <c r="BE229" i="5"/>
  <c r="BF229" i="5"/>
  <c r="BG229" i="5"/>
  <c r="BC229" i="5"/>
  <c r="BI229" i="5"/>
  <c r="BJ229" i="5"/>
  <c r="BK229" i="5"/>
  <c r="BN229" i="5"/>
  <c r="BQ229" i="5"/>
  <c r="BS229" i="5"/>
  <c r="BT229" i="5"/>
  <c r="BU229" i="5"/>
  <c r="BV229" i="5"/>
  <c r="BH230" i="5"/>
  <c r="AK230" i="5"/>
  <c r="AM230" i="5"/>
  <c r="BE230" i="5"/>
  <c r="BF230" i="5"/>
  <c r="BG230" i="5"/>
  <c r="BC230" i="5"/>
  <c r="BI230" i="5"/>
  <c r="BJ230" i="5"/>
  <c r="BK230" i="5"/>
  <c r="BN230" i="5"/>
  <c r="BQ230" i="5"/>
  <c r="BS230" i="5"/>
  <c r="BT230" i="5"/>
  <c r="BU230" i="5"/>
  <c r="BV230" i="5"/>
  <c r="BH231" i="5"/>
  <c r="AK231" i="5"/>
  <c r="AM231" i="5"/>
  <c r="BE231" i="5"/>
  <c r="BF231" i="5"/>
  <c r="BG231" i="5"/>
  <c r="BC231" i="5"/>
  <c r="BI231" i="5"/>
  <c r="BJ231" i="5"/>
  <c r="BK231" i="5"/>
  <c r="BN231" i="5"/>
  <c r="BQ231" i="5"/>
  <c r="BS231" i="5"/>
  <c r="BT231" i="5"/>
  <c r="BU231" i="5"/>
  <c r="BV231" i="5"/>
  <c r="BH232" i="5"/>
  <c r="AK232" i="5"/>
  <c r="AM232" i="5"/>
  <c r="BE232" i="5"/>
  <c r="BF232" i="5"/>
  <c r="BG232" i="5"/>
  <c r="BC232" i="5"/>
  <c r="BI232" i="5"/>
  <c r="BJ232" i="5"/>
  <c r="BK232" i="5"/>
  <c r="BN232" i="5"/>
  <c r="BQ232" i="5"/>
  <c r="BS232" i="5"/>
  <c r="BT232" i="5"/>
  <c r="BU232" i="5"/>
  <c r="BV232" i="5"/>
  <c r="BH233" i="5"/>
  <c r="AK233" i="5"/>
  <c r="AM233" i="5"/>
  <c r="BE233" i="5"/>
  <c r="BF233" i="5"/>
  <c r="BG233" i="5"/>
  <c r="BC233" i="5"/>
  <c r="BI233" i="5"/>
  <c r="BJ233" i="5"/>
  <c r="BK233" i="5"/>
  <c r="BN233" i="5"/>
  <c r="BQ233" i="5"/>
  <c r="BS233" i="5"/>
  <c r="BT233" i="5"/>
  <c r="BU233" i="5"/>
  <c r="BV233" i="5"/>
  <c r="AP212" i="5"/>
  <c r="AP213" i="5"/>
  <c r="AP214" i="5"/>
  <c r="AP215" i="5"/>
  <c r="AP216" i="5"/>
  <c r="AP217" i="5"/>
  <c r="AK215" i="5"/>
  <c r="AM215" i="5"/>
  <c r="BE215" i="5"/>
  <c r="BF215" i="5"/>
  <c r="BG215" i="5"/>
  <c r="BC215" i="5"/>
  <c r="BJ215" i="5"/>
  <c r="BK215" i="5"/>
  <c r="BN215" i="5"/>
  <c r="BQ215" i="5"/>
  <c r="BS215" i="5"/>
  <c r="BT215" i="5"/>
  <c r="BU215" i="5"/>
  <c r="BV215" i="5"/>
  <c r="BH216" i="5"/>
  <c r="AK216" i="5"/>
  <c r="AM216" i="5"/>
  <c r="BE216" i="5"/>
  <c r="BF216" i="5"/>
  <c r="BG216" i="5"/>
  <c r="BC216" i="5"/>
  <c r="BI216" i="5"/>
  <c r="BJ216" i="5"/>
  <c r="BK216" i="5"/>
  <c r="BN216" i="5"/>
  <c r="BQ216" i="5"/>
  <c r="BS216" i="5"/>
  <c r="BT216" i="5"/>
  <c r="BU216" i="5"/>
  <c r="BV216" i="5"/>
  <c r="BH217" i="5"/>
  <c r="BD217" i="5"/>
  <c r="AK217" i="5"/>
  <c r="AM217" i="5"/>
  <c r="BE217" i="5"/>
  <c r="BF217" i="5"/>
  <c r="BG217" i="5"/>
  <c r="BC217" i="5"/>
  <c r="BI217" i="5"/>
  <c r="BJ217" i="5"/>
  <c r="BK217" i="5"/>
  <c r="BN217" i="5"/>
  <c r="BQ217" i="5"/>
  <c r="BS217" i="5"/>
  <c r="BT217" i="5"/>
  <c r="BU217" i="5"/>
  <c r="BV217" i="5"/>
  <c r="BH218" i="5"/>
  <c r="BD218" i="5"/>
  <c r="AK218" i="5"/>
  <c r="AM218" i="5"/>
  <c r="BE218" i="5"/>
  <c r="BF218" i="5"/>
  <c r="BG218" i="5"/>
  <c r="BC218" i="5"/>
  <c r="BI218" i="5"/>
  <c r="BJ218" i="5"/>
  <c r="BK218" i="5"/>
  <c r="BN218" i="5"/>
  <c r="BQ218" i="5"/>
  <c r="BS218" i="5"/>
  <c r="BT218" i="5"/>
  <c r="BU218" i="5"/>
  <c r="BV218" i="5"/>
  <c r="BH309" i="5"/>
  <c r="BD309" i="5"/>
  <c r="AK309" i="5"/>
  <c r="AM309" i="5"/>
  <c r="BE309" i="5"/>
  <c r="BF309" i="5"/>
  <c r="BG309" i="5"/>
  <c r="BC309" i="5"/>
  <c r="BI309" i="5"/>
  <c r="BJ309" i="5"/>
  <c r="BK309" i="5"/>
  <c r="BL309" i="5"/>
  <c r="BM309" i="5"/>
  <c r="BN309" i="5"/>
  <c r="BO309" i="5"/>
  <c r="BP309" i="5"/>
  <c r="BQ309" i="5"/>
  <c r="BS309" i="5"/>
  <c r="BT309" i="5"/>
  <c r="BU309" i="5"/>
  <c r="BV309" i="5"/>
  <c r="BD231" i="5"/>
  <c r="BR293" i="5"/>
  <c r="BD215" i="5"/>
  <c r="BR292" i="5"/>
  <c r="BR264" i="5"/>
  <c r="BD293" i="5"/>
  <c r="BD216" i="5"/>
  <c r="P2" i="5"/>
  <c r="AP2" i="5"/>
  <c r="AP3" i="5"/>
  <c r="AP4" i="5"/>
  <c r="AP5" i="5"/>
  <c r="AP6" i="5"/>
  <c r="AP7" i="5"/>
  <c r="AP8" i="5"/>
  <c r="AP9" i="5"/>
  <c r="AP10" i="5"/>
  <c r="AP11" i="5"/>
  <c r="AP12" i="5"/>
  <c r="AP13" i="5"/>
  <c r="AP14" i="5"/>
  <c r="AP15" i="5"/>
  <c r="AP16" i="5"/>
  <c r="AP17" i="5"/>
  <c r="AP18" i="5"/>
  <c r="AP19" i="5"/>
  <c r="AP20" i="5"/>
  <c r="AP21" i="5"/>
  <c r="AP22" i="5"/>
  <c r="AP23" i="5"/>
  <c r="AP24" i="5"/>
  <c r="AP25" i="5"/>
  <c r="AP26" i="5"/>
  <c r="AP27" i="5"/>
  <c r="AP28" i="5"/>
  <c r="AP29" i="5"/>
  <c r="AP30" i="5"/>
  <c r="AP31" i="5"/>
  <c r="AP32" i="5"/>
  <c r="AP33" i="5"/>
  <c r="AP34" i="5"/>
  <c r="AP35" i="5"/>
  <c r="AP36" i="5"/>
  <c r="AP37" i="5"/>
  <c r="AP38" i="5"/>
  <c r="AP39" i="5"/>
  <c r="AP40" i="5"/>
  <c r="AP41" i="5"/>
  <c r="AP42" i="5"/>
  <c r="AP43" i="5"/>
  <c r="AP44" i="5"/>
  <c r="AP45" i="5"/>
  <c r="AP46" i="5"/>
  <c r="AP47" i="5"/>
  <c r="AP48" i="5"/>
  <c r="AP49" i="5"/>
  <c r="AP50" i="5"/>
  <c r="AP51" i="5"/>
  <c r="AP52" i="5"/>
  <c r="AP53" i="5"/>
  <c r="AP54" i="5"/>
  <c r="AP55" i="5"/>
  <c r="AP56" i="5"/>
  <c r="AP57" i="5"/>
  <c r="AP58" i="5"/>
  <c r="AP59" i="5"/>
  <c r="AP60" i="5"/>
  <c r="AP61" i="5"/>
  <c r="AP62" i="5"/>
  <c r="AP63" i="5"/>
  <c r="AP64" i="5"/>
  <c r="AP65" i="5"/>
  <c r="AP66" i="5"/>
  <c r="AP67" i="5"/>
  <c r="AP68" i="5"/>
  <c r="AP69" i="5"/>
  <c r="AP70" i="5"/>
  <c r="AP71" i="5"/>
  <c r="AP72" i="5"/>
  <c r="AP73" i="5"/>
  <c r="AP74" i="5"/>
  <c r="AP75" i="5"/>
  <c r="AP76" i="5"/>
  <c r="AP77" i="5"/>
  <c r="AP78" i="5"/>
  <c r="AP79" i="5"/>
  <c r="AP80" i="5"/>
  <c r="AP81" i="5"/>
  <c r="AP82" i="5"/>
  <c r="AP83" i="5"/>
  <c r="AP84" i="5"/>
  <c r="AP85" i="5"/>
  <c r="AP86" i="5"/>
  <c r="AP87" i="5"/>
  <c r="AP88" i="5"/>
  <c r="AP89" i="5"/>
  <c r="AP90" i="5"/>
  <c r="AP91" i="5"/>
  <c r="AP92" i="5"/>
  <c r="AP93" i="5"/>
  <c r="AP94" i="5"/>
  <c r="AP95" i="5"/>
  <c r="AP96" i="5"/>
  <c r="AP97" i="5"/>
  <c r="AP98" i="5"/>
  <c r="AP99" i="5"/>
  <c r="AP100" i="5"/>
  <c r="AP101" i="5"/>
  <c r="AP102" i="5"/>
  <c r="AP103" i="5"/>
  <c r="AP104" i="5"/>
  <c r="AP105" i="5"/>
  <c r="AP106" i="5"/>
  <c r="AP107" i="5"/>
  <c r="AP108" i="5"/>
  <c r="AP109" i="5"/>
  <c r="AP110" i="5"/>
  <c r="AP111" i="5"/>
  <c r="AP112" i="5"/>
  <c r="AP113" i="5"/>
  <c r="AP114" i="5"/>
  <c r="AP115" i="5"/>
  <c r="AP116" i="5"/>
  <c r="AP117" i="5"/>
  <c r="AP118" i="5"/>
  <c r="AP119" i="5"/>
  <c r="AP120" i="5"/>
  <c r="AP121" i="5"/>
  <c r="AP122" i="5"/>
  <c r="AP123" i="5"/>
  <c r="AP124" i="5"/>
  <c r="AP125" i="5"/>
  <c r="AP126" i="5"/>
  <c r="AP127" i="5"/>
  <c r="AP128" i="5"/>
  <c r="AP129" i="5"/>
  <c r="AP130" i="5"/>
  <c r="AP131" i="5"/>
  <c r="AP132" i="5"/>
  <c r="AP133" i="5"/>
  <c r="AP134" i="5"/>
  <c r="AP135" i="5"/>
  <c r="AP136" i="5"/>
  <c r="AP137" i="5"/>
  <c r="AP138" i="5"/>
  <c r="AP139" i="5"/>
  <c r="AP140" i="5"/>
  <c r="AP141" i="5"/>
  <c r="AP142" i="5"/>
  <c r="AP143" i="5"/>
  <c r="AP144" i="5"/>
  <c r="AP145" i="5"/>
  <c r="AP146" i="5"/>
  <c r="AP147" i="5"/>
  <c r="AP148" i="5"/>
  <c r="AP149" i="5"/>
  <c r="AP150" i="5"/>
  <c r="AP151" i="5"/>
  <c r="AP152" i="5"/>
  <c r="AP153" i="5"/>
  <c r="AP154" i="5"/>
  <c r="AP155" i="5"/>
  <c r="AP156" i="5"/>
  <c r="AP157" i="5"/>
  <c r="AP158" i="5"/>
  <c r="AP159" i="5"/>
  <c r="AP160" i="5"/>
  <c r="AP161" i="5"/>
  <c r="AP162" i="5"/>
  <c r="AP163" i="5"/>
  <c r="AP164" i="5"/>
  <c r="AP165" i="5"/>
  <c r="AP166" i="5"/>
  <c r="AP167" i="5"/>
  <c r="AP168" i="5"/>
  <c r="AP169" i="5"/>
  <c r="AP170" i="5"/>
  <c r="AP171" i="5"/>
  <c r="AP172" i="5"/>
  <c r="AP173" i="5"/>
  <c r="AP174" i="5"/>
  <c r="AP175" i="5"/>
  <c r="AP176" i="5"/>
  <c r="AP177" i="5"/>
  <c r="AP178" i="5"/>
  <c r="AP179" i="5"/>
  <c r="AP180" i="5"/>
  <c r="AP181" i="5"/>
  <c r="AP182" i="5"/>
  <c r="AP183" i="5"/>
  <c r="AP184" i="5"/>
  <c r="AP185" i="5"/>
  <c r="AP186" i="5"/>
  <c r="AP187" i="5"/>
  <c r="AP188" i="5"/>
  <c r="AP189" i="5"/>
  <c r="AP190" i="5"/>
  <c r="AP191" i="5"/>
  <c r="AP192" i="5"/>
  <c r="AP193" i="5"/>
  <c r="AP194" i="5"/>
  <c r="AP195" i="5"/>
  <c r="AP196" i="5"/>
  <c r="AP197" i="5"/>
  <c r="AP198" i="5"/>
  <c r="AP199" i="5"/>
  <c r="AP200" i="5"/>
  <c r="AP201" i="5"/>
  <c r="AP202" i="5"/>
  <c r="AP203" i="5"/>
  <c r="AP204" i="5"/>
  <c r="AP205" i="5"/>
  <c r="AP206" i="5"/>
  <c r="AP207" i="5"/>
  <c r="AP208" i="5"/>
  <c r="AP209" i="5"/>
  <c r="AP210" i="5"/>
  <c r="AP211" i="5"/>
  <c r="BF308" i="5"/>
  <c r="BF307" i="5"/>
  <c r="BF306" i="5"/>
  <c r="BF305" i="5"/>
  <c r="BF304" i="5"/>
  <c r="BF303" i="5"/>
  <c r="BF302" i="5"/>
  <c r="BF301" i="5"/>
  <c r="BF300" i="5"/>
  <c r="BF299" i="5"/>
  <c r="BF298" i="5"/>
  <c r="BF297" i="5"/>
  <c r="BF291" i="5"/>
  <c r="BF290" i="5"/>
  <c r="BF289" i="5"/>
  <c r="BF288" i="5"/>
  <c r="BF287" i="5"/>
  <c r="BF280" i="5"/>
  <c r="BF276" i="5"/>
  <c r="BF275" i="5"/>
  <c r="BF274" i="5"/>
  <c r="BF273" i="5"/>
  <c r="BF272" i="5"/>
  <c r="BF271" i="5"/>
  <c r="BF270" i="5"/>
  <c r="BF269" i="5"/>
  <c r="BF263" i="5"/>
  <c r="BF262" i="5"/>
  <c r="BF261" i="5"/>
  <c r="BF260" i="5"/>
  <c r="BF259" i="5"/>
  <c r="BF244" i="5"/>
  <c r="BF243" i="5"/>
  <c r="BF242" i="5"/>
  <c r="BF241" i="5"/>
  <c r="BF240" i="5"/>
  <c r="BF239" i="5"/>
  <c r="BF238" i="5"/>
  <c r="BF237" i="5"/>
  <c r="BF236" i="5"/>
  <c r="BF235" i="5"/>
  <c r="BF234" i="5"/>
  <c r="BF228" i="5"/>
  <c r="BF214" i="5"/>
  <c r="BF213" i="5"/>
  <c r="BF212" i="5"/>
  <c r="BF211" i="5"/>
  <c r="BF210" i="5"/>
  <c r="BF209" i="5"/>
  <c r="BF208" i="5"/>
  <c r="BF207" i="5"/>
  <c r="BF206" i="5"/>
  <c r="BF205" i="5"/>
  <c r="BF204" i="5"/>
  <c r="BF203" i="5"/>
  <c r="BF202" i="5"/>
  <c r="BF201" i="5"/>
  <c r="BF200" i="5"/>
  <c r="BF199" i="5"/>
  <c r="BF198" i="5"/>
  <c r="BF197" i="5"/>
  <c r="BF196" i="5"/>
  <c r="BF195" i="5"/>
  <c r="BF194" i="5"/>
  <c r="BF193" i="5"/>
  <c r="BF192" i="5"/>
  <c r="BF191" i="5"/>
  <c r="BF190" i="5"/>
  <c r="BF189" i="5"/>
  <c r="BF188" i="5"/>
  <c r="BF187" i="5"/>
  <c r="BF186" i="5"/>
  <c r="BF185" i="5"/>
  <c r="BF184" i="5"/>
  <c r="BF183" i="5"/>
  <c r="BF182" i="5"/>
  <c r="BF181" i="5"/>
  <c r="BF180" i="5"/>
  <c r="BF179" i="5"/>
  <c r="BF178" i="5"/>
  <c r="BF177" i="5"/>
  <c r="BF176" i="5"/>
  <c r="BF175" i="5"/>
  <c r="BF174" i="5"/>
  <c r="BF173" i="5"/>
  <c r="BF172" i="5"/>
  <c r="BF171" i="5"/>
  <c r="BF170" i="5"/>
  <c r="BF169" i="5"/>
  <c r="BF168" i="5"/>
  <c r="BF167" i="5"/>
  <c r="BF166" i="5"/>
  <c r="BF165" i="5"/>
  <c r="BF164" i="5"/>
  <c r="BF163" i="5"/>
  <c r="BF162" i="5"/>
  <c r="BF161" i="5"/>
  <c r="BF160" i="5"/>
  <c r="BF159" i="5"/>
  <c r="BF158" i="5"/>
  <c r="BF157" i="5"/>
  <c r="BF156" i="5"/>
  <c r="BF155" i="5"/>
  <c r="BF154" i="5"/>
  <c r="BF153" i="5"/>
  <c r="BF152" i="5"/>
  <c r="BF151" i="5"/>
  <c r="BF150" i="5"/>
  <c r="BF149" i="5"/>
  <c r="BF148" i="5"/>
  <c r="BF147" i="5"/>
  <c r="BF146" i="5"/>
  <c r="BF145" i="5"/>
  <c r="BF144" i="5"/>
  <c r="BF143" i="5"/>
  <c r="BF142" i="5"/>
  <c r="BF141" i="5"/>
  <c r="BF140" i="5"/>
  <c r="BF139" i="5"/>
  <c r="BF138" i="5"/>
  <c r="BF137" i="5"/>
  <c r="BF136" i="5"/>
  <c r="BF135" i="5"/>
  <c r="BF134" i="5"/>
  <c r="BF133" i="5"/>
  <c r="BF132" i="5"/>
  <c r="BF131" i="5"/>
  <c r="BF130" i="5"/>
  <c r="BF129" i="5"/>
  <c r="BF128" i="5"/>
  <c r="BF127" i="5"/>
  <c r="BF126" i="5"/>
  <c r="BF125" i="5"/>
  <c r="BF124" i="5"/>
  <c r="BF123" i="5"/>
  <c r="BF122" i="5"/>
  <c r="BF121" i="5"/>
  <c r="BF120" i="5"/>
  <c r="BF119" i="5"/>
  <c r="BF118" i="5"/>
  <c r="BF117" i="5"/>
  <c r="BF116" i="5"/>
  <c r="BF115" i="5"/>
  <c r="BF114" i="5"/>
  <c r="BF113" i="5"/>
  <c r="BF112" i="5"/>
  <c r="BF111" i="5"/>
  <c r="BF110" i="5"/>
  <c r="BF109" i="5"/>
  <c r="BF108" i="5"/>
  <c r="BF107" i="5"/>
  <c r="BF106" i="5"/>
  <c r="BF105" i="5"/>
  <c r="BF104" i="5"/>
  <c r="BF103" i="5"/>
  <c r="BF102" i="5"/>
  <c r="BF101" i="5"/>
  <c r="BF100" i="5"/>
  <c r="BF99" i="5"/>
  <c r="BF98" i="5"/>
  <c r="BF97" i="5"/>
  <c r="BF96" i="5"/>
  <c r="BF95" i="5"/>
  <c r="BF94" i="5"/>
  <c r="BF93" i="5"/>
  <c r="BF92" i="5"/>
  <c r="BF91" i="5"/>
  <c r="BF90" i="5"/>
  <c r="BF89" i="5"/>
  <c r="BF88" i="5"/>
  <c r="BF87" i="5"/>
  <c r="BF86" i="5"/>
  <c r="BF85" i="5"/>
  <c r="BF84" i="5"/>
  <c r="BF83" i="5"/>
  <c r="BF82" i="5"/>
  <c r="BF81" i="5"/>
  <c r="BF80" i="5"/>
  <c r="BF79" i="5"/>
  <c r="BF78" i="5"/>
  <c r="BF77" i="5"/>
  <c r="BF76" i="5"/>
  <c r="BF75" i="5"/>
  <c r="BF74" i="5"/>
  <c r="BF73" i="5"/>
  <c r="BF72" i="5"/>
  <c r="BF71" i="5"/>
  <c r="BF70" i="5"/>
  <c r="BF69" i="5"/>
  <c r="BF68" i="5"/>
  <c r="BF67" i="5"/>
  <c r="BF66" i="5"/>
  <c r="BF65" i="5"/>
  <c r="BF64" i="5"/>
  <c r="BF63" i="5"/>
  <c r="BF62" i="5"/>
  <c r="BF61" i="5"/>
  <c r="BF60" i="5"/>
  <c r="BF59" i="5"/>
  <c r="BF58" i="5"/>
  <c r="BF57" i="5"/>
  <c r="BF56" i="5"/>
  <c r="BF55" i="5"/>
  <c r="BF54" i="5"/>
  <c r="BF53" i="5"/>
  <c r="BF52" i="5"/>
  <c r="BF51" i="5"/>
  <c r="BF50" i="5"/>
  <c r="BF49" i="5"/>
  <c r="BF48" i="5"/>
  <c r="BF47" i="5"/>
  <c r="BF46" i="5"/>
  <c r="BF45" i="5"/>
  <c r="BF44" i="5"/>
  <c r="BF43" i="5"/>
  <c r="BF42" i="5"/>
  <c r="BF41" i="5"/>
  <c r="BF40" i="5"/>
  <c r="BF39" i="5"/>
  <c r="BF38" i="5"/>
  <c r="BF37" i="5"/>
  <c r="BF36" i="5"/>
  <c r="BF35" i="5"/>
  <c r="BF34" i="5"/>
  <c r="BF33" i="5"/>
  <c r="BF32" i="5"/>
  <c r="BF31" i="5"/>
  <c r="BF30" i="5"/>
  <c r="BF29" i="5"/>
  <c r="BF28" i="5"/>
  <c r="BF27" i="5"/>
  <c r="BF26" i="5"/>
  <c r="BF25" i="5"/>
  <c r="BF24" i="5"/>
  <c r="BF23" i="5"/>
  <c r="BF22" i="5"/>
  <c r="BF21" i="5"/>
  <c r="BF20" i="5"/>
  <c r="BF19" i="5"/>
  <c r="BF18" i="5"/>
  <c r="BF17" i="5"/>
  <c r="BF16" i="5"/>
  <c r="BF15" i="5"/>
  <c r="BF14" i="5"/>
  <c r="BF13" i="5"/>
  <c r="BF12" i="5"/>
  <c r="BF11" i="5"/>
  <c r="BF10" i="5"/>
  <c r="BF9" i="5"/>
  <c r="BF8" i="5"/>
  <c r="BF7" i="5"/>
  <c r="BF6" i="5"/>
  <c r="BF5" i="5"/>
  <c r="BF4" i="5"/>
  <c r="BF3" i="5"/>
  <c r="BF2" i="5"/>
  <c r="BH203" i="5"/>
  <c r="BD207" i="5"/>
  <c r="BH228" i="5"/>
  <c r="BD228" i="5"/>
  <c r="BD234" i="5"/>
  <c r="BH236" i="5"/>
  <c r="BD236" i="5"/>
  <c r="BH238" i="5"/>
  <c r="BD238" i="5"/>
  <c r="BH239" i="5"/>
  <c r="BH240" i="5"/>
  <c r="BD240" i="5"/>
  <c r="BD241" i="5"/>
  <c r="BH242" i="5"/>
  <c r="BD242" i="5"/>
  <c r="BH260" i="5"/>
  <c r="BD260" i="5"/>
  <c r="BH261" i="5"/>
  <c r="BH262" i="5"/>
  <c r="BD262" i="5"/>
  <c r="BH269" i="5"/>
  <c r="BD269" i="5"/>
  <c r="BH270" i="5"/>
  <c r="BH272" i="5"/>
  <c r="BH273" i="5"/>
  <c r="BD273" i="5"/>
  <c r="BH274" i="5"/>
  <c r="BH275" i="5"/>
  <c r="BD275" i="5"/>
  <c r="BH280" i="5"/>
  <c r="BD280" i="5"/>
  <c r="BH287" i="5"/>
  <c r="BD288" i="5"/>
  <c r="BH289" i="5"/>
  <c r="BD289" i="5"/>
  <c r="BH291" i="5"/>
  <c r="BH304" i="5"/>
  <c r="BH308" i="5"/>
  <c r="BD308" i="5"/>
  <c r="BV288" i="5"/>
  <c r="BU288" i="5"/>
  <c r="BT288" i="5"/>
  <c r="BS288" i="5"/>
  <c r="BI288" i="5"/>
  <c r="BQ288" i="5"/>
  <c r="BO288" i="5"/>
  <c r="BP288" i="5"/>
  <c r="BN288" i="5"/>
  <c r="BL288" i="5"/>
  <c r="BM288" i="5"/>
  <c r="BK288" i="5"/>
  <c r="BJ288" i="5"/>
  <c r="BG288" i="5"/>
  <c r="BC288" i="5"/>
  <c r="BE288" i="5"/>
  <c r="AM288" i="5"/>
  <c r="AK288" i="5"/>
  <c r="BV287" i="5"/>
  <c r="BU287" i="5"/>
  <c r="BT287" i="5"/>
  <c r="BS287" i="5"/>
  <c r="BI287" i="5"/>
  <c r="BQ287" i="5"/>
  <c r="BO287" i="5"/>
  <c r="BP287" i="5"/>
  <c r="BN287" i="5"/>
  <c r="BL287" i="5"/>
  <c r="BM287" i="5"/>
  <c r="BK287" i="5"/>
  <c r="BJ287" i="5"/>
  <c r="BG287" i="5"/>
  <c r="BC287" i="5"/>
  <c r="BE287" i="5"/>
  <c r="AM287" i="5"/>
  <c r="AK287" i="5"/>
  <c r="BV280" i="5"/>
  <c r="BU280" i="5"/>
  <c r="BT280" i="5"/>
  <c r="BS280" i="5"/>
  <c r="BI280" i="5"/>
  <c r="BQ280" i="5"/>
  <c r="BO280" i="5"/>
  <c r="BP280" i="5"/>
  <c r="BN280" i="5"/>
  <c r="BL280" i="5"/>
  <c r="BM280" i="5"/>
  <c r="BK280" i="5"/>
  <c r="BJ280" i="5"/>
  <c r="BG280" i="5"/>
  <c r="BC280" i="5"/>
  <c r="BE280" i="5"/>
  <c r="AM280" i="5"/>
  <c r="AK280" i="5"/>
  <c r="BV276" i="5"/>
  <c r="BU276" i="5"/>
  <c r="BT276" i="5"/>
  <c r="BS276" i="5"/>
  <c r="BI276" i="5"/>
  <c r="BO276" i="5"/>
  <c r="BQ276" i="5"/>
  <c r="BP276" i="5"/>
  <c r="BL276" i="5"/>
  <c r="BN276" i="5"/>
  <c r="BM276" i="5"/>
  <c r="BK276" i="5"/>
  <c r="BJ276" i="5"/>
  <c r="BG276" i="5"/>
  <c r="BC276" i="5"/>
  <c r="BE276" i="5"/>
  <c r="AM276" i="5"/>
  <c r="AK276" i="5"/>
  <c r="BV275" i="5"/>
  <c r="BU275" i="5"/>
  <c r="BT275" i="5"/>
  <c r="BS275" i="5"/>
  <c r="BI275" i="5"/>
  <c r="BQ275" i="5"/>
  <c r="BO275" i="5"/>
  <c r="BP275" i="5"/>
  <c r="BN275" i="5"/>
  <c r="BL275" i="5"/>
  <c r="BM275" i="5"/>
  <c r="BK275" i="5"/>
  <c r="BJ275" i="5"/>
  <c r="BG275" i="5"/>
  <c r="BC275" i="5"/>
  <c r="BE275" i="5"/>
  <c r="AM275" i="5"/>
  <c r="AK275" i="5"/>
  <c r="BV274" i="5"/>
  <c r="BU274" i="5"/>
  <c r="BT274" i="5"/>
  <c r="BS274" i="5"/>
  <c r="BI274" i="5"/>
  <c r="BQ274" i="5"/>
  <c r="BO274" i="5"/>
  <c r="BP274" i="5"/>
  <c r="BN274" i="5"/>
  <c r="BL274" i="5"/>
  <c r="BM274" i="5"/>
  <c r="BK274" i="5"/>
  <c r="BJ274" i="5"/>
  <c r="BG274" i="5"/>
  <c r="BC274" i="5"/>
  <c r="BE274" i="5"/>
  <c r="AM274" i="5"/>
  <c r="AK274" i="5"/>
  <c r="BV273" i="5"/>
  <c r="BU273" i="5"/>
  <c r="BT273" i="5"/>
  <c r="BS273" i="5"/>
  <c r="BI273" i="5"/>
  <c r="BQ273" i="5"/>
  <c r="BO273" i="5"/>
  <c r="BP273" i="5"/>
  <c r="BN273" i="5"/>
  <c r="BL273" i="5"/>
  <c r="BM273" i="5"/>
  <c r="BK273" i="5"/>
  <c r="BJ273" i="5"/>
  <c r="BG273" i="5"/>
  <c r="BC273" i="5"/>
  <c r="BE273" i="5"/>
  <c r="AM273" i="5"/>
  <c r="AK273" i="5"/>
  <c r="BV272" i="5"/>
  <c r="BU272" i="5"/>
  <c r="BT272" i="5"/>
  <c r="BS272" i="5"/>
  <c r="BI272" i="5"/>
  <c r="BQ272" i="5"/>
  <c r="BO272" i="5"/>
  <c r="BP272" i="5"/>
  <c r="BN272" i="5"/>
  <c r="BL272" i="5"/>
  <c r="BM272" i="5"/>
  <c r="BK272" i="5"/>
  <c r="BJ272" i="5"/>
  <c r="BG272" i="5"/>
  <c r="BC272" i="5"/>
  <c r="BE272" i="5"/>
  <c r="AM272" i="5"/>
  <c r="AK272" i="5"/>
  <c r="BV271" i="5"/>
  <c r="BU271" i="5"/>
  <c r="BT271" i="5"/>
  <c r="BS271" i="5"/>
  <c r="BH271" i="5"/>
  <c r="BD271" i="5"/>
  <c r="BI271" i="5"/>
  <c r="BQ271" i="5"/>
  <c r="BO271" i="5"/>
  <c r="BP271" i="5"/>
  <c r="BN271" i="5"/>
  <c r="BL271" i="5"/>
  <c r="BM271" i="5"/>
  <c r="BK271" i="5"/>
  <c r="BJ271" i="5"/>
  <c r="BG271" i="5"/>
  <c r="BC271" i="5"/>
  <c r="BE271" i="5"/>
  <c r="AM271" i="5"/>
  <c r="AK271" i="5"/>
  <c r="BV270" i="5"/>
  <c r="BU270" i="5"/>
  <c r="BT270" i="5"/>
  <c r="BS270" i="5"/>
  <c r="BI270" i="5"/>
  <c r="BQ270" i="5"/>
  <c r="BO270" i="5"/>
  <c r="BP270" i="5"/>
  <c r="BN270" i="5"/>
  <c r="BL270" i="5"/>
  <c r="BM270" i="5"/>
  <c r="BK270" i="5"/>
  <c r="BJ270" i="5"/>
  <c r="BG270" i="5"/>
  <c r="BC270" i="5"/>
  <c r="BE270" i="5"/>
  <c r="AM270" i="5"/>
  <c r="AK270" i="5"/>
  <c r="BV269" i="5"/>
  <c r="BU269" i="5"/>
  <c r="BT269" i="5"/>
  <c r="BS269" i="5"/>
  <c r="BI269" i="5"/>
  <c r="BO269" i="5"/>
  <c r="BQ269" i="5"/>
  <c r="BP269" i="5"/>
  <c r="BL269" i="5"/>
  <c r="BN269" i="5"/>
  <c r="BM269" i="5"/>
  <c r="BK269" i="5"/>
  <c r="BJ269" i="5"/>
  <c r="BG269" i="5"/>
  <c r="BC269" i="5"/>
  <c r="BE269" i="5"/>
  <c r="AM269" i="5"/>
  <c r="AK269" i="5"/>
  <c r="BV263" i="5"/>
  <c r="BU263" i="5"/>
  <c r="BT263" i="5"/>
  <c r="BS263" i="5"/>
  <c r="BH263" i="5"/>
  <c r="BD263" i="5"/>
  <c r="BI263" i="5"/>
  <c r="BQ263" i="5"/>
  <c r="BO263" i="5"/>
  <c r="BP263" i="5"/>
  <c r="BN263" i="5"/>
  <c r="BL263" i="5"/>
  <c r="BM263" i="5"/>
  <c r="BK263" i="5"/>
  <c r="BJ263" i="5"/>
  <c r="BG263" i="5"/>
  <c r="BC263" i="5"/>
  <c r="BE263" i="5"/>
  <c r="AM263" i="5"/>
  <c r="AK263" i="5"/>
  <c r="BV262" i="5"/>
  <c r="BU262" i="5"/>
  <c r="BT262" i="5"/>
  <c r="BS262" i="5"/>
  <c r="BI262" i="5"/>
  <c r="BQ262" i="5"/>
  <c r="BO262" i="5"/>
  <c r="BP262" i="5"/>
  <c r="BN262" i="5"/>
  <c r="BL262" i="5"/>
  <c r="BM262" i="5"/>
  <c r="BK262" i="5"/>
  <c r="BJ262" i="5"/>
  <c r="BG262" i="5"/>
  <c r="BC262" i="5"/>
  <c r="BE262" i="5"/>
  <c r="AM262" i="5"/>
  <c r="AK262" i="5"/>
  <c r="BV261" i="5"/>
  <c r="BU261" i="5"/>
  <c r="BT261" i="5"/>
  <c r="BS261" i="5"/>
  <c r="BI261" i="5"/>
  <c r="BO261" i="5"/>
  <c r="BQ261" i="5"/>
  <c r="BP261" i="5"/>
  <c r="BL261" i="5"/>
  <c r="BN261" i="5"/>
  <c r="BM261" i="5"/>
  <c r="BK261" i="5"/>
  <c r="BJ261" i="5"/>
  <c r="BG261" i="5"/>
  <c r="BC261" i="5"/>
  <c r="BE261" i="5"/>
  <c r="AM261" i="5"/>
  <c r="AK261" i="5"/>
  <c r="BV260" i="5"/>
  <c r="BU260" i="5"/>
  <c r="BT260" i="5"/>
  <c r="BS260" i="5"/>
  <c r="BI260" i="5"/>
  <c r="BQ260" i="5"/>
  <c r="BO260" i="5"/>
  <c r="BP260" i="5"/>
  <c r="BN260" i="5"/>
  <c r="BL260" i="5"/>
  <c r="BM260" i="5"/>
  <c r="BK260" i="5"/>
  <c r="BJ260" i="5"/>
  <c r="BG260" i="5"/>
  <c r="BC260" i="5"/>
  <c r="BE260" i="5"/>
  <c r="AM260" i="5"/>
  <c r="AK260" i="5"/>
  <c r="BV289" i="5"/>
  <c r="BU289" i="5"/>
  <c r="BT289" i="5"/>
  <c r="BS289" i="5"/>
  <c r="BI289" i="5"/>
  <c r="BQ289" i="5"/>
  <c r="BO289" i="5"/>
  <c r="BP289" i="5"/>
  <c r="BN289" i="5"/>
  <c r="BL289" i="5"/>
  <c r="BM289" i="5"/>
  <c r="BK289" i="5"/>
  <c r="BJ289" i="5"/>
  <c r="BG289" i="5"/>
  <c r="BC289" i="5"/>
  <c r="BE289" i="5"/>
  <c r="AM289" i="5"/>
  <c r="AK289" i="5"/>
  <c r="BV259" i="5"/>
  <c r="BU259" i="5"/>
  <c r="BT259" i="5"/>
  <c r="BS259" i="5"/>
  <c r="BI259" i="5"/>
  <c r="BQ259" i="5"/>
  <c r="BN259" i="5"/>
  <c r="BK259" i="5"/>
  <c r="BJ259" i="5"/>
  <c r="BG259" i="5"/>
  <c r="BC259" i="5"/>
  <c r="BE259" i="5"/>
  <c r="AM259" i="5"/>
  <c r="AK259" i="5"/>
  <c r="BV244" i="5"/>
  <c r="BU244" i="5"/>
  <c r="BT244" i="5"/>
  <c r="BS244" i="5"/>
  <c r="BH244" i="5"/>
  <c r="BD244" i="5"/>
  <c r="BI244" i="5"/>
  <c r="BQ244" i="5"/>
  <c r="BN244" i="5"/>
  <c r="BK244" i="5"/>
  <c r="BJ244" i="5"/>
  <c r="BG244" i="5"/>
  <c r="BC244" i="5"/>
  <c r="BE244" i="5"/>
  <c r="AM244" i="5"/>
  <c r="AK244" i="5"/>
  <c r="BV243" i="5"/>
  <c r="BU243" i="5"/>
  <c r="BT243" i="5"/>
  <c r="BS243" i="5"/>
  <c r="BI243" i="5"/>
  <c r="BQ243" i="5"/>
  <c r="BN243" i="5"/>
  <c r="BK243" i="5"/>
  <c r="BJ243" i="5"/>
  <c r="BG243" i="5"/>
  <c r="BC243" i="5"/>
  <c r="BE243" i="5"/>
  <c r="AM243" i="5"/>
  <c r="AK243" i="5"/>
  <c r="BV242" i="5"/>
  <c r="BU242" i="5"/>
  <c r="BT242" i="5"/>
  <c r="BS242" i="5"/>
  <c r="BI242" i="5"/>
  <c r="BQ242" i="5"/>
  <c r="BN242" i="5"/>
  <c r="BK242" i="5"/>
  <c r="BJ242" i="5"/>
  <c r="BG242" i="5"/>
  <c r="BC242" i="5"/>
  <c r="BE242" i="5"/>
  <c r="AM242" i="5"/>
  <c r="AK242" i="5"/>
  <c r="BV241" i="5"/>
  <c r="BU241" i="5"/>
  <c r="BT241" i="5"/>
  <c r="BS241" i="5"/>
  <c r="BI241" i="5"/>
  <c r="BQ241" i="5"/>
  <c r="BN241" i="5"/>
  <c r="BK241" i="5"/>
  <c r="BJ241" i="5"/>
  <c r="BG241" i="5"/>
  <c r="BC241" i="5"/>
  <c r="BE241" i="5"/>
  <c r="AM241" i="5"/>
  <c r="AK241" i="5"/>
  <c r="BV240" i="5"/>
  <c r="BU240" i="5"/>
  <c r="BT240" i="5"/>
  <c r="BS240" i="5"/>
  <c r="BI240" i="5"/>
  <c r="BQ240" i="5"/>
  <c r="BN240" i="5"/>
  <c r="BK240" i="5"/>
  <c r="BJ240" i="5"/>
  <c r="BG240" i="5"/>
  <c r="BC240" i="5"/>
  <c r="BE240" i="5"/>
  <c r="AM240" i="5"/>
  <c r="AK240" i="5"/>
  <c r="BV239" i="5"/>
  <c r="BU239" i="5"/>
  <c r="BT239" i="5"/>
  <c r="BS239" i="5"/>
  <c r="BI239" i="5"/>
  <c r="BQ239" i="5"/>
  <c r="BN239" i="5"/>
  <c r="BK239" i="5"/>
  <c r="BJ239" i="5"/>
  <c r="BG239" i="5"/>
  <c r="BC239" i="5"/>
  <c r="BE239" i="5"/>
  <c r="AM239" i="5"/>
  <c r="AK239" i="5"/>
  <c r="BV238" i="5"/>
  <c r="BU238" i="5"/>
  <c r="BT238" i="5"/>
  <c r="BS238" i="5"/>
  <c r="BI238" i="5"/>
  <c r="BQ238" i="5"/>
  <c r="BN238" i="5"/>
  <c r="BK238" i="5"/>
  <c r="BJ238" i="5"/>
  <c r="BG238" i="5"/>
  <c r="BC238" i="5"/>
  <c r="BE238" i="5"/>
  <c r="AM238" i="5"/>
  <c r="AK238" i="5"/>
  <c r="BV237" i="5"/>
  <c r="BU237" i="5"/>
  <c r="BT237" i="5"/>
  <c r="BS237" i="5"/>
  <c r="BI237" i="5"/>
  <c r="BQ237" i="5"/>
  <c r="BN237" i="5"/>
  <c r="BK237" i="5"/>
  <c r="BJ237" i="5"/>
  <c r="BG237" i="5"/>
  <c r="BC237" i="5"/>
  <c r="BE237" i="5"/>
  <c r="AM237" i="5"/>
  <c r="AK237" i="5"/>
  <c r="BV236" i="5"/>
  <c r="BU236" i="5"/>
  <c r="BT236" i="5"/>
  <c r="BS236" i="5"/>
  <c r="BI236" i="5"/>
  <c r="BQ236" i="5"/>
  <c r="BN236" i="5"/>
  <c r="BK236" i="5"/>
  <c r="BJ236" i="5"/>
  <c r="BG236" i="5"/>
  <c r="BC236" i="5"/>
  <c r="BE236" i="5"/>
  <c r="AM236" i="5"/>
  <c r="AK236" i="5"/>
  <c r="BV235" i="5"/>
  <c r="BU235" i="5"/>
  <c r="BT235" i="5"/>
  <c r="BS235" i="5"/>
  <c r="BI235" i="5"/>
  <c r="BQ235" i="5"/>
  <c r="BN235" i="5"/>
  <c r="BK235" i="5"/>
  <c r="BJ235" i="5"/>
  <c r="BG235" i="5"/>
  <c r="BC235" i="5"/>
  <c r="BE235" i="5"/>
  <c r="AM235" i="5"/>
  <c r="AK235" i="5"/>
  <c r="BV234" i="5"/>
  <c r="BU234" i="5"/>
  <c r="BT234" i="5"/>
  <c r="BS234" i="5"/>
  <c r="BI234" i="5"/>
  <c r="BQ234" i="5"/>
  <c r="BN234" i="5"/>
  <c r="BK234" i="5"/>
  <c r="BJ234" i="5"/>
  <c r="BG234" i="5"/>
  <c r="BC234" i="5"/>
  <c r="BE234" i="5"/>
  <c r="AM234" i="5"/>
  <c r="AK234" i="5"/>
  <c r="BV228" i="5"/>
  <c r="BU228" i="5"/>
  <c r="BT228" i="5"/>
  <c r="BS228" i="5"/>
  <c r="BI228" i="5"/>
  <c r="BQ228" i="5"/>
  <c r="BN228" i="5"/>
  <c r="BK228" i="5"/>
  <c r="BJ228" i="5"/>
  <c r="BG228" i="5"/>
  <c r="BC228" i="5"/>
  <c r="BE228" i="5"/>
  <c r="AM228" i="5"/>
  <c r="AK228" i="5"/>
  <c r="BL290" i="5"/>
  <c r="BM290" i="5"/>
  <c r="BL291" i="5"/>
  <c r="BM291" i="5"/>
  <c r="BL297" i="5"/>
  <c r="BM297" i="5"/>
  <c r="BL298" i="5"/>
  <c r="BM298" i="5"/>
  <c r="BL299" i="5"/>
  <c r="BM299" i="5"/>
  <c r="BL300" i="5"/>
  <c r="BM300" i="5"/>
  <c r="BL301" i="5"/>
  <c r="BM301" i="5"/>
  <c r="BL302" i="5"/>
  <c r="BM302" i="5"/>
  <c r="BL303" i="5"/>
  <c r="BM303" i="5"/>
  <c r="BL304" i="5"/>
  <c r="BM304" i="5"/>
  <c r="BL305" i="5"/>
  <c r="BM305" i="5"/>
  <c r="BL306" i="5"/>
  <c r="BM306" i="5"/>
  <c r="BL307" i="5"/>
  <c r="BM307" i="5"/>
  <c r="BL308" i="5"/>
  <c r="BM308" i="5"/>
  <c r="BO290" i="5"/>
  <c r="BP290" i="5"/>
  <c r="BO291" i="5"/>
  <c r="BP291" i="5"/>
  <c r="BO297" i="5"/>
  <c r="BP297" i="5"/>
  <c r="BO298" i="5"/>
  <c r="BP298" i="5"/>
  <c r="BO299" i="5"/>
  <c r="BP299" i="5"/>
  <c r="BO300" i="5"/>
  <c r="BP300" i="5"/>
  <c r="BO301" i="5"/>
  <c r="BP301" i="5"/>
  <c r="BO302" i="5"/>
  <c r="BP302" i="5"/>
  <c r="BO303" i="5"/>
  <c r="BP303" i="5"/>
  <c r="BO304" i="5"/>
  <c r="BP304" i="5"/>
  <c r="BO305" i="5"/>
  <c r="BP305" i="5"/>
  <c r="BO306" i="5"/>
  <c r="BP306" i="5"/>
  <c r="BO307" i="5"/>
  <c r="BP307" i="5"/>
  <c r="BO308" i="5"/>
  <c r="BP308" i="5"/>
  <c r="D208" i="133"/>
  <c r="E208" i="133"/>
  <c r="D158" i="141"/>
  <c r="D159" i="141"/>
  <c r="D161" i="141"/>
  <c r="D163" i="141"/>
  <c r="E272" i="141"/>
  <c r="D224" i="141"/>
  <c r="D223" i="141"/>
  <c r="D222" i="141"/>
  <c r="D214" i="141"/>
  <c r="D182" i="133"/>
  <c r="E182" i="133"/>
  <c r="AK158" i="5"/>
  <c r="BV201" i="5"/>
  <c r="BU201" i="5"/>
  <c r="BT201" i="5"/>
  <c r="BS201" i="5"/>
  <c r="BH201" i="5"/>
  <c r="BI201" i="5"/>
  <c r="BR201" i="5"/>
  <c r="BQ201" i="5"/>
  <c r="BN201" i="5"/>
  <c r="BK201" i="5"/>
  <c r="BJ201" i="5"/>
  <c r="BG201" i="5"/>
  <c r="BC201" i="5"/>
  <c r="BE201" i="5"/>
  <c r="AM201" i="5"/>
  <c r="AK201" i="5"/>
  <c r="BT31" i="5"/>
  <c r="BT32" i="5"/>
  <c r="BT33" i="5"/>
  <c r="BT34" i="5"/>
  <c r="AZ323" i="5"/>
  <c r="BG2" i="5"/>
  <c r="BT178" i="5"/>
  <c r="BT179" i="5"/>
  <c r="BT180" i="5"/>
  <c r="BT181" i="5"/>
  <c r="BT182" i="5"/>
  <c r="BT183" i="5"/>
  <c r="BT184" i="5"/>
  <c r="BT185" i="5"/>
  <c r="BT186" i="5"/>
  <c r="BT187" i="5"/>
  <c r="BT188" i="5"/>
  <c r="BT189" i="5"/>
  <c r="BV308" i="5"/>
  <c r="BU308" i="5"/>
  <c r="BT308" i="5"/>
  <c r="BS308" i="5"/>
  <c r="BI308" i="5"/>
  <c r="BQ308" i="5"/>
  <c r="BN308" i="5"/>
  <c r="BK308" i="5"/>
  <c r="BJ308" i="5"/>
  <c r="BG308" i="5"/>
  <c r="BC308" i="5"/>
  <c r="BE308" i="5"/>
  <c r="AM308" i="5"/>
  <c r="AK308" i="5"/>
  <c r="BV307" i="5"/>
  <c r="BU307" i="5"/>
  <c r="BT307" i="5"/>
  <c r="BS307" i="5"/>
  <c r="BH307" i="5"/>
  <c r="BI307" i="5"/>
  <c r="BQ307" i="5"/>
  <c r="BN307" i="5"/>
  <c r="BK307" i="5"/>
  <c r="BJ307" i="5"/>
  <c r="BG307" i="5"/>
  <c r="BC307" i="5"/>
  <c r="BE307" i="5"/>
  <c r="AM307" i="5"/>
  <c r="AK307" i="5"/>
  <c r="BV306" i="5"/>
  <c r="BU306" i="5"/>
  <c r="BT306" i="5"/>
  <c r="BS306" i="5"/>
  <c r="BH306" i="5"/>
  <c r="BI306" i="5"/>
  <c r="BQ306" i="5"/>
  <c r="BN306" i="5"/>
  <c r="BK306" i="5"/>
  <c r="BJ306" i="5"/>
  <c r="BG306" i="5"/>
  <c r="BC306" i="5"/>
  <c r="BE306" i="5"/>
  <c r="AM306" i="5"/>
  <c r="AK306" i="5"/>
  <c r="BV305" i="5"/>
  <c r="BU305" i="5"/>
  <c r="BT305" i="5"/>
  <c r="BS305" i="5"/>
  <c r="BH305" i="5"/>
  <c r="BI305" i="5"/>
  <c r="BQ305" i="5"/>
  <c r="BN305" i="5"/>
  <c r="BK305" i="5"/>
  <c r="BJ305" i="5"/>
  <c r="BG305" i="5"/>
  <c r="BC305" i="5"/>
  <c r="BE305" i="5"/>
  <c r="AM305" i="5"/>
  <c r="AK305" i="5"/>
  <c r="BV304" i="5"/>
  <c r="BU304" i="5"/>
  <c r="BT304" i="5"/>
  <c r="BS304" i="5"/>
  <c r="BI304" i="5"/>
  <c r="BQ304" i="5"/>
  <c r="BN304" i="5"/>
  <c r="BK304" i="5"/>
  <c r="BJ304" i="5"/>
  <c r="BG304" i="5"/>
  <c r="BC304" i="5"/>
  <c r="BE304" i="5"/>
  <c r="AM304" i="5"/>
  <c r="AK304" i="5"/>
  <c r="BV303" i="5"/>
  <c r="BU303" i="5"/>
  <c r="BT303" i="5"/>
  <c r="BS303" i="5"/>
  <c r="BH303" i="5"/>
  <c r="BI303" i="5"/>
  <c r="BQ303" i="5"/>
  <c r="BN303" i="5"/>
  <c r="BK303" i="5"/>
  <c r="BJ303" i="5"/>
  <c r="BG303" i="5"/>
  <c r="BC303" i="5"/>
  <c r="BE303" i="5"/>
  <c r="AM303" i="5"/>
  <c r="AK303" i="5"/>
  <c r="BV302" i="5"/>
  <c r="BU302" i="5"/>
  <c r="BT302" i="5"/>
  <c r="BS302" i="5"/>
  <c r="BH302" i="5"/>
  <c r="BI302" i="5"/>
  <c r="BQ302" i="5"/>
  <c r="BN302" i="5"/>
  <c r="BK302" i="5"/>
  <c r="BJ302" i="5"/>
  <c r="BG302" i="5"/>
  <c r="BC302" i="5"/>
  <c r="BE302" i="5"/>
  <c r="AM302" i="5"/>
  <c r="AK302" i="5"/>
  <c r="BV301" i="5"/>
  <c r="BU301" i="5"/>
  <c r="BT301" i="5"/>
  <c r="BS301" i="5"/>
  <c r="BH301" i="5"/>
  <c r="BI301" i="5"/>
  <c r="BQ301" i="5"/>
  <c r="BN301" i="5"/>
  <c r="BK301" i="5"/>
  <c r="BJ301" i="5"/>
  <c r="BG301" i="5"/>
  <c r="BC301" i="5"/>
  <c r="BE301" i="5"/>
  <c r="AM301" i="5"/>
  <c r="AK301" i="5"/>
  <c r="BV300" i="5"/>
  <c r="BU300" i="5"/>
  <c r="BT300" i="5"/>
  <c r="BS300" i="5"/>
  <c r="BI300" i="5"/>
  <c r="BQ300" i="5"/>
  <c r="BN300" i="5"/>
  <c r="BK300" i="5"/>
  <c r="BJ300" i="5"/>
  <c r="BG300" i="5"/>
  <c r="BC300" i="5"/>
  <c r="BE300" i="5"/>
  <c r="AM300" i="5"/>
  <c r="AK300" i="5"/>
  <c r="BV299" i="5"/>
  <c r="BU299" i="5"/>
  <c r="BT299" i="5"/>
  <c r="BS299" i="5"/>
  <c r="BH299" i="5"/>
  <c r="BD299" i="5"/>
  <c r="BI299" i="5"/>
  <c r="BQ299" i="5"/>
  <c r="BN299" i="5"/>
  <c r="BK299" i="5"/>
  <c r="BJ299" i="5"/>
  <c r="BG299" i="5"/>
  <c r="BC299" i="5"/>
  <c r="BE299" i="5"/>
  <c r="AM299" i="5"/>
  <c r="AK299" i="5"/>
  <c r="BV298" i="5"/>
  <c r="BU298" i="5"/>
  <c r="BT298" i="5"/>
  <c r="BS298" i="5"/>
  <c r="BH298" i="5"/>
  <c r="BI298" i="5"/>
  <c r="BQ298" i="5"/>
  <c r="BN298" i="5"/>
  <c r="BK298" i="5"/>
  <c r="BJ298" i="5"/>
  <c r="BG298" i="5"/>
  <c r="BC298" i="5"/>
  <c r="BE298" i="5"/>
  <c r="AM298" i="5"/>
  <c r="AK298" i="5"/>
  <c r="BV297" i="5"/>
  <c r="BU297" i="5"/>
  <c r="BT297" i="5"/>
  <c r="BS297" i="5"/>
  <c r="BH297" i="5"/>
  <c r="BI297" i="5"/>
  <c r="BQ297" i="5"/>
  <c r="BN297" i="5"/>
  <c r="BK297" i="5"/>
  <c r="BJ297" i="5"/>
  <c r="BG297" i="5"/>
  <c r="BC297" i="5"/>
  <c r="BE297" i="5"/>
  <c r="AM297" i="5"/>
  <c r="AK297" i="5"/>
  <c r="BV291" i="5"/>
  <c r="BU291" i="5"/>
  <c r="BT291" i="5"/>
  <c r="BS291" i="5"/>
  <c r="BI291" i="5"/>
  <c r="BQ291" i="5"/>
  <c r="BN291" i="5"/>
  <c r="BK291" i="5"/>
  <c r="BJ291" i="5"/>
  <c r="BG291" i="5"/>
  <c r="BC291" i="5"/>
  <c r="BE291" i="5"/>
  <c r="AM291" i="5"/>
  <c r="AK291" i="5"/>
  <c r="BV290" i="5"/>
  <c r="BU290" i="5"/>
  <c r="BT290" i="5"/>
  <c r="BS290" i="5"/>
  <c r="BH290" i="5"/>
  <c r="BI290" i="5"/>
  <c r="BQ290" i="5"/>
  <c r="BN290" i="5"/>
  <c r="BK290" i="5"/>
  <c r="BJ290" i="5"/>
  <c r="BG290" i="5"/>
  <c r="BC290" i="5"/>
  <c r="BE290" i="5"/>
  <c r="BD290" i="5"/>
  <c r="AM290" i="5"/>
  <c r="AK290" i="5"/>
  <c r="BV209" i="5"/>
  <c r="BU209" i="5"/>
  <c r="BT209" i="5"/>
  <c r="BS209" i="5"/>
  <c r="BH209" i="5"/>
  <c r="BI209" i="5"/>
  <c r="BQ209" i="5"/>
  <c r="BN209" i="5"/>
  <c r="BK209" i="5"/>
  <c r="BJ209" i="5"/>
  <c r="BG209" i="5"/>
  <c r="BC209" i="5"/>
  <c r="BE209" i="5"/>
  <c r="AM209" i="5"/>
  <c r="AK209" i="5"/>
  <c r="BV208" i="5"/>
  <c r="BU208" i="5"/>
  <c r="BT208" i="5"/>
  <c r="BS208" i="5"/>
  <c r="BH208" i="5"/>
  <c r="BI208" i="5"/>
  <c r="BQ208" i="5"/>
  <c r="BN208" i="5"/>
  <c r="BK208" i="5"/>
  <c r="BJ208" i="5"/>
  <c r="BG208" i="5"/>
  <c r="BC208" i="5"/>
  <c r="BE208" i="5"/>
  <c r="AM208" i="5"/>
  <c r="AK208" i="5"/>
  <c r="BV207" i="5"/>
  <c r="BU207" i="5"/>
  <c r="BT207" i="5"/>
  <c r="BS207" i="5"/>
  <c r="BI207" i="5"/>
  <c r="BQ207" i="5"/>
  <c r="BN207" i="5"/>
  <c r="BK207" i="5"/>
  <c r="BJ207" i="5"/>
  <c r="BG207" i="5"/>
  <c r="BC207" i="5"/>
  <c r="BE207" i="5"/>
  <c r="AM207" i="5"/>
  <c r="AK207" i="5"/>
  <c r="BV206" i="5"/>
  <c r="BU206" i="5"/>
  <c r="BT206" i="5"/>
  <c r="BS206" i="5"/>
  <c r="BH206" i="5"/>
  <c r="BI206" i="5"/>
  <c r="BQ206" i="5"/>
  <c r="BN206" i="5"/>
  <c r="BK206" i="5"/>
  <c r="BJ206" i="5"/>
  <c r="BG206" i="5"/>
  <c r="BC206" i="5"/>
  <c r="BE206" i="5"/>
  <c r="AM206" i="5"/>
  <c r="AK206" i="5"/>
  <c r="BV205" i="5"/>
  <c r="BU205" i="5"/>
  <c r="BT205" i="5"/>
  <c r="BS205" i="5"/>
  <c r="BI205" i="5"/>
  <c r="BQ205" i="5"/>
  <c r="BN205" i="5"/>
  <c r="BK205" i="5"/>
  <c r="BJ205" i="5"/>
  <c r="BG205" i="5"/>
  <c r="BC205" i="5"/>
  <c r="BE205" i="5"/>
  <c r="AM205" i="5"/>
  <c r="AK205" i="5"/>
  <c r="BV204" i="5"/>
  <c r="BU204" i="5"/>
  <c r="BT204" i="5"/>
  <c r="BS204" i="5"/>
  <c r="BH204" i="5"/>
  <c r="BI204" i="5"/>
  <c r="BQ204" i="5"/>
  <c r="BN204" i="5"/>
  <c r="BK204" i="5"/>
  <c r="BJ204" i="5"/>
  <c r="BG204" i="5"/>
  <c r="BC204" i="5"/>
  <c r="BE204" i="5"/>
  <c r="AM204" i="5"/>
  <c r="AK204" i="5"/>
  <c r="BV203" i="5"/>
  <c r="BU203" i="5"/>
  <c r="BT203" i="5"/>
  <c r="BS203" i="5"/>
  <c r="BI203" i="5"/>
  <c r="BQ203" i="5"/>
  <c r="BN203" i="5"/>
  <c r="BK203" i="5"/>
  <c r="BJ203" i="5"/>
  <c r="BG203" i="5"/>
  <c r="BC203" i="5"/>
  <c r="BE203" i="5"/>
  <c r="AM203" i="5"/>
  <c r="AK203" i="5"/>
  <c r="BT161" i="5"/>
  <c r="D174" i="141"/>
  <c r="E174" i="141"/>
  <c r="AK151" i="5"/>
  <c r="BG107" i="5"/>
  <c r="BC107" i="5"/>
  <c r="D185" i="141"/>
  <c r="D199" i="141"/>
  <c r="E168" i="141"/>
  <c r="D335" i="133"/>
  <c r="D304" i="133"/>
  <c r="D181" i="133"/>
  <c r="D150" i="133"/>
  <c r="E150" i="133"/>
  <c r="D175" i="141"/>
  <c r="E175" i="141"/>
  <c r="D152" i="133"/>
  <c r="E152" i="133"/>
  <c r="D151" i="133"/>
  <c r="E151" i="133"/>
  <c r="D132" i="133"/>
  <c r="D128" i="133"/>
  <c r="BV214" i="5"/>
  <c r="BU214" i="5"/>
  <c r="BT214" i="5"/>
  <c r="BS214" i="5"/>
  <c r="BH214" i="5"/>
  <c r="BI214" i="5"/>
  <c r="BQ214" i="5"/>
  <c r="BN214" i="5"/>
  <c r="BK214" i="5"/>
  <c r="BJ214" i="5"/>
  <c r="BG214" i="5"/>
  <c r="BC214" i="5"/>
  <c r="BE214" i="5"/>
  <c r="AM214" i="5"/>
  <c r="AK214" i="5"/>
  <c r="BV213" i="5"/>
  <c r="BU213" i="5"/>
  <c r="BT213" i="5"/>
  <c r="BS213" i="5"/>
  <c r="BH213" i="5"/>
  <c r="BI213" i="5"/>
  <c r="BQ213" i="5"/>
  <c r="BN213" i="5"/>
  <c r="BK213" i="5"/>
  <c r="BJ213" i="5"/>
  <c r="BG213" i="5"/>
  <c r="BC213" i="5"/>
  <c r="BE213" i="5"/>
  <c r="AM213" i="5"/>
  <c r="AK213" i="5"/>
  <c r="BV212" i="5"/>
  <c r="BU212" i="5"/>
  <c r="BT212" i="5"/>
  <c r="BS212" i="5"/>
  <c r="BH212" i="5"/>
  <c r="BD212" i="5"/>
  <c r="BI212" i="5"/>
  <c r="BQ212" i="5"/>
  <c r="BN212" i="5"/>
  <c r="BK212" i="5"/>
  <c r="BJ212" i="5"/>
  <c r="BG212" i="5"/>
  <c r="BC212" i="5"/>
  <c r="BE212" i="5"/>
  <c r="AM212" i="5"/>
  <c r="AK212" i="5"/>
  <c r="BV211" i="5"/>
  <c r="BU211" i="5"/>
  <c r="BT211" i="5"/>
  <c r="BS211" i="5"/>
  <c r="BH211" i="5"/>
  <c r="BI211" i="5"/>
  <c r="BQ211" i="5"/>
  <c r="BN211" i="5"/>
  <c r="BK211" i="5"/>
  <c r="BJ211" i="5"/>
  <c r="BG211" i="5"/>
  <c r="BC211" i="5"/>
  <c r="BE211" i="5"/>
  <c r="AM211" i="5"/>
  <c r="AK211" i="5"/>
  <c r="BV210" i="5"/>
  <c r="BU210" i="5"/>
  <c r="BT210" i="5"/>
  <c r="BS210" i="5"/>
  <c r="BH210" i="5"/>
  <c r="BD210" i="5"/>
  <c r="BI210" i="5"/>
  <c r="BQ210" i="5"/>
  <c r="BN210" i="5"/>
  <c r="BK210" i="5"/>
  <c r="BJ210" i="5"/>
  <c r="BG210" i="5"/>
  <c r="BC210" i="5"/>
  <c r="BE210" i="5"/>
  <c r="AM210" i="5"/>
  <c r="AK210" i="5"/>
  <c r="BV202" i="5"/>
  <c r="BU202" i="5"/>
  <c r="BT202" i="5"/>
  <c r="BS202" i="5"/>
  <c r="BH202" i="5"/>
  <c r="BD202" i="5"/>
  <c r="BI202" i="5"/>
  <c r="BQ202" i="5"/>
  <c r="BN202" i="5"/>
  <c r="BK202" i="5"/>
  <c r="BJ202" i="5"/>
  <c r="BG202" i="5"/>
  <c r="BC202" i="5"/>
  <c r="BE202" i="5"/>
  <c r="AM202" i="5"/>
  <c r="AK202" i="5"/>
  <c r="BG3" i="5"/>
  <c r="BC3" i="5"/>
  <c r="BG4" i="5"/>
  <c r="BC4" i="5"/>
  <c r="BG5" i="5"/>
  <c r="BG6" i="5"/>
  <c r="BC6" i="5"/>
  <c r="BG7" i="5"/>
  <c r="BC7" i="5"/>
  <c r="BG8" i="5"/>
  <c r="BC8" i="5"/>
  <c r="BG9" i="5"/>
  <c r="BG10" i="5"/>
  <c r="BC10" i="5"/>
  <c r="BG11" i="5"/>
  <c r="BC11" i="5"/>
  <c r="BG12" i="5"/>
  <c r="BC12" i="5"/>
  <c r="BG13" i="5"/>
  <c r="BG14" i="5"/>
  <c r="BC14" i="5"/>
  <c r="BG15" i="5"/>
  <c r="BC15" i="5"/>
  <c r="BG16" i="5"/>
  <c r="BC16" i="5"/>
  <c r="BG17" i="5"/>
  <c r="BG18" i="5"/>
  <c r="BC18" i="5"/>
  <c r="BG19" i="5"/>
  <c r="BC19" i="5"/>
  <c r="BG20" i="5"/>
  <c r="BG21" i="5"/>
  <c r="BG22" i="5"/>
  <c r="BC22" i="5"/>
  <c r="BG23" i="5"/>
  <c r="BC23" i="5"/>
  <c r="BG24" i="5"/>
  <c r="BG25" i="5"/>
  <c r="BG26" i="5"/>
  <c r="BC26" i="5"/>
  <c r="BG27" i="5"/>
  <c r="BC27" i="5"/>
  <c r="BG28" i="5"/>
  <c r="BG29" i="5"/>
  <c r="BG30" i="5"/>
  <c r="BC30" i="5"/>
  <c r="BG31" i="5"/>
  <c r="BC31" i="5"/>
  <c r="BG32" i="5"/>
  <c r="BG33" i="5"/>
  <c r="BG34" i="5"/>
  <c r="BC34" i="5"/>
  <c r="BG35" i="5"/>
  <c r="BC35" i="5"/>
  <c r="BG36" i="5"/>
  <c r="BC36" i="5"/>
  <c r="BG37" i="5"/>
  <c r="BG38" i="5"/>
  <c r="BC38" i="5"/>
  <c r="BG39" i="5"/>
  <c r="BC39" i="5"/>
  <c r="BG40" i="5"/>
  <c r="BC40" i="5"/>
  <c r="BG41" i="5"/>
  <c r="BG42" i="5"/>
  <c r="BC42" i="5"/>
  <c r="BG43" i="5"/>
  <c r="BC43" i="5"/>
  <c r="BG44" i="5"/>
  <c r="BG45" i="5"/>
  <c r="BG46" i="5"/>
  <c r="BC46" i="5"/>
  <c r="BG47" i="5"/>
  <c r="BC47" i="5"/>
  <c r="BG48" i="5"/>
  <c r="BC48" i="5"/>
  <c r="BG49" i="5"/>
  <c r="BG50" i="5"/>
  <c r="BC50" i="5"/>
  <c r="BG51" i="5"/>
  <c r="BC51" i="5"/>
  <c r="BG52" i="5"/>
  <c r="BG53" i="5"/>
  <c r="BG54" i="5"/>
  <c r="BC54" i="5"/>
  <c r="BG55" i="5"/>
  <c r="BC55" i="5"/>
  <c r="BG56" i="5"/>
  <c r="BG57" i="5"/>
  <c r="BG58" i="5"/>
  <c r="BG59" i="5"/>
  <c r="BC59" i="5"/>
  <c r="BG60" i="5"/>
  <c r="BG61" i="5"/>
  <c r="BG62" i="5"/>
  <c r="BC62" i="5"/>
  <c r="BG63" i="5"/>
  <c r="BG64" i="5"/>
  <c r="BG65" i="5"/>
  <c r="BG66" i="5"/>
  <c r="BC66" i="5"/>
  <c r="BG67" i="5"/>
  <c r="BC67" i="5"/>
  <c r="BG68" i="5"/>
  <c r="BC68" i="5"/>
  <c r="BG69" i="5"/>
  <c r="BG70" i="5"/>
  <c r="BC70" i="5"/>
  <c r="BG71" i="5"/>
  <c r="BG72" i="5"/>
  <c r="BC72" i="5"/>
  <c r="BG73" i="5"/>
  <c r="BG74" i="5"/>
  <c r="BC74" i="5"/>
  <c r="BG75" i="5"/>
  <c r="BC75" i="5"/>
  <c r="BG76" i="5"/>
  <c r="BC76" i="5"/>
  <c r="BG77" i="5"/>
  <c r="BG78" i="5"/>
  <c r="BC78" i="5"/>
  <c r="BG79" i="5"/>
  <c r="BC79" i="5"/>
  <c r="BG80" i="5"/>
  <c r="BG81" i="5"/>
  <c r="BG82" i="5"/>
  <c r="BC82" i="5"/>
  <c r="BG83" i="5"/>
  <c r="BC83" i="5"/>
  <c r="BG84" i="5"/>
  <c r="BC84" i="5"/>
  <c r="BG85" i="5"/>
  <c r="BG86" i="5"/>
  <c r="BC86" i="5"/>
  <c r="BG87" i="5"/>
  <c r="BC87" i="5"/>
  <c r="BG88" i="5"/>
  <c r="BG89" i="5"/>
  <c r="BG90" i="5"/>
  <c r="BC90" i="5"/>
  <c r="BG91" i="5"/>
  <c r="BC91" i="5"/>
  <c r="BG92" i="5"/>
  <c r="BG93" i="5"/>
  <c r="BC93" i="5"/>
  <c r="BG94" i="5"/>
  <c r="BC94" i="5"/>
  <c r="BG95" i="5"/>
  <c r="BC95" i="5"/>
  <c r="BG96" i="5"/>
  <c r="BC96" i="5"/>
  <c r="BG97" i="5"/>
  <c r="BG98" i="5"/>
  <c r="BC98" i="5"/>
  <c r="BG99" i="5"/>
  <c r="BC99" i="5"/>
  <c r="BG100" i="5"/>
  <c r="BG101" i="5"/>
  <c r="BG102" i="5"/>
  <c r="BC102" i="5"/>
  <c r="BG103" i="5"/>
  <c r="BC103" i="5"/>
  <c r="BG104" i="5"/>
  <c r="BC104" i="5"/>
  <c r="BG105" i="5"/>
  <c r="BC105" i="5"/>
  <c r="BG106" i="5"/>
  <c r="BC106" i="5"/>
  <c r="BG108" i="5"/>
  <c r="BG109" i="5"/>
  <c r="BC109" i="5"/>
  <c r="BG110" i="5"/>
  <c r="BG111" i="5"/>
  <c r="BC111" i="5"/>
  <c r="BG112" i="5"/>
  <c r="BC112" i="5"/>
  <c r="BG113" i="5"/>
  <c r="BG114" i="5"/>
  <c r="BG115" i="5"/>
  <c r="BC115" i="5"/>
  <c r="BG116" i="5"/>
  <c r="BC116" i="5"/>
  <c r="BG117" i="5"/>
  <c r="BG118" i="5"/>
  <c r="BG119" i="5"/>
  <c r="BC119" i="5"/>
  <c r="BG120" i="5"/>
  <c r="BC120" i="5"/>
  <c r="BG121" i="5"/>
  <c r="BC121" i="5"/>
  <c r="BG122" i="5"/>
  <c r="BC122" i="5"/>
  <c r="BG123" i="5"/>
  <c r="BC123" i="5"/>
  <c r="BG124" i="5"/>
  <c r="BG125" i="5"/>
  <c r="BG126" i="5"/>
  <c r="BG127" i="5"/>
  <c r="BC127" i="5"/>
  <c r="BG128" i="5"/>
  <c r="BC128" i="5"/>
  <c r="BG129" i="5"/>
  <c r="BG130" i="5"/>
  <c r="BG131" i="5"/>
  <c r="BC131" i="5"/>
  <c r="BG132" i="5"/>
  <c r="BC132" i="5"/>
  <c r="BG133" i="5"/>
  <c r="BG134" i="5"/>
  <c r="BG135" i="5"/>
  <c r="BC135" i="5"/>
  <c r="BG136" i="5"/>
  <c r="BG137" i="5"/>
  <c r="BG138" i="5"/>
  <c r="BG139" i="5"/>
  <c r="BC139" i="5"/>
  <c r="BG140" i="5"/>
  <c r="BC140" i="5"/>
  <c r="BG141" i="5"/>
  <c r="BC141" i="5"/>
  <c r="BG142" i="5"/>
  <c r="BG143" i="5"/>
  <c r="BC143" i="5"/>
  <c r="BG144" i="5"/>
  <c r="BC144" i="5"/>
  <c r="BG145" i="5"/>
  <c r="BC145" i="5"/>
  <c r="BG146" i="5"/>
  <c r="BG147" i="5"/>
  <c r="BC147" i="5"/>
  <c r="BG148" i="5"/>
  <c r="BG149" i="5"/>
  <c r="BG150" i="5"/>
  <c r="BC150" i="5"/>
  <c r="BG151" i="5"/>
  <c r="BC151" i="5"/>
  <c r="BG152" i="5"/>
  <c r="BC152" i="5"/>
  <c r="BG153" i="5"/>
  <c r="BG154" i="5"/>
  <c r="BC154" i="5"/>
  <c r="BG155" i="5"/>
  <c r="BC155" i="5"/>
  <c r="BG156" i="5"/>
  <c r="BC156" i="5"/>
  <c r="BG157" i="5"/>
  <c r="BC157" i="5"/>
  <c r="BG158" i="5"/>
  <c r="BG159" i="5"/>
  <c r="BC159" i="5"/>
  <c r="BG160" i="5"/>
  <c r="BC160" i="5"/>
  <c r="BG161" i="5"/>
  <c r="BC161" i="5"/>
  <c r="BG162" i="5"/>
  <c r="BC162" i="5"/>
  <c r="BG163" i="5"/>
  <c r="BC163" i="5"/>
  <c r="BG164" i="5"/>
  <c r="BC164" i="5"/>
  <c r="BG165" i="5"/>
  <c r="BC165" i="5"/>
  <c r="BG166" i="5"/>
  <c r="BC166" i="5"/>
  <c r="BG167" i="5"/>
  <c r="BC167" i="5"/>
  <c r="BG168" i="5"/>
  <c r="BC168" i="5"/>
  <c r="BG169" i="5"/>
  <c r="BC169" i="5"/>
  <c r="BG170" i="5"/>
  <c r="BC170" i="5"/>
  <c r="BG171" i="5"/>
  <c r="BC171" i="5"/>
  <c r="BG172" i="5"/>
  <c r="BC172" i="5"/>
  <c r="BG173" i="5"/>
  <c r="BG174" i="5"/>
  <c r="BC174" i="5"/>
  <c r="BG175" i="5"/>
  <c r="BC175" i="5"/>
  <c r="BG176" i="5"/>
  <c r="BC176" i="5"/>
  <c r="BG177" i="5"/>
  <c r="BC177" i="5"/>
  <c r="BG178" i="5"/>
  <c r="BC178" i="5"/>
  <c r="BG179" i="5"/>
  <c r="BC179" i="5"/>
  <c r="BG180" i="5"/>
  <c r="BC180" i="5"/>
  <c r="BG181" i="5"/>
  <c r="BC181" i="5"/>
  <c r="BG182" i="5"/>
  <c r="BC182" i="5"/>
  <c r="BG183" i="5"/>
  <c r="BC183" i="5"/>
  <c r="BG184" i="5"/>
  <c r="BC184" i="5"/>
  <c r="BG185" i="5"/>
  <c r="BC185" i="5"/>
  <c r="BG186" i="5"/>
  <c r="BC186" i="5"/>
  <c r="BG187" i="5"/>
  <c r="BC187" i="5"/>
  <c r="BG188" i="5"/>
  <c r="BC188" i="5"/>
  <c r="BG189" i="5"/>
  <c r="BC189" i="5"/>
  <c r="BG190" i="5"/>
  <c r="BC190" i="5"/>
  <c r="BG191" i="5"/>
  <c r="BC191" i="5"/>
  <c r="BG192" i="5"/>
  <c r="BC192" i="5"/>
  <c r="BG193" i="5"/>
  <c r="BC193" i="5"/>
  <c r="BG194" i="5"/>
  <c r="BC194" i="5"/>
  <c r="BG195" i="5"/>
  <c r="BC195" i="5"/>
  <c r="BG196" i="5"/>
  <c r="BC196" i="5"/>
  <c r="BG197" i="5"/>
  <c r="BC197" i="5"/>
  <c r="BG198" i="5"/>
  <c r="BC198" i="5"/>
  <c r="BG199" i="5"/>
  <c r="BC199" i="5"/>
  <c r="BG200" i="5"/>
  <c r="BC200" i="5"/>
  <c r="BH3" i="5"/>
  <c r="BH4" i="5"/>
  <c r="BH5" i="5"/>
  <c r="BD5" i="5"/>
  <c r="BH6" i="5"/>
  <c r="BD6" i="5"/>
  <c r="BH7" i="5"/>
  <c r="BH8" i="5"/>
  <c r="BH9" i="5"/>
  <c r="BI9" i="5"/>
  <c r="BR9" i="5"/>
  <c r="BH10" i="5"/>
  <c r="BD10" i="5"/>
  <c r="BH11" i="5"/>
  <c r="BD11" i="5"/>
  <c r="BH12" i="5"/>
  <c r="BH13" i="5"/>
  <c r="BD13" i="5"/>
  <c r="BH14" i="5"/>
  <c r="BD14" i="5"/>
  <c r="BH15" i="5"/>
  <c r="BH16" i="5"/>
  <c r="BH17" i="5"/>
  <c r="BH18" i="5"/>
  <c r="BD18" i="5"/>
  <c r="BH19" i="5"/>
  <c r="BD19" i="5"/>
  <c r="BH20" i="5"/>
  <c r="BH21" i="5"/>
  <c r="BD21" i="5"/>
  <c r="BH22" i="5"/>
  <c r="BI22" i="5"/>
  <c r="BR22" i="5"/>
  <c r="BH23" i="5"/>
  <c r="BD23" i="5"/>
  <c r="BH24" i="5"/>
  <c r="BH25" i="5"/>
  <c r="BH26" i="5"/>
  <c r="BI26" i="5"/>
  <c r="BR26" i="5"/>
  <c r="BH27" i="5"/>
  <c r="BI27" i="5"/>
  <c r="BH28" i="5"/>
  <c r="BH29" i="5"/>
  <c r="BI29" i="5"/>
  <c r="BR29" i="5"/>
  <c r="BH30" i="5"/>
  <c r="BH31" i="5"/>
  <c r="BH32" i="5"/>
  <c r="BI32" i="5"/>
  <c r="BR32" i="5"/>
  <c r="BH33" i="5"/>
  <c r="BD33" i="5"/>
  <c r="BH34" i="5"/>
  <c r="BH35" i="5"/>
  <c r="BD35" i="5"/>
  <c r="BH36" i="5"/>
  <c r="BD36" i="5"/>
  <c r="BH37" i="5"/>
  <c r="BD37" i="5"/>
  <c r="BH38" i="5"/>
  <c r="BD38" i="5"/>
  <c r="BH39" i="5"/>
  <c r="BH40" i="5"/>
  <c r="BD40" i="5"/>
  <c r="BH41" i="5"/>
  <c r="BI41" i="5"/>
  <c r="BR41" i="5"/>
  <c r="BH42" i="5"/>
  <c r="BH43" i="5"/>
  <c r="BH44" i="5"/>
  <c r="BD44" i="5"/>
  <c r="BH45" i="5"/>
  <c r="BD45" i="5"/>
  <c r="BH46" i="5"/>
  <c r="BH47" i="5"/>
  <c r="BH48" i="5"/>
  <c r="BD48" i="5"/>
  <c r="BH49" i="5"/>
  <c r="BD49" i="5"/>
  <c r="BH50" i="5"/>
  <c r="BD50" i="5"/>
  <c r="BH51" i="5"/>
  <c r="BD51" i="5"/>
  <c r="BH52" i="5"/>
  <c r="BH53" i="5"/>
  <c r="BH54" i="5"/>
  <c r="BD54" i="5"/>
  <c r="BH55" i="5"/>
  <c r="BH56" i="5"/>
  <c r="BH57" i="5"/>
  <c r="BD57" i="5"/>
  <c r="BH58" i="5"/>
  <c r="BH59" i="5"/>
  <c r="BH60" i="5"/>
  <c r="BH61" i="5"/>
  <c r="BD61" i="5"/>
  <c r="BH62" i="5"/>
  <c r="BD62" i="5"/>
  <c r="BH63" i="5"/>
  <c r="BH64" i="5"/>
  <c r="BD64" i="5"/>
  <c r="BH65" i="5"/>
  <c r="BH66" i="5"/>
  <c r="BD66" i="5"/>
  <c r="BH67" i="5"/>
  <c r="BH68" i="5"/>
  <c r="BD68" i="5"/>
  <c r="BH69" i="5"/>
  <c r="BD69" i="5"/>
  <c r="BH70" i="5"/>
  <c r="BH71" i="5"/>
  <c r="BH72" i="5"/>
  <c r="BD72" i="5"/>
  <c r="BH73" i="5"/>
  <c r="BH74" i="5"/>
  <c r="BH75" i="5"/>
  <c r="BI75" i="5"/>
  <c r="BH76" i="5"/>
  <c r="BH77" i="5"/>
  <c r="BI77" i="5"/>
  <c r="BR77" i="5"/>
  <c r="BH78" i="5"/>
  <c r="BH79" i="5"/>
  <c r="BI79" i="5"/>
  <c r="BR79" i="5"/>
  <c r="BH80" i="5"/>
  <c r="BD80" i="5"/>
  <c r="BH81" i="5"/>
  <c r="BH82" i="5"/>
  <c r="BH83" i="5"/>
  <c r="BI83" i="5"/>
  <c r="BR83" i="5"/>
  <c r="BH84" i="5"/>
  <c r="BD84" i="5"/>
  <c r="BH85" i="5"/>
  <c r="BH86" i="5"/>
  <c r="BH87" i="5"/>
  <c r="BD87" i="5"/>
  <c r="BH88" i="5"/>
  <c r="BD88" i="5"/>
  <c r="BH89" i="5"/>
  <c r="BH90" i="5"/>
  <c r="BH91" i="5"/>
  <c r="BD91" i="5"/>
  <c r="BH92" i="5"/>
  <c r="BH93" i="5"/>
  <c r="BH94" i="5"/>
  <c r="BH95" i="5"/>
  <c r="BH96" i="5"/>
  <c r="BD96" i="5"/>
  <c r="BH97" i="5"/>
  <c r="BH98" i="5"/>
  <c r="BD98" i="5"/>
  <c r="BH99" i="5"/>
  <c r="BH100" i="5"/>
  <c r="BD100" i="5"/>
  <c r="BH101" i="5"/>
  <c r="BH102" i="5"/>
  <c r="BH103" i="5"/>
  <c r="BD103" i="5"/>
  <c r="BH104" i="5"/>
  <c r="BI104" i="5"/>
  <c r="BR104" i="5"/>
  <c r="BH105" i="5"/>
  <c r="BH106" i="5"/>
  <c r="BH107" i="5"/>
  <c r="BI107" i="5"/>
  <c r="BR107" i="5"/>
  <c r="BH108" i="5"/>
  <c r="BH109" i="5"/>
  <c r="BH110" i="5"/>
  <c r="BH111" i="5"/>
  <c r="BD111" i="5"/>
  <c r="BH112" i="5"/>
  <c r="BD112" i="5"/>
  <c r="BH113" i="5"/>
  <c r="BD113" i="5"/>
  <c r="BH114" i="5"/>
  <c r="BH115" i="5"/>
  <c r="BD115" i="5"/>
  <c r="BH116" i="5"/>
  <c r="BH117" i="5"/>
  <c r="BD117" i="5"/>
  <c r="BH118" i="5"/>
  <c r="BH119" i="5"/>
  <c r="BI119" i="5"/>
  <c r="BR119" i="5"/>
  <c r="BH120" i="5"/>
  <c r="BI120" i="5"/>
  <c r="BR120" i="5"/>
  <c r="BH121" i="5"/>
  <c r="BI121" i="5"/>
  <c r="BR121" i="5"/>
  <c r="BH122" i="5"/>
  <c r="BH123" i="5"/>
  <c r="BI123" i="5"/>
  <c r="BR123" i="5"/>
  <c r="BH124" i="5"/>
  <c r="BI124" i="5"/>
  <c r="BR124" i="5"/>
  <c r="BH125" i="5"/>
  <c r="BH126" i="5"/>
  <c r="BH127" i="5"/>
  <c r="BD127" i="5"/>
  <c r="BH128" i="5"/>
  <c r="BI128" i="5"/>
  <c r="BR128" i="5"/>
  <c r="BH129" i="5"/>
  <c r="BH130" i="5"/>
  <c r="BD130" i="5"/>
  <c r="BH131" i="5"/>
  <c r="BD131" i="5"/>
  <c r="BH132" i="5"/>
  <c r="BD132" i="5"/>
  <c r="BH133" i="5"/>
  <c r="BH134" i="5"/>
  <c r="BH135" i="5"/>
  <c r="BH136" i="5"/>
  <c r="BD136" i="5"/>
  <c r="BH137" i="5"/>
  <c r="BH138" i="5"/>
  <c r="BH139" i="5"/>
  <c r="BD139" i="5"/>
  <c r="BH140" i="5"/>
  <c r="BH141" i="5"/>
  <c r="BH142" i="5"/>
  <c r="BH143" i="5"/>
  <c r="BI143" i="5"/>
  <c r="BR143" i="5"/>
  <c r="BH144" i="5"/>
  <c r="BD144" i="5"/>
  <c r="BH145" i="5"/>
  <c r="BI145" i="5"/>
  <c r="BR145" i="5"/>
  <c r="BH146" i="5"/>
  <c r="BH147" i="5"/>
  <c r="BD147" i="5"/>
  <c r="BH148" i="5"/>
  <c r="BH149" i="5"/>
  <c r="BD149" i="5"/>
  <c r="BH151" i="5"/>
  <c r="BH152" i="5"/>
  <c r="BD152" i="5"/>
  <c r="BH153" i="5"/>
  <c r="BD153" i="5"/>
  <c r="BH154" i="5"/>
  <c r="BH155" i="5"/>
  <c r="BH156" i="5"/>
  <c r="BD156" i="5"/>
  <c r="BH157" i="5"/>
  <c r="BD157" i="5"/>
  <c r="BH158" i="5"/>
  <c r="BH159" i="5"/>
  <c r="BD159" i="5"/>
  <c r="BH160" i="5"/>
  <c r="BD160" i="5"/>
  <c r="BI160" i="5"/>
  <c r="BH161" i="5"/>
  <c r="BD161" i="5"/>
  <c r="BH162" i="5"/>
  <c r="BD162" i="5"/>
  <c r="BH163" i="5"/>
  <c r="BD163" i="5"/>
  <c r="BH164" i="5"/>
  <c r="BD164" i="5"/>
  <c r="BH165" i="5"/>
  <c r="BH166" i="5"/>
  <c r="BH167" i="5"/>
  <c r="BH168" i="5"/>
  <c r="BI168" i="5"/>
  <c r="BH169" i="5"/>
  <c r="BD169" i="5"/>
  <c r="BH170" i="5"/>
  <c r="BD170" i="5"/>
  <c r="BH171" i="5"/>
  <c r="BD171" i="5"/>
  <c r="BH172" i="5"/>
  <c r="BI172" i="5"/>
  <c r="BR172" i="5"/>
  <c r="BH173" i="5"/>
  <c r="BD173" i="5"/>
  <c r="BH174" i="5"/>
  <c r="BI174" i="5"/>
  <c r="BR174" i="5"/>
  <c r="BH175" i="5"/>
  <c r="BI175" i="5"/>
  <c r="BR175" i="5"/>
  <c r="BH176" i="5"/>
  <c r="BI176" i="5"/>
  <c r="BH177" i="5"/>
  <c r="BD177" i="5"/>
  <c r="BH178" i="5"/>
  <c r="BI178" i="5"/>
  <c r="BR178" i="5"/>
  <c r="BH179" i="5"/>
  <c r="BH180" i="5"/>
  <c r="BH181" i="5"/>
  <c r="BI181" i="5"/>
  <c r="BR181" i="5"/>
  <c r="BH182" i="5"/>
  <c r="BH183" i="5"/>
  <c r="BH184" i="5"/>
  <c r="BD184" i="5"/>
  <c r="BH185" i="5"/>
  <c r="BI185" i="5"/>
  <c r="BR185" i="5"/>
  <c r="BH186" i="5"/>
  <c r="BD186" i="5"/>
  <c r="BH187" i="5"/>
  <c r="BD187" i="5"/>
  <c r="BH188" i="5"/>
  <c r="BH189" i="5"/>
  <c r="BH190" i="5"/>
  <c r="BD190" i="5"/>
  <c r="BH191" i="5"/>
  <c r="BI191" i="5"/>
  <c r="BR191" i="5"/>
  <c r="BH192" i="5"/>
  <c r="BD192" i="5"/>
  <c r="BI192" i="5"/>
  <c r="BH193" i="5"/>
  <c r="BD193" i="5"/>
  <c r="BH194" i="5"/>
  <c r="BH195" i="5"/>
  <c r="BD195" i="5"/>
  <c r="BH196" i="5"/>
  <c r="BD196" i="5"/>
  <c r="BH197" i="5"/>
  <c r="BI197" i="5"/>
  <c r="BR197" i="5"/>
  <c r="BH198" i="5"/>
  <c r="BH199" i="5"/>
  <c r="BI199" i="5"/>
  <c r="BH200" i="5"/>
  <c r="BD200" i="5"/>
  <c r="BI200" i="5"/>
  <c r="BH2" i="5"/>
  <c r="BV3" i="5"/>
  <c r="BV4" i="5"/>
  <c r="BV5" i="5"/>
  <c r="BV6" i="5"/>
  <c r="BV7" i="5"/>
  <c r="BV8" i="5"/>
  <c r="BV9" i="5"/>
  <c r="BV10" i="5"/>
  <c r="BV11" i="5"/>
  <c r="BV12" i="5"/>
  <c r="BV13" i="5"/>
  <c r="BV14" i="5"/>
  <c r="BV15" i="5"/>
  <c r="BV16" i="5"/>
  <c r="BV17" i="5"/>
  <c r="BV18" i="5"/>
  <c r="BV19" i="5"/>
  <c r="BV20" i="5"/>
  <c r="BV21" i="5"/>
  <c r="BV22" i="5"/>
  <c r="BV23" i="5"/>
  <c r="BV24" i="5"/>
  <c r="BV25" i="5"/>
  <c r="BV26" i="5"/>
  <c r="BV27" i="5"/>
  <c r="BV28" i="5"/>
  <c r="BV29" i="5"/>
  <c r="BV30" i="5"/>
  <c r="BV31" i="5"/>
  <c r="BV32" i="5"/>
  <c r="BV33" i="5"/>
  <c r="BV34" i="5"/>
  <c r="BV35" i="5"/>
  <c r="BV36" i="5"/>
  <c r="BV37" i="5"/>
  <c r="BV38" i="5"/>
  <c r="BV39" i="5"/>
  <c r="BV40" i="5"/>
  <c r="BV41" i="5"/>
  <c r="BV42" i="5"/>
  <c r="BV43" i="5"/>
  <c r="BV44" i="5"/>
  <c r="BV45" i="5"/>
  <c r="BV46" i="5"/>
  <c r="BV47" i="5"/>
  <c r="BV48" i="5"/>
  <c r="BV49" i="5"/>
  <c r="BV50" i="5"/>
  <c r="BV51" i="5"/>
  <c r="BV52" i="5"/>
  <c r="BV53" i="5"/>
  <c r="BV54" i="5"/>
  <c r="BV55" i="5"/>
  <c r="BV56" i="5"/>
  <c r="BV57" i="5"/>
  <c r="BV58" i="5"/>
  <c r="BV59" i="5"/>
  <c r="BV60" i="5"/>
  <c r="BV61" i="5"/>
  <c r="BV62" i="5"/>
  <c r="BV63" i="5"/>
  <c r="BV64" i="5"/>
  <c r="BV65" i="5"/>
  <c r="BV66" i="5"/>
  <c r="BV67" i="5"/>
  <c r="BV68" i="5"/>
  <c r="BV69" i="5"/>
  <c r="BV70" i="5"/>
  <c r="BV71" i="5"/>
  <c r="BV72" i="5"/>
  <c r="BV73" i="5"/>
  <c r="BV74" i="5"/>
  <c r="BV75" i="5"/>
  <c r="BV76" i="5"/>
  <c r="BV77" i="5"/>
  <c r="BV78" i="5"/>
  <c r="BV79" i="5"/>
  <c r="BV80" i="5"/>
  <c r="BV81" i="5"/>
  <c r="BV82" i="5"/>
  <c r="BV83" i="5"/>
  <c r="BV84" i="5"/>
  <c r="BV85" i="5"/>
  <c r="BV86" i="5"/>
  <c r="BV87" i="5"/>
  <c r="BV88" i="5"/>
  <c r="BV89" i="5"/>
  <c r="BV90" i="5"/>
  <c r="BV91" i="5"/>
  <c r="BV92" i="5"/>
  <c r="BV93" i="5"/>
  <c r="BV94" i="5"/>
  <c r="BV95" i="5"/>
  <c r="BV96" i="5"/>
  <c r="BV97" i="5"/>
  <c r="BV98" i="5"/>
  <c r="BV99" i="5"/>
  <c r="BV100" i="5"/>
  <c r="BV101" i="5"/>
  <c r="BV102" i="5"/>
  <c r="BV103" i="5"/>
  <c r="BV104" i="5"/>
  <c r="BV105" i="5"/>
  <c r="BV106" i="5"/>
  <c r="BV107" i="5"/>
  <c r="BV108" i="5"/>
  <c r="BV109" i="5"/>
  <c r="BV110" i="5"/>
  <c r="BV111" i="5"/>
  <c r="BV112" i="5"/>
  <c r="BV113" i="5"/>
  <c r="BV114" i="5"/>
  <c r="BV115" i="5"/>
  <c r="BV116" i="5"/>
  <c r="BV117" i="5"/>
  <c r="BV118" i="5"/>
  <c r="BV119" i="5"/>
  <c r="BV120" i="5"/>
  <c r="BV121" i="5"/>
  <c r="BV122" i="5"/>
  <c r="BV123" i="5"/>
  <c r="BV124" i="5"/>
  <c r="BV125" i="5"/>
  <c r="BV126" i="5"/>
  <c r="BV127" i="5"/>
  <c r="BV128" i="5"/>
  <c r="BV129" i="5"/>
  <c r="BV130" i="5"/>
  <c r="BV131" i="5"/>
  <c r="BV132" i="5"/>
  <c r="BV133" i="5"/>
  <c r="BV134" i="5"/>
  <c r="BV135" i="5"/>
  <c r="BV136" i="5"/>
  <c r="BV137" i="5"/>
  <c r="BV138" i="5"/>
  <c r="BV139" i="5"/>
  <c r="BV140" i="5"/>
  <c r="BV141" i="5"/>
  <c r="BV142" i="5"/>
  <c r="BV143" i="5"/>
  <c r="BV144" i="5"/>
  <c r="BV145" i="5"/>
  <c r="BV146" i="5"/>
  <c r="BV147" i="5"/>
  <c r="BV148" i="5"/>
  <c r="BV149" i="5"/>
  <c r="BV150" i="5"/>
  <c r="BV151" i="5"/>
  <c r="BV152" i="5"/>
  <c r="BV153" i="5"/>
  <c r="BV154" i="5"/>
  <c r="BV155" i="5"/>
  <c r="BV156" i="5"/>
  <c r="BV157" i="5"/>
  <c r="BV158" i="5"/>
  <c r="BV159" i="5"/>
  <c r="BV160" i="5"/>
  <c r="BV161" i="5"/>
  <c r="BV162" i="5"/>
  <c r="BV163" i="5"/>
  <c r="BV164" i="5"/>
  <c r="BV165" i="5"/>
  <c r="BV166" i="5"/>
  <c r="BV167" i="5"/>
  <c r="BV168" i="5"/>
  <c r="BV169" i="5"/>
  <c r="BV170" i="5"/>
  <c r="BV171" i="5"/>
  <c r="BV172" i="5"/>
  <c r="BV173" i="5"/>
  <c r="BV174" i="5"/>
  <c r="BV175" i="5"/>
  <c r="BV176" i="5"/>
  <c r="BV177" i="5"/>
  <c r="BV178" i="5"/>
  <c r="BV179" i="5"/>
  <c r="BV180" i="5"/>
  <c r="BV181" i="5"/>
  <c r="BV182" i="5"/>
  <c r="BV183" i="5"/>
  <c r="BV184" i="5"/>
  <c r="BV185" i="5"/>
  <c r="BV186" i="5"/>
  <c r="BV187" i="5"/>
  <c r="BV188" i="5"/>
  <c r="BV189" i="5"/>
  <c r="BV190" i="5"/>
  <c r="BV191" i="5"/>
  <c r="BV192" i="5"/>
  <c r="BV2" i="5"/>
  <c r="BV193" i="5"/>
  <c r="BV194" i="5"/>
  <c r="BV195" i="5"/>
  <c r="BV196" i="5"/>
  <c r="BV197" i="5"/>
  <c r="BV198" i="5"/>
  <c r="BV199" i="5"/>
  <c r="BV200" i="5"/>
  <c r="BU3" i="5"/>
  <c r="BU4" i="5"/>
  <c r="BU5" i="5"/>
  <c r="BU6" i="5"/>
  <c r="BU7" i="5"/>
  <c r="BU8" i="5"/>
  <c r="BU9" i="5"/>
  <c r="BU10" i="5"/>
  <c r="BU11" i="5"/>
  <c r="BU12" i="5"/>
  <c r="BU13" i="5"/>
  <c r="BU14" i="5"/>
  <c r="BU15" i="5"/>
  <c r="BU16" i="5"/>
  <c r="BU17" i="5"/>
  <c r="BU18" i="5"/>
  <c r="BU19" i="5"/>
  <c r="BU20" i="5"/>
  <c r="BU21" i="5"/>
  <c r="BU22" i="5"/>
  <c r="BU23" i="5"/>
  <c r="BU24" i="5"/>
  <c r="BU25" i="5"/>
  <c r="BU26" i="5"/>
  <c r="BU27" i="5"/>
  <c r="BU28" i="5"/>
  <c r="BU29" i="5"/>
  <c r="BU30" i="5"/>
  <c r="BU31" i="5"/>
  <c r="BU32" i="5"/>
  <c r="BU33" i="5"/>
  <c r="BU34" i="5"/>
  <c r="BU35" i="5"/>
  <c r="BU36" i="5"/>
  <c r="BU37" i="5"/>
  <c r="BU38" i="5"/>
  <c r="BU39" i="5"/>
  <c r="BU40" i="5"/>
  <c r="BU41" i="5"/>
  <c r="BU42" i="5"/>
  <c r="BU43" i="5"/>
  <c r="BU44" i="5"/>
  <c r="BU45" i="5"/>
  <c r="BU46" i="5"/>
  <c r="BU47" i="5"/>
  <c r="BU48" i="5"/>
  <c r="BU49" i="5"/>
  <c r="BU50" i="5"/>
  <c r="BU51" i="5"/>
  <c r="BU52" i="5"/>
  <c r="BU53" i="5"/>
  <c r="BU54" i="5"/>
  <c r="BU55" i="5"/>
  <c r="BU56" i="5"/>
  <c r="BU57" i="5"/>
  <c r="BU58" i="5"/>
  <c r="BU59" i="5"/>
  <c r="BU60" i="5"/>
  <c r="BU61" i="5"/>
  <c r="BU62" i="5"/>
  <c r="BU63" i="5"/>
  <c r="BU64" i="5"/>
  <c r="BU65" i="5"/>
  <c r="BU66" i="5"/>
  <c r="BU67" i="5"/>
  <c r="BU68" i="5"/>
  <c r="BU69" i="5"/>
  <c r="BU70" i="5"/>
  <c r="BU71" i="5"/>
  <c r="BU72" i="5"/>
  <c r="BU73" i="5"/>
  <c r="BU74" i="5"/>
  <c r="BU75" i="5"/>
  <c r="BU76" i="5"/>
  <c r="BU77" i="5"/>
  <c r="BU78" i="5"/>
  <c r="BU79" i="5"/>
  <c r="BU80" i="5"/>
  <c r="BU81" i="5"/>
  <c r="BU82" i="5"/>
  <c r="BU83" i="5"/>
  <c r="BU84" i="5"/>
  <c r="BU85" i="5"/>
  <c r="BU86" i="5"/>
  <c r="BU87" i="5"/>
  <c r="BU88" i="5"/>
  <c r="BU89" i="5"/>
  <c r="BU90" i="5"/>
  <c r="BU91" i="5"/>
  <c r="BU92" i="5"/>
  <c r="BU93" i="5"/>
  <c r="BU94" i="5"/>
  <c r="BU95" i="5"/>
  <c r="BU96" i="5"/>
  <c r="BU97" i="5"/>
  <c r="BU98" i="5"/>
  <c r="BU99" i="5"/>
  <c r="BU100" i="5"/>
  <c r="BU101" i="5"/>
  <c r="BU102" i="5"/>
  <c r="BU103" i="5"/>
  <c r="BU104" i="5"/>
  <c r="BU105" i="5"/>
  <c r="BU106" i="5"/>
  <c r="BU107" i="5"/>
  <c r="BU108" i="5"/>
  <c r="BU109" i="5"/>
  <c r="BU110" i="5"/>
  <c r="BU111" i="5"/>
  <c r="BU112" i="5"/>
  <c r="BU113" i="5"/>
  <c r="BU114" i="5"/>
  <c r="BU115" i="5"/>
  <c r="BU116" i="5"/>
  <c r="BU117" i="5"/>
  <c r="BU118" i="5"/>
  <c r="BU119" i="5"/>
  <c r="BU120" i="5"/>
  <c r="BU121" i="5"/>
  <c r="BU122" i="5"/>
  <c r="BU123" i="5"/>
  <c r="BU124" i="5"/>
  <c r="BU125" i="5"/>
  <c r="BU126" i="5"/>
  <c r="BU127" i="5"/>
  <c r="BU128" i="5"/>
  <c r="BU129" i="5"/>
  <c r="BU130" i="5"/>
  <c r="BU131" i="5"/>
  <c r="BU132" i="5"/>
  <c r="BU133" i="5"/>
  <c r="BU134" i="5"/>
  <c r="BU135" i="5"/>
  <c r="BU136" i="5"/>
  <c r="BU137" i="5"/>
  <c r="BU138" i="5"/>
  <c r="BU139" i="5"/>
  <c r="BU140" i="5"/>
  <c r="BU141" i="5"/>
  <c r="BU142" i="5"/>
  <c r="BU143" i="5"/>
  <c r="BU144" i="5"/>
  <c r="BU145" i="5"/>
  <c r="BU146" i="5"/>
  <c r="BU147" i="5"/>
  <c r="BU148" i="5"/>
  <c r="BU149" i="5"/>
  <c r="BU150" i="5"/>
  <c r="BU151" i="5"/>
  <c r="BU152" i="5"/>
  <c r="BU153" i="5"/>
  <c r="BU154" i="5"/>
  <c r="BU155" i="5"/>
  <c r="BU156" i="5"/>
  <c r="BU157" i="5"/>
  <c r="BU158" i="5"/>
  <c r="BU159" i="5"/>
  <c r="BU160" i="5"/>
  <c r="BU161" i="5"/>
  <c r="BU162" i="5"/>
  <c r="BU163" i="5"/>
  <c r="BU164" i="5"/>
  <c r="BU165" i="5"/>
  <c r="BU166" i="5"/>
  <c r="BU167" i="5"/>
  <c r="BU168" i="5"/>
  <c r="BU169" i="5"/>
  <c r="BU170" i="5"/>
  <c r="BU171" i="5"/>
  <c r="BU172" i="5"/>
  <c r="BU173" i="5"/>
  <c r="BU174" i="5"/>
  <c r="BU175" i="5"/>
  <c r="BU176" i="5"/>
  <c r="BU177" i="5"/>
  <c r="BU178" i="5"/>
  <c r="BU179" i="5"/>
  <c r="BU180" i="5"/>
  <c r="BU181" i="5"/>
  <c r="BU182" i="5"/>
  <c r="BU183" i="5"/>
  <c r="BU184" i="5"/>
  <c r="BU185" i="5"/>
  <c r="BU186" i="5"/>
  <c r="BU187" i="5"/>
  <c r="BU188" i="5"/>
  <c r="BU189" i="5"/>
  <c r="BU190" i="5"/>
  <c r="BU191" i="5"/>
  <c r="BU192" i="5"/>
  <c r="BU193" i="5"/>
  <c r="BU194" i="5"/>
  <c r="BU195" i="5"/>
  <c r="BU196" i="5"/>
  <c r="BU197" i="5"/>
  <c r="BU198" i="5"/>
  <c r="BU199" i="5"/>
  <c r="BU200" i="5"/>
  <c r="BU2" i="5"/>
  <c r="BT200" i="5"/>
  <c r="BS200" i="5"/>
  <c r="BQ200" i="5"/>
  <c r="BN200" i="5"/>
  <c r="BK200" i="5"/>
  <c r="BJ200" i="5"/>
  <c r="BE200" i="5"/>
  <c r="AM200" i="5"/>
  <c r="AK200" i="5"/>
  <c r="BS199" i="5"/>
  <c r="BQ199" i="5"/>
  <c r="BN199" i="5"/>
  <c r="BK199" i="5"/>
  <c r="BJ199" i="5"/>
  <c r="BE199" i="5"/>
  <c r="AM199" i="5"/>
  <c r="AK199" i="5"/>
  <c r="BT198" i="5"/>
  <c r="BS198" i="5"/>
  <c r="BI198" i="5"/>
  <c r="BQ198" i="5"/>
  <c r="BN198" i="5"/>
  <c r="BK198" i="5"/>
  <c r="BJ198" i="5"/>
  <c r="BE198" i="5"/>
  <c r="AM198" i="5"/>
  <c r="AK198" i="5"/>
  <c r="BT197" i="5"/>
  <c r="BS197" i="5"/>
  <c r="BQ197" i="5"/>
  <c r="BN197" i="5"/>
  <c r="BK197" i="5"/>
  <c r="BJ197" i="5"/>
  <c r="BE197" i="5"/>
  <c r="AM197" i="5"/>
  <c r="AK197" i="5"/>
  <c r="BT196" i="5"/>
  <c r="BS196" i="5"/>
  <c r="BI196" i="5"/>
  <c r="BQ196" i="5"/>
  <c r="BN196" i="5"/>
  <c r="BK196" i="5"/>
  <c r="BJ196" i="5"/>
  <c r="BE196" i="5"/>
  <c r="AM196" i="5"/>
  <c r="AK196" i="5"/>
  <c r="BT195" i="5"/>
  <c r="BS195" i="5"/>
  <c r="BI195" i="5"/>
  <c r="BQ195" i="5"/>
  <c r="BN195" i="5"/>
  <c r="BK195" i="5"/>
  <c r="BJ195" i="5"/>
  <c r="BE195" i="5"/>
  <c r="AM195" i="5"/>
  <c r="AK195" i="5"/>
  <c r="BT194" i="5"/>
  <c r="BS194" i="5"/>
  <c r="BI194" i="5"/>
  <c r="BQ194" i="5"/>
  <c r="BN194" i="5"/>
  <c r="BK194" i="5"/>
  <c r="BJ194" i="5"/>
  <c r="BE194" i="5"/>
  <c r="AM194" i="5"/>
  <c r="AK194" i="5"/>
  <c r="BT193" i="5"/>
  <c r="BS193" i="5"/>
  <c r="BI193" i="5"/>
  <c r="BQ193" i="5"/>
  <c r="BN193" i="5"/>
  <c r="BK193" i="5"/>
  <c r="BJ193" i="5"/>
  <c r="BE193" i="5"/>
  <c r="AM193" i="5"/>
  <c r="AK193" i="5"/>
  <c r="BT192" i="5"/>
  <c r="BS192" i="5"/>
  <c r="BQ192" i="5"/>
  <c r="BN192" i="5"/>
  <c r="BK192" i="5"/>
  <c r="BJ192" i="5"/>
  <c r="BE192" i="5"/>
  <c r="AM192" i="5"/>
  <c r="AK192" i="5"/>
  <c r="BT191" i="5"/>
  <c r="BS191" i="5"/>
  <c r="BQ191" i="5"/>
  <c r="BN191" i="5"/>
  <c r="BK191" i="5"/>
  <c r="BJ191" i="5"/>
  <c r="BE191" i="5"/>
  <c r="AM191" i="5"/>
  <c r="AK191" i="5"/>
  <c r="BT190" i="5"/>
  <c r="BS190" i="5"/>
  <c r="BI190" i="5"/>
  <c r="BQ190" i="5"/>
  <c r="BN190" i="5"/>
  <c r="BK190" i="5"/>
  <c r="BJ190" i="5"/>
  <c r="BE190" i="5"/>
  <c r="AM190" i="5"/>
  <c r="AK190" i="5"/>
  <c r="BS189" i="5"/>
  <c r="BI189" i="5"/>
  <c r="BQ189" i="5"/>
  <c r="BN189" i="5"/>
  <c r="BK189" i="5"/>
  <c r="BJ189" i="5"/>
  <c r="BE189" i="5"/>
  <c r="AM189" i="5"/>
  <c r="AK189" i="5"/>
  <c r="BS188" i="5"/>
  <c r="BI188" i="5"/>
  <c r="BQ188" i="5"/>
  <c r="BN188" i="5"/>
  <c r="BK188" i="5"/>
  <c r="BJ188" i="5"/>
  <c r="BE188" i="5"/>
  <c r="AM188" i="5"/>
  <c r="AK188" i="5"/>
  <c r="BS187" i="5"/>
  <c r="BI187" i="5"/>
  <c r="BQ187" i="5"/>
  <c r="BN187" i="5"/>
  <c r="BK187" i="5"/>
  <c r="BJ187" i="5"/>
  <c r="BE187" i="5"/>
  <c r="AM187" i="5"/>
  <c r="AK187" i="5"/>
  <c r="BS186" i="5"/>
  <c r="BI186" i="5"/>
  <c r="BQ186" i="5"/>
  <c r="BN186" i="5"/>
  <c r="BK186" i="5"/>
  <c r="BJ186" i="5"/>
  <c r="BE186" i="5"/>
  <c r="AM186" i="5"/>
  <c r="AK186" i="5"/>
  <c r="BS185" i="5"/>
  <c r="BQ185" i="5"/>
  <c r="BN185" i="5"/>
  <c r="BK185" i="5"/>
  <c r="BJ185" i="5"/>
  <c r="BE185" i="5"/>
  <c r="AM185" i="5"/>
  <c r="AK185" i="5"/>
  <c r="BS184" i="5"/>
  <c r="BI184" i="5"/>
  <c r="BQ184" i="5"/>
  <c r="BN184" i="5"/>
  <c r="BK184" i="5"/>
  <c r="BJ184" i="5"/>
  <c r="BE184" i="5"/>
  <c r="AM184" i="5"/>
  <c r="AK184" i="5"/>
  <c r="BS183" i="5"/>
  <c r="BI183" i="5"/>
  <c r="BQ183" i="5"/>
  <c r="BN183" i="5"/>
  <c r="BK183" i="5"/>
  <c r="BJ183" i="5"/>
  <c r="BE183" i="5"/>
  <c r="AM183" i="5"/>
  <c r="AK183" i="5"/>
  <c r="BS182" i="5"/>
  <c r="BI182" i="5"/>
  <c r="BQ182" i="5"/>
  <c r="BN182" i="5"/>
  <c r="BK182" i="5"/>
  <c r="BJ182" i="5"/>
  <c r="BE182" i="5"/>
  <c r="AM182" i="5"/>
  <c r="AK182" i="5"/>
  <c r="BS181" i="5"/>
  <c r="BQ181" i="5"/>
  <c r="BN181" i="5"/>
  <c r="BK181" i="5"/>
  <c r="BJ181" i="5"/>
  <c r="BE181" i="5"/>
  <c r="AM181" i="5"/>
  <c r="AK181" i="5"/>
  <c r="D104" i="133"/>
  <c r="D105" i="133"/>
  <c r="D106" i="133"/>
  <c r="D107" i="133"/>
  <c r="D108" i="133"/>
  <c r="D109" i="133"/>
  <c r="D134" i="141"/>
  <c r="D129" i="141"/>
  <c r="D130" i="141"/>
  <c r="D131" i="141"/>
  <c r="D132" i="141"/>
  <c r="D133" i="141"/>
  <c r="E171" i="141"/>
  <c r="D170" i="141"/>
  <c r="E170" i="141"/>
  <c r="D156" i="141"/>
  <c r="E156" i="141"/>
  <c r="D155" i="141"/>
  <c r="E155" i="141"/>
  <c r="D146" i="141"/>
  <c r="E146" i="141"/>
  <c r="D145" i="141"/>
  <c r="E145" i="141"/>
  <c r="BQ168" i="5"/>
  <c r="BN168" i="5"/>
  <c r="B19" i="152"/>
  <c r="B22" i="152"/>
  <c r="B21" i="152"/>
  <c r="B20" i="152"/>
  <c r="B18" i="152"/>
  <c r="B20" i="151"/>
  <c r="B21" i="151"/>
  <c r="B19" i="151"/>
  <c r="B18" i="151"/>
  <c r="E23" i="60"/>
  <c r="B25" i="54"/>
  <c r="BT170" i="5"/>
  <c r="BS170" i="5"/>
  <c r="BI170" i="5"/>
  <c r="BQ170" i="5"/>
  <c r="BN170" i="5"/>
  <c r="BK170" i="5"/>
  <c r="BJ170" i="5"/>
  <c r="BE170" i="5"/>
  <c r="AM170" i="5"/>
  <c r="AK170" i="5"/>
  <c r="BT169" i="5"/>
  <c r="BS169" i="5"/>
  <c r="BI169" i="5"/>
  <c r="BQ169" i="5"/>
  <c r="BN169" i="5"/>
  <c r="BK169" i="5"/>
  <c r="BJ169" i="5"/>
  <c r="BE169" i="5"/>
  <c r="AM169" i="5"/>
  <c r="AK169" i="5"/>
  <c r="BT168" i="5"/>
  <c r="BS168" i="5"/>
  <c r="BK168" i="5"/>
  <c r="BJ168" i="5"/>
  <c r="BE168" i="5"/>
  <c r="AM168" i="5"/>
  <c r="AK168" i="5"/>
  <c r="BT167" i="5"/>
  <c r="BS167" i="5"/>
  <c r="BI167" i="5"/>
  <c r="BQ167" i="5"/>
  <c r="BN167" i="5"/>
  <c r="BK167" i="5"/>
  <c r="BJ167" i="5"/>
  <c r="BE167" i="5"/>
  <c r="AM167" i="5"/>
  <c r="AK167" i="5"/>
  <c r="BT166" i="5"/>
  <c r="BS166" i="5"/>
  <c r="BI166" i="5"/>
  <c r="BQ166" i="5"/>
  <c r="BN166" i="5"/>
  <c r="BK166" i="5"/>
  <c r="BJ166" i="5"/>
  <c r="BE166" i="5"/>
  <c r="AM166" i="5"/>
  <c r="AK166" i="5"/>
  <c r="BT165" i="5"/>
  <c r="BS165" i="5"/>
  <c r="BI165" i="5"/>
  <c r="BR165" i="5"/>
  <c r="BQ165" i="5"/>
  <c r="BN165" i="5"/>
  <c r="BK165" i="5"/>
  <c r="BJ165" i="5"/>
  <c r="BE165" i="5"/>
  <c r="BD165" i="5"/>
  <c r="AM165" i="5"/>
  <c r="AK165" i="5"/>
  <c r="BT162" i="5"/>
  <c r="BS162" i="5"/>
  <c r="BI162" i="5"/>
  <c r="BR162" i="5"/>
  <c r="BQ162" i="5"/>
  <c r="BN162" i="5"/>
  <c r="BK162" i="5"/>
  <c r="BJ162" i="5"/>
  <c r="BE162" i="5"/>
  <c r="AM162" i="5"/>
  <c r="AK162" i="5"/>
  <c r="BS161" i="5"/>
  <c r="BI161" i="5"/>
  <c r="BQ161" i="5"/>
  <c r="BN161" i="5"/>
  <c r="BK161" i="5"/>
  <c r="BJ161" i="5"/>
  <c r="BE161" i="5"/>
  <c r="AM161" i="5"/>
  <c r="AK161" i="5"/>
  <c r="BT160" i="5"/>
  <c r="BS160" i="5"/>
  <c r="BQ160" i="5"/>
  <c r="BN160" i="5"/>
  <c r="BK160" i="5"/>
  <c r="BJ160" i="5"/>
  <c r="BE160" i="5"/>
  <c r="AM160" i="5"/>
  <c r="AK160" i="5"/>
  <c r="BT159" i="5"/>
  <c r="BS159" i="5"/>
  <c r="BI159" i="5"/>
  <c r="BQ159" i="5"/>
  <c r="BN159" i="5"/>
  <c r="BK159" i="5"/>
  <c r="BJ159" i="5"/>
  <c r="BE159" i="5"/>
  <c r="AM159" i="5"/>
  <c r="AK159" i="5"/>
  <c r="BT164" i="5"/>
  <c r="BS164" i="5"/>
  <c r="BI164" i="5"/>
  <c r="BQ164" i="5"/>
  <c r="BN164" i="5"/>
  <c r="BK164" i="5"/>
  <c r="BJ164" i="5"/>
  <c r="BE164" i="5"/>
  <c r="AM164" i="5"/>
  <c r="AK164" i="5"/>
  <c r="BT163" i="5"/>
  <c r="BS163" i="5"/>
  <c r="BI163" i="5"/>
  <c r="BQ163" i="5"/>
  <c r="BN163" i="5"/>
  <c r="BK163" i="5"/>
  <c r="BJ163" i="5"/>
  <c r="BE163" i="5"/>
  <c r="AM163" i="5"/>
  <c r="AK163" i="5"/>
  <c r="D121" i="133"/>
  <c r="E121" i="133"/>
  <c r="D120" i="133"/>
  <c r="E120" i="133"/>
  <c r="D139" i="141"/>
  <c r="D140" i="141"/>
  <c r="D124" i="141"/>
  <c r="AK145" i="5"/>
  <c r="D104" i="141"/>
  <c r="D100" i="141"/>
  <c r="D101" i="141"/>
  <c r="D102" i="141"/>
  <c r="D103" i="141"/>
  <c r="D105" i="141"/>
  <c r="D116" i="141"/>
  <c r="E116" i="141"/>
  <c r="BE143" i="5"/>
  <c r="BJ143" i="5"/>
  <c r="BK143" i="5"/>
  <c r="BN143" i="5"/>
  <c r="BQ143" i="5"/>
  <c r="BS143" i="5"/>
  <c r="BT143" i="5"/>
  <c r="BE144" i="5"/>
  <c r="BI144" i="5"/>
  <c r="BR144" i="5"/>
  <c r="BJ144" i="5"/>
  <c r="BK144" i="5"/>
  <c r="BN144" i="5"/>
  <c r="BQ144" i="5"/>
  <c r="BS144" i="5"/>
  <c r="BT144" i="5"/>
  <c r="BD145" i="5"/>
  <c r="BE145" i="5"/>
  <c r="BJ145" i="5"/>
  <c r="BK145" i="5"/>
  <c r="BN145" i="5"/>
  <c r="BQ145" i="5"/>
  <c r="BS145" i="5"/>
  <c r="BT145" i="5"/>
  <c r="BC146" i="5"/>
  <c r="BD146" i="5"/>
  <c r="BE146" i="5"/>
  <c r="BI146" i="5"/>
  <c r="BJ146" i="5"/>
  <c r="BK146" i="5"/>
  <c r="BN146" i="5"/>
  <c r="BQ146" i="5"/>
  <c r="BR146" i="5"/>
  <c r="BS146" i="5"/>
  <c r="BT146" i="5"/>
  <c r="AM141" i="5"/>
  <c r="AM142" i="5"/>
  <c r="AM143" i="5"/>
  <c r="AM144" i="5"/>
  <c r="AM145" i="5"/>
  <c r="AM146" i="5"/>
  <c r="AM147" i="5"/>
  <c r="AM148" i="5"/>
  <c r="AK140" i="5"/>
  <c r="AK141" i="5"/>
  <c r="AK142" i="5"/>
  <c r="AK143" i="5"/>
  <c r="AK144" i="5"/>
  <c r="AK146" i="5"/>
  <c r="AK147" i="5"/>
  <c r="BT132" i="5"/>
  <c r="BS132" i="5"/>
  <c r="BI132" i="5"/>
  <c r="BR132" i="5"/>
  <c r="BQ132" i="5"/>
  <c r="BN132" i="5"/>
  <c r="BK132" i="5"/>
  <c r="BJ132" i="5"/>
  <c r="BE132" i="5"/>
  <c r="AM132" i="5"/>
  <c r="AK132" i="5"/>
  <c r="BS180" i="5"/>
  <c r="BI180" i="5"/>
  <c r="BQ180" i="5"/>
  <c r="BN180" i="5"/>
  <c r="BK180" i="5"/>
  <c r="BJ180" i="5"/>
  <c r="BE180" i="5"/>
  <c r="AM180" i="5"/>
  <c r="AK180" i="5"/>
  <c r="BS179" i="5"/>
  <c r="BI179" i="5"/>
  <c r="BQ179" i="5"/>
  <c r="BN179" i="5"/>
  <c r="BK179" i="5"/>
  <c r="BJ179" i="5"/>
  <c r="BE179" i="5"/>
  <c r="BD179" i="5"/>
  <c r="AM179" i="5"/>
  <c r="AK179" i="5"/>
  <c r="BS178" i="5"/>
  <c r="BQ178" i="5"/>
  <c r="BN178" i="5"/>
  <c r="BK178" i="5"/>
  <c r="BJ178" i="5"/>
  <c r="BE178" i="5"/>
  <c r="AM178" i="5"/>
  <c r="AK178" i="5"/>
  <c r="BT177" i="5"/>
  <c r="BS177" i="5"/>
  <c r="BI177" i="5"/>
  <c r="BQ177" i="5"/>
  <c r="BN177" i="5"/>
  <c r="BK177" i="5"/>
  <c r="BJ177" i="5"/>
  <c r="BE177" i="5"/>
  <c r="AM177" i="5"/>
  <c r="AK177" i="5"/>
  <c r="BT176" i="5"/>
  <c r="BS176" i="5"/>
  <c r="BQ176" i="5"/>
  <c r="BN176" i="5"/>
  <c r="BK176" i="5"/>
  <c r="BJ176" i="5"/>
  <c r="BE176" i="5"/>
  <c r="BD176" i="5"/>
  <c r="AM176" i="5"/>
  <c r="AK176" i="5"/>
  <c r="BT175" i="5"/>
  <c r="BS175" i="5"/>
  <c r="BQ175" i="5"/>
  <c r="BN175" i="5"/>
  <c r="BK175" i="5"/>
  <c r="BJ175" i="5"/>
  <c r="BE175" i="5"/>
  <c r="AM175" i="5"/>
  <c r="AK175" i="5"/>
  <c r="BT174" i="5"/>
  <c r="BS174" i="5"/>
  <c r="BQ174" i="5"/>
  <c r="BN174" i="5"/>
  <c r="BK174" i="5"/>
  <c r="BJ174" i="5"/>
  <c r="BE174" i="5"/>
  <c r="AM174" i="5"/>
  <c r="AK174" i="5"/>
  <c r="BT173" i="5"/>
  <c r="BS173" i="5"/>
  <c r="BI173" i="5"/>
  <c r="BQ173" i="5"/>
  <c r="BN173" i="5"/>
  <c r="BK173" i="5"/>
  <c r="BJ173" i="5"/>
  <c r="BE173" i="5"/>
  <c r="BC173" i="5"/>
  <c r="AM173" i="5"/>
  <c r="AK173" i="5"/>
  <c r="BT172" i="5"/>
  <c r="BS172" i="5"/>
  <c r="BQ172" i="5"/>
  <c r="BN172" i="5"/>
  <c r="BK172" i="5"/>
  <c r="BJ172" i="5"/>
  <c r="BE172" i="5"/>
  <c r="BD172" i="5"/>
  <c r="AM172" i="5"/>
  <c r="AK172" i="5"/>
  <c r="BD121" i="5"/>
  <c r="BD122" i="5"/>
  <c r="BD124" i="5"/>
  <c r="BD125" i="5"/>
  <c r="BD126" i="5"/>
  <c r="AM126" i="5"/>
  <c r="AK126" i="5"/>
  <c r="BT171" i="5"/>
  <c r="BS171" i="5"/>
  <c r="BI171" i="5"/>
  <c r="BR171" i="5"/>
  <c r="BQ171" i="5"/>
  <c r="BN171" i="5"/>
  <c r="BK171" i="5"/>
  <c r="BJ171" i="5"/>
  <c r="BE171" i="5"/>
  <c r="AM171" i="5"/>
  <c r="AK171" i="5"/>
  <c r="BT158" i="5"/>
  <c r="BS158" i="5"/>
  <c r="BI158" i="5"/>
  <c r="BR158" i="5"/>
  <c r="BQ158" i="5"/>
  <c r="BN158" i="5"/>
  <c r="BK158" i="5"/>
  <c r="BJ158" i="5"/>
  <c r="BE158" i="5"/>
  <c r="BD158" i="5"/>
  <c r="BC158" i="5"/>
  <c r="AM158" i="5"/>
  <c r="BT157" i="5"/>
  <c r="BS157" i="5"/>
  <c r="BI157" i="5"/>
  <c r="BQ157" i="5"/>
  <c r="BN157" i="5"/>
  <c r="BK157" i="5"/>
  <c r="BJ157" i="5"/>
  <c r="BE157" i="5"/>
  <c r="AM157" i="5"/>
  <c r="AK157" i="5"/>
  <c r="BT156" i="5"/>
  <c r="BS156" i="5"/>
  <c r="BI156" i="5"/>
  <c r="BQ156" i="5"/>
  <c r="BN156" i="5"/>
  <c r="BK156" i="5"/>
  <c r="BJ156" i="5"/>
  <c r="BE156" i="5"/>
  <c r="AM156" i="5"/>
  <c r="AK156" i="5"/>
  <c r="BT155" i="5"/>
  <c r="BS155" i="5"/>
  <c r="BI155" i="5"/>
  <c r="BR155" i="5"/>
  <c r="BQ155" i="5"/>
  <c r="BN155" i="5"/>
  <c r="BK155" i="5"/>
  <c r="BJ155" i="5"/>
  <c r="BE155" i="5"/>
  <c r="BD155" i="5"/>
  <c r="AM155" i="5"/>
  <c r="AK155" i="5"/>
  <c r="BT154" i="5"/>
  <c r="BS154" i="5"/>
  <c r="BI154" i="5"/>
  <c r="BR154" i="5"/>
  <c r="BQ154" i="5"/>
  <c r="BN154" i="5"/>
  <c r="BK154" i="5"/>
  <c r="BJ154" i="5"/>
  <c r="BE154" i="5"/>
  <c r="BD154" i="5"/>
  <c r="AM154" i="5"/>
  <c r="AK154" i="5"/>
  <c r="BT153" i="5"/>
  <c r="BS153" i="5"/>
  <c r="BI153" i="5"/>
  <c r="BQ153" i="5"/>
  <c r="BN153" i="5"/>
  <c r="BK153" i="5"/>
  <c r="BJ153" i="5"/>
  <c r="BE153" i="5"/>
  <c r="BC153" i="5"/>
  <c r="AM153" i="5"/>
  <c r="AK153" i="5"/>
  <c r="BT152" i="5"/>
  <c r="BS152" i="5"/>
  <c r="BI152" i="5"/>
  <c r="BQ152" i="5"/>
  <c r="BN152" i="5"/>
  <c r="BK152" i="5"/>
  <c r="BJ152" i="5"/>
  <c r="BE152" i="5"/>
  <c r="AM152" i="5"/>
  <c r="AK152" i="5"/>
  <c r="BT151" i="5"/>
  <c r="BS151" i="5"/>
  <c r="BI151" i="5"/>
  <c r="BQ151" i="5"/>
  <c r="BN151" i="5"/>
  <c r="BK151" i="5"/>
  <c r="BJ151" i="5"/>
  <c r="BE151" i="5"/>
  <c r="BD151" i="5"/>
  <c r="AM151" i="5"/>
  <c r="BT150" i="5"/>
  <c r="BS150" i="5"/>
  <c r="BI150" i="5"/>
  <c r="BQ150" i="5"/>
  <c r="BN150" i="5"/>
  <c r="BK150" i="5"/>
  <c r="BJ150" i="5"/>
  <c r="BE150" i="5"/>
  <c r="AM150" i="5"/>
  <c r="AK150" i="5"/>
  <c r="BT149" i="5"/>
  <c r="BS149" i="5"/>
  <c r="BI149" i="5"/>
  <c r="BQ149" i="5"/>
  <c r="BN149" i="5"/>
  <c r="BK149" i="5"/>
  <c r="BJ149" i="5"/>
  <c r="BE149" i="5"/>
  <c r="BC149" i="5"/>
  <c r="AM149" i="5"/>
  <c r="AK149" i="5"/>
  <c r="D91" i="133"/>
  <c r="E91" i="133"/>
  <c r="D90" i="133"/>
  <c r="E90" i="133"/>
  <c r="D110" i="141"/>
  <c r="D111" i="141"/>
  <c r="D96" i="141"/>
  <c r="E96" i="141"/>
  <c r="D97" i="141"/>
  <c r="D95" i="141"/>
  <c r="BT72" i="5"/>
  <c r="BE104" i="5"/>
  <c r="BJ104" i="5"/>
  <c r="BK104" i="5"/>
  <c r="BN104" i="5"/>
  <c r="BQ104" i="5"/>
  <c r="BS104" i="5"/>
  <c r="BT104" i="5"/>
  <c r="D71" i="141"/>
  <c r="D72" i="141"/>
  <c r="D73" i="141"/>
  <c r="D74" i="141"/>
  <c r="D75" i="141"/>
  <c r="D76" i="141"/>
  <c r="AM110" i="5"/>
  <c r="AM104" i="5"/>
  <c r="BT109" i="5"/>
  <c r="BS109" i="5"/>
  <c r="BQ109" i="5"/>
  <c r="BN109" i="5"/>
  <c r="BK109" i="5"/>
  <c r="BJ109" i="5"/>
  <c r="BI109" i="5"/>
  <c r="BR109" i="5"/>
  <c r="BE109" i="5"/>
  <c r="AM109" i="5"/>
  <c r="AK109" i="5"/>
  <c r="BD109" i="5"/>
  <c r="AK104" i="5"/>
  <c r="D66" i="141"/>
  <c r="D87" i="141"/>
  <c r="E87" i="141"/>
  <c r="D60" i="133"/>
  <c r="E60" i="133"/>
  <c r="D72" i="133"/>
  <c r="D58" i="141"/>
  <c r="E58" i="141"/>
  <c r="D30" i="133"/>
  <c r="E30" i="133"/>
  <c r="BT140" i="5"/>
  <c r="BS140" i="5"/>
  <c r="BQ140" i="5"/>
  <c r="BN140" i="5"/>
  <c r="BK140" i="5"/>
  <c r="BJ140" i="5"/>
  <c r="BI140" i="5"/>
  <c r="BE140" i="5"/>
  <c r="AM140" i="5"/>
  <c r="BT139" i="5"/>
  <c r="BS139" i="5"/>
  <c r="BQ139" i="5"/>
  <c r="BN139" i="5"/>
  <c r="BK139" i="5"/>
  <c r="BJ139" i="5"/>
  <c r="BI139" i="5"/>
  <c r="BE139" i="5"/>
  <c r="AM139" i="5"/>
  <c r="AK139" i="5"/>
  <c r="BT138" i="5"/>
  <c r="BS138" i="5"/>
  <c r="BQ138" i="5"/>
  <c r="BN138" i="5"/>
  <c r="BK138" i="5"/>
  <c r="BJ138" i="5"/>
  <c r="BI138" i="5"/>
  <c r="BD138" i="5"/>
  <c r="BC138" i="5"/>
  <c r="BE138" i="5"/>
  <c r="AM138" i="5"/>
  <c r="AK138" i="5"/>
  <c r="BT137" i="5"/>
  <c r="BS137" i="5"/>
  <c r="BQ137" i="5"/>
  <c r="BN137" i="5"/>
  <c r="BK137" i="5"/>
  <c r="BJ137" i="5"/>
  <c r="BI137" i="5"/>
  <c r="BC137" i="5"/>
  <c r="BE137" i="5"/>
  <c r="BD137" i="5"/>
  <c r="AM137" i="5"/>
  <c r="AK137" i="5"/>
  <c r="BT136" i="5"/>
  <c r="BS136" i="5"/>
  <c r="BQ136" i="5"/>
  <c r="BN136" i="5"/>
  <c r="BK136" i="5"/>
  <c r="BJ136" i="5"/>
  <c r="BI136" i="5"/>
  <c r="BC136" i="5"/>
  <c r="BE136" i="5"/>
  <c r="AM136" i="5"/>
  <c r="AK136" i="5"/>
  <c r="BT135" i="5"/>
  <c r="BS135" i="5"/>
  <c r="BQ135" i="5"/>
  <c r="BN135" i="5"/>
  <c r="BK135" i="5"/>
  <c r="BJ135" i="5"/>
  <c r="BI135" i="5"/>
  <c r="BE135" i="5"/>
  <c r="AM135" i="5"/>
  <c r="AK135" i="5"/>
  <c r="BT134" i="5"/>
  <c r="BS134" i="5"/>
  <c r="BQ134" i="5"/>
  <c r="BN134" i="5"/>
  <c r="BK134" i="5"/>
  <c r="BJ134" i="5"/>
  <c r="BI134" i="5"/>
  <c r="BE134" i="5"/>
  <c r="BC134" i="5"/>
  <c r="AM134" i="5"/>
  <c r="AK134" i="5"/>
  <c r="BT133" i="5"/>
  <c r="BS133" i="5"/>
  <c r="BQ133" i="5"/>
  <c r="BN133" i="5"/>
  <c r="BK133" i="5"/>
  <c r="BJ133" i="5"/>
  <c r="BI133" i="5"/>
  <c r="BR133" i="5"/>
  <c r="BC133" i="5"/>
  <c r="BE133" i="5"/>
  <c r="AM133" i="5"/>
  <c r="AK133" i="5"/>
  <c r="BT131" i="5"/>
  <c r="BS131" i="5"/>
  <c r="BQ131" i="5"/>
  <c r="BN131" i="5"/>
  <c r="BK131" i="5"/>
  <c r="BJ131" i="5"/>
  <c r="BI131" i="5"/>
  <c r="BE131" i="5"/>
  <c r="AM131" i="5"/>
  <c r="AK131" i="5"/>
  <c r="BT130" i="5"/>
  <c r="BS130" i="5"/>
  <c r="BQ130" i="5"/>
  <c r="BN130" i="5"/>
  <c r="BK130" i="5"/>
  <c r="BJ130" i="5"/>
  <c r="BI130" i="5"/>
  <c r="BC130" i="5"/>
  <c r="BE130" i="5"/>
  <c r="AM130" i="5"/>
  <c r="AK130" i="5"/>
  <c r="BT129" i="5"/>
  <c r="BS129" i="5"/>
  <c r="BQ129" i="5"/>
  <c r="BN129" i="5"/>
  <c r="BK129" i="5"/>
  <c r="BJ129" i="5"/>
  <c r="BI129" i="5"/>
  <c r="BD129" i="5"/>
  <c r="BE129" i="5"/>
  <c r="BC129" i="5"/>
  <c r="AM129" i="5"/>
  <c r="AK129" i="5"/>
  <c r="BT101" i="5"/>
  <c r="BS101" i="5"/>
  <c r="BQ101" i="5"/>
  <c r="BN101" i="5"/>
  <c r="BK101" i="5"/>
  <c r="BJ101" i="5"/>
  <c r="BI101" i="5"/>
  <c r="BC101" i="5"/>
  <c r="BE101" i="5"/>
  <c r="AM101" i="5"/>
  <c r="AK101" i="5"/>
  <c r="BT100" i="5"/>
  <c r="BS100" i="5"/>
  <c r="BQ100" i="5"/>
  <c r="BN100" i="5"/>
  <c r="BK100" i="5"/>
  <c r="BJ100" i="5"/>
  <c r="BI100" i="5"/>
  <c r="BE100" i="5"/>
  <c r="BC100" i="5"/>
  <c r="AM100" i="5"/>
  <c r="AK100" i="5"/>
  <c r="BT99" i="5"/>
  <c r="BS99" i="5"/>
  <c r="BQ99" i="5"/>
  <c r="BN99" i="5"/>
  <c r="BK99" i="5"/>
  <c r="BJ99" i="5"/>
  <c r="BI99" i="5"/>
  <c r="BE99" i="5"/>
  <c r="AM99" i="5"/>
  <c r="AK99" i="5"/>
  <c r="BT98" i="5"/>
  <c r="BS98" i="5"/>
  <c r="BQ98" i="5"/>
  <c r="BN98" i="5"/>
  <c r="BK98" i="5"/>
  <c r="BJ98" i="5"/>
  <c r="BI98" i="5"/>
  <c r="BE98" i="5"/>
  <c r="AM98" i="5"/>
  <c r="AK98" i="5"/>
  <c r="BT97" i="5"/>
  <c r="BS97" i="5"/>
  <c r="BQ97" i="5"/>
  <c r="BN97" i="5"/>
  <c r="BK97" i="5"/>
  <c r="BJ97" i="5"/>
  <c r="BI97" i="5"/>
  <c r="BD97" i="5"/>
  <c r="BC97" i="5"/>
  <c r="BE97" i="5"/>
  <c r="AM97" i="5"/>
  <c r="AK97" i="5"/>
  <c r="BT96" i="5"/>
  <c r="BS96" i="5"/>
  <c r="BQ96" i="5"/>
  <c r="BN96" i="5"/>
  <c r="BK96" i="5"/>
  <c r="BJ96" i="5"/>
  <c r="BI96" i="5"/>
  <c r="BE96" i="5"/>
  <c r="AM96" i="5"/>
  <c r="AK96" i="5"/>
  <c r="BT95" i="5"/>
  <c r="BS95" i="5"/>
  <c r="BQ95" i="5"/>
  <c r="BN95" i="5"/>
  <c r="BK95" i="5"/>
  <c r="BJ95" i="5"/>
  <c r="BI95" i="5"/>
  <c r="BE95" i="5"/>
  <c r="AM95" i="5"/>
  <c r="AK95" i="5"/>
  <c r="BT94" i="5"/>
  <c r="BS94" i="5"/>
  <c r="BQ94" i="5"/>
  <c r="BN94" i="5"/>
  <c r="BK94" i="5"/>
  <c r="BJ94" i="5"/>
  <c r="BI94" i="5"/>
  <c r="BE94" i="5"/>
  <c r="AM94" i="5"/>
  <c r="AK94" i="5"/>
  <c r="AK93" i="5"/>
  <c r="AM93" i="5"/>
  <c r="AK102" i="5"/>
  <c r="AM102" i="5"/>
  <c r="AK103" i="5"/>
  <c r="AM103" i="5"/>
  <c r="AK105" i="5"/>
  <c r="AM105" i="5"/>
  <c r="AK106" i="5"/>
  <c r="AM106" i="5"/>
  <c r="AK107" i="5"/>
  <c r="AM107" i="5"/>
  <c r="AK108" i="5"/>
  <c r="AM108" i="5"/>
  <c r="AK110" i="5"/>
  <c r="AK111" i="5"/>
  <c r="AM111" i="5"/>
  <c r="AK112" i="5"/>
  <c r="AM112" i="5"/>
  <c r="BE93" i="5"/>
  <c r="BI93" i="5"/>
  <c r="BJ93" i="5"/>
  <c r="BK93" i="5"/>
  <c r="BN93" i="5"/>
  <c r="BQ93" i="5"/>
  <c r="BS93" i="5"/>
  <c r="BT93" i="5"/>
  <c r="BE102" i="5"/>
  <c r="BI102" i="5"/>
  <c r="BR102" i="5"/>
  <c r="BJ102" i="5"/>
  <c r="BK102" i="5"/>
  <c r="BN102" i="5"/>
  <c r="BQ102" i="5"/>
  <c r="BS102" i="5"/>
  <c r="BT102" i="5"/>
  <c r="BE103" i="5"/>
  <c r="BI103" i="5"/>
  <c r="BJ103" i="5"/>
  <c r="BK103" i="5"/>
  <c r="BN103" i="5"/>
  <c r="BQ103" i="5"/>
  <c r="BS103" i="5"/>
  <c r="BT103" i="5"/>
  <c r="BE105" i="5"/>
  <c r="BI105" i="5"/>
  <c r="BJ105" i="5"/>
  <c r="BK105" i="5"/>
  <c r="BN105" i="5"/>
  <c r="BQ105" i="5"/>
  <c r="BS105" i="5"/>
  <c r="BT105" i="5"/>
  <c r="BE106" i="5"/>
  <c r="BI106" i="5"/>
  <c r="BJ106" i="5"/>
  <c r="BK106" i="5"/>
  <c r="BN106" i="5"/>
  <c r="BQ106" i="5"/>
  <c r="BS106" i="5"/>
  <c r="BT106" i="5"/>
  <c r="BE107" i="5"/>
  <c r="BJ107" i="5"/>
  <c r="BK107" i="5"/>
  <c r="BN107" i="5"/>
  <c r="BQ107" i="5"/>
  <c r="BS107" i="5"/>
  <c r="BT107" i="5"/>
  <c r="BE108" i="5"/>
  <c r="BC108" i="5"/>
  <c r="BI108" i="5"/>
  <c r="BJ108" i="5"/>
  <c r="BK108" i="5"/>
  <c r="BN108" i="5"/>
  <c r="BQ108" i="5"/>
  <c r="BS108" i="5"/>
  <c r="BT108" i="5"/>
  <c r="BE110" i="5"/>
  <c r="BC110" i="5"/>
  <c r="BI110" i="5"/>
  <c r="BJ110" i="5"/>
  <c r="BK110" i="5"/>
  <c r="BN110" i="5"/>
  <c r="BQ110" i="5"/>
  <c r="BS110" i="5"/>
  <c r="BT110" i="5"/>
  <c r="BE111" i="5"/>
  <c r="BI111" i="5"/>
  <c r="BJ111" i="5"/>
  <c r="BK111" i="5"/>
  <c r="BN111" i="5"/>
  <c r="BQ111" i="5"/>
  <c r="BS111" i="5"/>
  <c r="BT111" i="5"/>
  <c r="BE112" i="5"/>
  <c r="BI112" i="5"/>
  <c r="BJ112" i="5"/>
  <c r="BK112" i="5"/>
  <c r="BN112" i="5"/>
  <c r="BQ112" i="5"/>
  <c r="BS112" i="5"/>
  <c r="BT112" i="5"/>
  <c r="BT84" i="5"/>
  <c r="BS84" i="5"/>
  <c r="BI84" i="5"/>
  <c r="BQ84" i="5"/>
  <c r="BN84" i="5"/>
  <c r="BK84" i="5"/>
  <c r="BJ84" i="5"/>
  <c r="BE84" i="5"/>
  <c r="AM84" i="5"/>
  <c r="AK84" i="5"/>
  <c r="BT83" i="5"/>
  <c r="BS83" i="5"/>
  <c r="BQ83" i="5"/>
  <c r="BN83" i="5"/>
  <c r="BK83" i="5"/>
  <c r="BJ83" i="5"/>
  <c r="BE83" i="5"/>
  <c r="AM83" i="5"/>
  <c r="AK83" i="5"/>
  <c r="BT85" i="5"/>
  <c r="BS85" i="5"/>
  <c r="BD85" i="5"/>
  <c r="BI85" i="5"/>
  <c r="BQ85" i="5"/>
  <c r="BN85" i="5"/>
  <c r="BK85" i="5"/>
  <c r="BJ85" i="5"/>
  <c r="BC85" i="5"/>
  <c r="BE85" i="5"/>
  <c r="AM85" i="5"/>
  <c r="AK85" i="5"/>
  <c r="BT82" i="5"/>
  <c r="BS82" i="5"/>
  <c r="BI82" i="5"/>
  <c r="BQ82" i="5"/>
  <c r="BN82" i="5"/>
  <c r="BK82" i="5"/>
  <c r="BJ82" i="5"/>
  <c r="BE82" i="5"/>
  <c r="AM82" i="5"/>
  <c r="AK82" i="5"/>
  <c r="BT86" i="5"/>
  <c r="BS86" i="5"/>
  <c r="BI86" i="5"/>
  <c r="BQ86" i="5"/>
  <c r="BN86" i="5"/>
  <c r="BK86" i="5"/>
  <c r="BJ86" i="5"/>
  <c r="BE86" i="5"/>
  <c r="AM86" i="5"/>
  <c r="AK86" i="5"/>
  <c r="BT78" i="5"/>
  <c r="BS78" i="5"/>
  <c r="BD78" i="5"/>
  <c r="BI78" i="5"/>
  <c r="BQ78" i="5"/>
  <c r="BN78" i="5"/>
  <c r="BK78" i="5"/>
  <c r="BJ78" i="5"/>
  <c r="BE78" i="5"/>
  <c r="AM78" i="5"/>
  <c r="AK78" i="5"/>
  <c r="BT19" i="5"/>
  <c r="BT20" i="5"/>
  <c r="BT21" i="5"/>
  <c r="BT22" i="5"/>
  <c r="BT23" i="5"/>
  <c r="BT24" i="5"/>
  <c r="BT25" i="5"/>
  <c r="BT26" i="5"/>
  <c r="BT27" i="5"/>
  <c r="BT28" i="5"/>
  <c r="BT29" i="5"/>
  <c r="BT30" i="5"/>
  <c r="BT35" i="5"/>
  <c r="BT36" i="5"/>
  <c r="BT37" i="5"/>
  <c r="BT38" i="5"/>
  <c r="BT39" i="5"/>
  <c r="BT40" i="5"/>
  <c r="BT41" i="5"/>
  <c r="BT42" i="5"/>
  <c r="BT43" i="5"/>
  <c r="BT44" i="5"/>
  <c r="BT45" i="5"/>
  <c r="BT46" i="5"/>
  <c r="BT47" i="5"/>
  <c r="BT48" i="5"/>
  <c r="BT49" i="5"/>
  <c r="BT50" i="5"/>
  <c r="BT51" i="5"/>
  <c r="BT52" i="5"/>
  <c r="BT53" i="5"/>
  <c r="BT54" i="5"/>
  <c r="BT55" i="5"/>
  <c r="BT56" i="5"/>
  <c r="BT57" i="5"/>
  <c r="BT58" i="5"/>
  <c r="BN81" i="5"/>
  <c r="BQ81" i="5"/>
  <c r="AK29" i="5"/>
  <c r="AK30" i="5"/>
  <c r="AK31" i="5"/>
  <c r="AK32" i="5"/>
  <c r="AK33" i="5"/>
  <c r="AK34" i="5"/>
  <c r="AK35" i="5"/>
  <c r="AK36" i="5"/>
  <c r="AK37" i="5"/>
  <c r="AK38" i="5"/>
  <c r="AK39" i="5"/>
  <c r="AK40" i="5"/>
  <c r="AK41" i="5"/>
  <c r="AK42" i="5"/>
  <c r="AK43" i="5"/>
  <c r="AK44" i="5"/>
  <c r="AK45" i="5"/>
  <c r="AK46" i="5"/>
  <c r="AK47" i="5"/>
  <c r="AK48" i="5"/>
  <c r="AK49" i="5"/>
  <c r="AK50" i="5"/>
  <c r="AK51" i="5"/>
  <c r="AK52" i="5"/>
  <c r="AK53" i="5"/>
  <c r="AK54" i="5"/>
  <c r="AK55" i="5"/>
  <c r="AK56" i="5"/>
  <c r="AK57" i="5"/>
  <c r="BN45" i="5"/>
  <c r="BN46" i="5"/>
  <c r="BN49" i="5"/>
  <c r="BN50" i="5"/>
  <c r="BN51" i="5"/>
  <c r="BN52" i="5"/>
  <c r="D40" i="141"/>
  <c r="BE72" i="5"/>
  <c r="BI72" i="5"/>
  <c r="BJ72" i="5"/>
  <c r="BK72" i="5"/>
  <c r="BN72" i="5"/>
  <c r="BQ72" i="5"/>
  <c r="BS72" i="5"/>
  <c r="AK72" i="5"/>
  <c r="AM72" i="5"/>
  <c r="BT124" i="5"/>
  <c r="BS124" i="5"/>
  <c r="BQ124" i="5"/>
  <c r="BN124" i="5"/>
  <c r="BK124" i="5"/>
  <c r="BJ124" i="5"/>
  <c r="BC124" i="5"/>
  <c r="BE124" i="5"/>
  <c r="AM124" i="5"/>
  <c r="AK124" i="5"/>
  <c r="BT123" i="5"/>
  <c r="BS123" i="5"/>
  <c r="BQ123" i="5"/>
  <c r="BN123" i="5"/>
  <c r="BK123" i="5"/>
  <c r="BJ123" i="5"/>
  <c r="BE123" i="5"/>
  <c r="AM123" i="5"/>
  <c r="AK123" i="5"/>
  <c r="BT122" i="5"/>
  <c r="BS122" i="5"/>
  <c r="BI122" i="5"/>
  <c r="BQ122" i="5"/>
  <c r="BN122" i="5"/>
  <c r="BK122" i="5"/>
  <c r="BJ122" i="5"/>
  <c r="BE122" i="5"/>
  <c r="AM122" i="5"/>
  <c r="AK122" i="5"/>
  <c r="BT121" i="5"/>
  <c r="BS121" i="5"/>
  <c r="BQ121" i="5"/>
  <c r="BN121" i="5"/>
  <c r="BK121" i="5"/>
  <c r="BJ121" i="5"/>
  <c r="BE121" i="5"/>
  <c r="AM121" i="5"/>
  <c r="AK121" i="5"/>
  <c r="BT120" i="5"/>
  <c r="BS120" i="5"/>
  <c r="BQ120" i="5"/>
  <c r="BN120" i="5"/>
  <c r="BK120" i="5"/>
  <c r="BJ120" i="5"/>
  <c r="BE120" i="5"/>
  <c r="AM120" i="5"/>
  <c r="AK120" i="5"/>
  <c r="BT119" i="5"/>
  <c r="BS119" i="5"/>
  <c r="BQ119" i="5"/>
  <c r="BN119" i="5"/>
  <c r="BK119" i="5"/>
  <c r="BJ119" i="5"/>
  <c r="BE119" i="5"/>
  <c r="AM119" i="5"/>
  <c r="AK119" i="5"/>
  <c r="BT118" i="5"/>
  <c r="BS118" i="5"/>
  <c r="BI118" i="5"/>
  <c r="BR118" i="5"/>
  <c r="BQ118" i="5"/>
  <c r="BN118" i="5"/>
  <c r="BK118" i="5"/>
  <c r="BJ118" i="5"/>
  <c r="BC118" i="5"/>
  <c r="BE118" i="5"/>
  <c r="BD118" i="5"/>
  <c r="AM118" i="5"/>
  <c r="AK118" i="5"/>
  <c r="D125" i="141"/>
  <c r="BT117" i="5"/>
  <c r="BS117" i="5"/>
  <c r="BI117" i="5"/>
  <c r="BQ117" i="5"/>
  <c r="BN117" i="5"/>
  <c r="BK117" i="5"/>
  <c r="BJ117" i="5"/>
  <c r="BC117" i="5"/>
  <c r="BE117" i="5"/>
  <c r="AM117" i="5"/>
  <c r="AK117" i="5"/>
  <c r="BT128" i="5"/>
  <c r="BS128" i="5"/>
  <c r="BQ128" i="5"/>
  <c r="BN128" i="5"/>
  <c r="BK128" i="5"/>
  <c r="BJ128" i="5"/>
  <c r="BE128" i="5"/>
  <c r="AM128" i="5"/>
  <c r="AK128" i="5"/>
  <c r="BT127" i="5"/>
  <c r="BS127" i="5"/>
  <c r="BI127" i="5"/>
  <c r="BQ127" i="5"/>
  <c r="BN127" i="5"/>
  <c r="BK127" i="5"/>
  <c r="BJ127" i="5"/>
  <c r="BE127" i="5"/>
  <c r="AM127" i="5"/>
  <c r="AK127" i="5"/>
  <c r="BT126" i="5"/>
  <c r="BS126" i="5"/>
  <c r="BI126" i="5"/>
  <c r="BQ126" i="5"/>
  <c r="BN126" i="5"/>
  <c r="BK126" i="5"/>
  <c r="BJ126" i="5"/>
  <c r="BC126" i="5"/>
  <c r="BE126" i="5"/>
  <c r="BT125" i="5"/>
  <c r="BS125" i="5"/>
  <c r="BI125" i="5"/>
  <c r="BQ125" i="5"/>
  <c r="BN125" i="5"/>
  <c r="BK125" i="5"/>
  <c r="BJ125" i="5"/>
  <c r="BC125" i="5"/>
  <c r="BE125" i="5"/>
  <c r="AM125" i="5"/>
  <c r="AK125" i="5"/>
  <c r="BT113" i="5"/>
  <c r="BS113" i="5"/>
  <c r="BI113" i="5"/>
  <c r="BR113" i="5"/>
  <c r="BQ113" i="5"/>
  <c r="BN113" i="5"/>
  <c r="BK113" i="5"/>
  <c r="BJ113" i="5"/>
  <c r="BC113" i="5"/>
  <c r="BE113" i="5"/>
  <c r="AM113" i="5"/>
  <c r="AK113" i="5"/>
  <c r="BT92" i="5"/>
  <c r="BS92" i="5"/>
  <c r="BI92" i="5"/>
  <c r="BQ92" i="5"/>
  <c r="BN92" i="5"/>
  <c r="BK92" i="5"/>
  <c r="BJ92" i="5"/>
  <c r="BE92" i="5"/>
  <c r="BC92" i="5"/>
  <c r="AM92" i="5"/>
  <c r="AK92" i="5"/>
  <c r="BT91" i="5"/>
  <c r="BS91" i="5"/>
  <c r="BI91" i="5"/>
  <c r="BQ91" i="5"/>
  <c r="BN91" i="5"/>
  <c r="BK91" i="5"/>
  <c r="BJ91" i="5"/>
  <c r="BE91" i="5"/>
  <c r="AM91" i="5"/>
  <c r="AK91" i="5"/>
  <c r="BT90" i="5"/>
  <c r="BS90" i="5"/>
  <c r="BI90" i="5"/>
  <c r="BQ90" i="5"/>
  <c r="BN90" i="5"/>
  <c r="BK90" i="5"/>
  <c r="BJ90" i="5"/>
  <c r="BE90" i="5"/>
  <c r="AM90" i="5"/>
  <c r="AK90" i="5"/>
  <c r="BT89" i="5"/>
  <c r="BS89" i="5"/>
  <c r="BI89" i="5"/>
  <c r="BR89" i="5"/>
  <c r="BQ89" i="5"/>
  <c r="BN89" i="5"/>
  <c r="BK89" i="5"/>
  <c r="BJ89" i="5"/>
  <c r="BC89" i="5"/>
  <c r="BE89" i="5"/>
  <c r="BD89" i="5"/>
  <c r="AM89" i="5"/>
  <c r="AK89" i="5"/>
  <c r="BT88" i="5"/>
  <c r="BS88" i="5"/>
  <c r="BI88" i="5"/>
  <c r="BQ88" i="5"/>
  <c r="BN88" i="5"/>
  <c r="BK88" i="5"/>
  <c r="BJ88" i="5"/>
  <c r="BC88" i="5"/>
  <c r="BE88" i="5"/>
  <c r="AM88" i="5"/>
  <c r="AK88" i="5"/>
  <c r="BT116" i="5"/>
  <c r="BS116" i="5"/>
  <c r="BI116" i="5"/>
  <c r="BQ116" i="5"/>
  <c r="BN116" i="5"/>
  <c r="BK116" i="5"/>
  <c r="BJ116" i="5"/>
  <c r="BE116" i="5"/>
  <c r="AM116" i="5"/>
  <c r="AK116" i="5"/>
  <c r="BT115" i="5"/>
  <c r="BS115" i="5"/>
  <c r="BI115" i="5"/>
  <c r="BQ115" i="5"/>
  <c r="BN115" i="5"/>
  <c r="BK115" i="5"/>
  <c r="BJ115" i="5"/>
  <c r="BE115" i="5"/>
  <c r="AM115" i="5"/>
  <c r="AK115" i="5"/>
  <c r="BT114" i="5"/>
  <c r="BS114" i="5"/>
  <c r="BI114" i="5"/>
  <c r="BQ114" i="5"/>
  <c r="BN114" i="5"/>
  <c r="BK114" i="5"/>
  <c r="BJ114" i="5"/>
  <c r="BC114" i="5"/>
  <c r="BE114" i="5"/>
  <c r="AM114" i="5"/>
  <c r="AK114" i="5"/>
  <c r="BT77" i="5"/>
  <c r="BS77" i="5"/>
  <c r="BD77" i="5"/>
  <c r="BQ77" i="5"/>
  <c r="BN77" i="5"/>
  <c r="BK77" i="5"/>
  <c r="BJ77" i="5"/>
  <c r="BE77" i="5"/>
  <c r="BC77" i="5"/>
  <c r="AM77" i="5"/>
  <c r="AK77" i="5"/>
  <c r="BT76" i="5"/>
  <c r="BS76" i="5"/>
  <c r="BI76" i="5"/>
  <c r="BQ76" i="5"/>
  <c r="BN76" i="5"/>
  <c r="BK76" i="5"/>
  <c r="BJ76" i="5"/>
  <c r="BE76" i="5"/>
  <c r="AM76" i="5"/>
  <c r="AK76" i="5"/>
  <c r="BT75" i="5"/>
  <c r="BS75" i="5"/>
  <c r="BQ75" i="5"/>
  <c r="BN75" i="5"/>
  <c r="BK75" i="5"/>
  <c r="BJ75" i="5"/>
  <c r="BE75" i="5"/>
  <c r="BD75" i="5"/>
  <c r="AM75" i="5"/>
  <c r="AK75" i="5"/>
  <c r="BT74" i="5"/>
  <c r="BS74" i="5"/>
  <c r="BI74" i="5"/>
  <c r="BQ74" i="5"/>
  <c r="BN74" i="5"/>
  <c r="BK74" i="5"/>
  <c r="BJ74" i="5"/>
  <c r="BE74" i="5"/>
  <c r="AM74" i="5"/>
  <c r="AK74" i="5"/>
  <c r="BT80" i="5"/>
  <c r="BS80" i="5"/>
  <c r="BI80" i="5"/>
  <c r="BQ80" i="5"/>
  <c r="BN80" i="5"/>
  <c r="BK80" i="5"/>
  <c r="BJ80" i="5"/>
  <c r="BE80" i="5"/>
  <c r="BC80" i="5"/>
  <c r="AM80" i="5"/>
  <c r="AK80" i="5"/>
  <c r="BT79" i="5"/>
  <c r="BS79" i="5"/>
  <c r="BQ79" i="5"/>
  <c r="BN79" i="5"/>
  <c r="BK79" i="5"/>
  <c r="BJ79" i="5"/>
  <c r="BE79" i="5"/>
  <c r="AM79" i="5"/>
  <c r="AK79" i="5"/>
  <c r="D29" i="141"/>
  <c r="E29" i="141"/>
  <c r="BC29" i="5"/>
  <c r="BC32" i="5"/>
  <c r="BN55" i="5"/>
  <c r="BE57" i="5"/>
  <c r="BC57" i="5"/>
  <c r="BI57" i="5"/>
  <c r="BJ57" i="5"/>
  <c r="BK57" i="5"/>
  <c r="BN57" i="5"/>
  <c r="BQ57" i="5"/>
  <c r="BS57" i="5"/>
  <c r="BE59" i="5"/>
  <c r="BD59" i="5"/>
  <c r="BI59" i="5"/>
  <c r="BJ59" i="5"/>
  <c r="BK59" i="5"/>
  <c r="BN59" i="5"/>
  <c r="BQ59" i="5"/>
  <c r="BR59" i="5"/>
  <c r="BS59" i="5"/>
  <c r="BT59" i="5"/>
  <c r="BE60" i="5"/>
  <c r="BC60" i="5"/>
  <c r="BI60" i="5"/>
  <c r="BJ60" i="5"/>
  <c r="BK60" i="5"/>
  <c r="BN60" i="5"/>
  <c r="BQ60" i="5"/>
  <c r="BS60" i="5"/>
  <c r="BT60" i="5"/>
  <c r="BE61" i="5"/>
  <c r="BC61" i="5"/>
  <c r="BI61" i="5"/>
  <c r="BJ61" i="5"/>
  <c r="BK61" i="5"/>
  <c r="BN61" i="5"/>
  <c r="BQ61" i="5"/>
  <c r="BS61" i="5"/>
  <c r="BT61" i="5"/>
  <c r="BE62" i="5"/>
  <c r="BI62" i="5"/>
  <c r="BR62" i="5"/>
  <c r="BJ62" i="5"/>
  <c r="BK62" i="5"/>
  <c r="BN62" i="5"/>
  <c r="BQ62" i="5"/>
  <c r="BS62" i="5"/>
  <c r="BT62" i="5"/>
  <c r="BE63" i="5"/>
  <c r="BC63" i="5"/>
  <c r="BD63" i="5"/>
  <c r="BI63" i="5"/>
  <c r="BJ63" i="5"/>
  <c r="BK63" i="5"/>
  <c r="BN63" i="5"/>
  <c r="BQ63" i="5"/>
  <c r="BS63" i="5"/>
  <c r="BT63" i="5"/>
  <c r="BE64" i="5"/>
  <c r="BC64" i="5"/>
  <c r="BI64" i="5"/>
  <c r="BJ64" i="5"/>
  <c r="BK64" i="5"/>
  <c r="BN64" i="5"/>
  <c r="BQ64" i="5"/>
  <c r="BS64" i="5"/>
  <c r="BT64" i="5"/>
  <c r="BE65" i="5"/>
  <c r="BC65" i="5"/>
  <c r="BD65" i="5"/>
  <c r="BI65" i="5"/>
  <c r="BJ65" i="5"/>
  <c r="BK65" i="5"/>
  <c r="BN65" i="5"/>
  <c r="BQ65" i="5"/>
  <c r="BS65" i="5"/>
  <c r="BT65" i="5"/>
  <c r="BE66" i="5"/>
  <c r="BI66" i="5"/>
  <c r="BR66" i="5"/>
  <c r="BJ66" i="5"/>
  <c r="BK66" i="5"/>
  <c r="BN66" i="5"/>
  <c r="BQ66" i="5"/>
  <c r="BS66" i="5"/>
  <c r="BT66" i="5"/>
  <c r="BE67" i="5"/>
  <c r="BI67" i="5"/>
  <c r="BR67" i="5"/>
  <c r="BJ67" i="5"/>
  <c r="BK67" i="5"/>
  <c r="BN67" i="5"/>
  <c r="BQ67" i="5"/>
  <c r="BS67" i="5"/>
  <c r="BT67" i="5"/>
  <c r="BE68" i="5"/>
  <c r="BI68" i="5"/>
  <c r="BJ68" i="5"/>
  <c r="BK68" i="5"/>
  <c r="BN68" i="5"/>
  <c r="BQ68" i="5"/>
  <c r="BS68" i="5"/>
  <c r="BT68" i="5"/>
  <c r="BC69" i="5"/>
  <c r="BE69" i="5"/>
  <c r="BI69" i="5"/>
  <c r="BJ69" i="5"/>
  <c r="BK69" i="5"/>
  <c r="BN69" i="5"/>
  <c r="BQ69" i="5"/>
  <c r="BS69" i="5"/>
  <c r="BT69" i="5"/>
  <c r="BE70" i="5"/>
  <c r="BI70" i="5"/>
  <c r="BJ70" i="5"/>
  <c r="BK70" i="5"/>
  <c r="BN70" i="5"/>
  <c r="BQ70" i="5"/>
  <c r="BS70" i="5"/>
  <c r="BT70" i="5"/>
  <c r="BE71" i="5"/>
  <c r="BC71" i="5"/>
  <c r="BD71" i="5"/>
  <c r="BI71" i="5"/>
  <c r="BJ71" i="5"/>
  <c r="BK71" i="5"/>
  <c r="BN71" i="5"/>
  <c r="BQ71" i="5"/>
  <c r="BR71" i="5"/>
  <c r="BS71" i="5"/>
  <c r="BT71" i="5"/>
  <c r="BE73" i="5"/>
  <c r="BC73" i="5"/>
  <c r="BI73" i="5"/>
  <c r="BR73" i="5"/>
  <c r="BD73" i="5"/>
  <c r="BJ73" i="5"/>
  <c r="BK73" i="5"/>
  <c r="BN73" i="5"/>
  <c r="BQ73" i="5"/>
  <c r="BS73" i="5"/>
  <c r="BT73" i="5"/>
  <c r="BE81" i="5"/>
  <c r="BC81" i="5"/>
  <c r="BD81" i="5"/>
  <c r="BI81" i="5"/>
  <c r="BJ81" i="5"/>
  <c r="BK81" i="5"/>
  <c r="BS81" i="5"/>
  <c r="BT81" i="5"/>
  <c r="BE87" i="5"/>
  <c r="BI87" i="5"/>
  <c r="BJ87" i="5"/>
  <c r="BK87" i="5"/>
  <c r="BN87" i="5"/>
  <c r="BQ87" i="5"/>
  <c r="BS87" i="5"/>
  <c r="BT87" i="5"/>
  <c r="BE141" i="5"/>
  <c r="BI141" i="5"/>
  <c r="BJ141" i="5"/>
  <c r="BK141" i="5"/>
  <c r="BN141" i="5"/>
  <c r="BQ141" i="5"/>
  <c r="BS141" i="5"/>
  <c r="BT141" i="5"/>
  <c r="BE142" i="5"/>
  <c r="BC142" i="5"/>
  <c r="BD142" i="5"/>
  <c r="BI142" i="5"/>
  <c r="BR142" i="5"/>
  <c r="BJ142" i="5"/>
  <c r="BK142" i="5"/>
  <c r="BN142" i="5"/>
  <c r="BQ142" i="5"/>
  <c r="BS142" i="5"/>
  <c r="BT142" i="5"/>
  <c r="BE147" i="5"/>
  <c r="BI147" i="5"/>
  <c r="BJ147" i="5"/>
  <c r="BK147" i="5"/>
  <c r="BN147" i="5"/>
  <c r="BQ147" i="5"/>
  <c r="BS147" i="5"/>
  <c r="BT147" i="5"/>
  <c r="BE148" i="5"/>
  <c r="BC148" i="5"/>
  <c r="BI148" i="5"/>
  <c r="BJ148" i="5"/>
  <c r="BK148" i="5"/>
  <c r="BN148" i="5"/>
  <c r="BQ148" i="5"/>
  <c r="BS148" i="5"/>
  <c r="BT148" i="5"/>
  <c r="AK58" i="5"/>
  <c r="AK59" i="5"/>
  <c r="AK60" i="5"/>
  <c r="AK61" i="5"/>
  <c r="AK62" i="5"/>
  <c r="AK63" i="5"/>
  <c r="AK64" i="5"/>
  <c r="AK65" i="5"/>
  <c r="AK66" i="5"/>
  <c r="AK67" i="5"/>
  <c r="AK68" i="5"/>
  <c r="AK69" i="5"/>
  <c r="AK70" i="5"/>
  <c r="AK71" i="5"/>
  <c r="AK73" i="5"/>
  <c r="AK81" i="5"/>
  <c r="AM47" i="5"/>
  <c r="AM48" i="5"/>
  <c r="AM49" i="5"/>
  <c r="AM50" i="5"/>
  <c r="AM51" i="5"/>
  <c r="AM52" i="5"/>
  <c r="AM53" i="5"/>
  <c r="AM54" i="5"/>
  <c r="AM55" i="5"/>
  <c r="AM56" i="5"/>
  <c r="AM57" i="5"/>
  <c r="AM58" i="5"/>
  <c r="AM59" i="5"/>
  <c r="AM60" i="5"/>
  <c r="AM61" i="5"/>
  <c r="AM62" i="5"/>
  <c r="AM63" i="5"/>
  <c r="AM64" i="5"/>
  <c r="AM65" i="5"/>
  <c r="AM66" i="5"/>
  <c r="AM67" i="5"/>
  <c r="AM68" i="5"/>
  <c r="AM69" i="5"/>
  <c r="AM70" i="5"/>
  <c r="AM71" i="5"/>
  <c r="AM73" i="5"/>
  <c r="AM81" i="5"/>
  <c r="BS54" i="5"/>
  <c r="BQ54" i="5"/>
  <c r="BN54" i="5"/>
  <c r="BK54" i="5"/>
  <c r="BJ54" i="5"/>
  <c r="BI54" i="5"/>
  <c r="BR54" i="5"/>
  <c r="BE54" i="5"/>
  <c r="BS55" i="5"/>
  <c r="BQ55" i="5"/>
  <c r="BK55" i="5"/>
  <c r="BJ55" i="5"/>
  <c r="BI55" i="5"/>
  <c r="BR55" i="5"/>
  <c r="BD55" i="5"/>
  <c r="BE55" i="5"/>
  <c r="BS41" i="5"/>
  <c r="BQ41" i="5"/>
  <c r="BN41" i="5"/>
  <c r="BK41" i="5"/>
  <c r="BJ41" i="5"/>
  <c r="BC41" i="5"/>
  <c r="BE41" i="5"/>
  <c r="AM41" i="5"/>
  <c r="AM14" i="5"/>
  <c r="BS32" i="5"/>
  <c r="BQ32" i="5"/>
  <c r="BN32" i="5"/>
  <c r="BK32" i="5"/>
  <c r="BJ32" i="5"/>
  <c r="BE32" i="5"/>
  <c r="AM32" i="5"/>
  <c r="BS42" i="5"/>
  <c r="BQ42" i="5"/>
  <c r="BN42" i="5"/>
  <c r="BK42" i="5"/>
  <c r="BJ42" i="5"/>
  <c r="BI42" i="5"/>
  <c r="BR42" i="5"/>
  <c r="BE42" i="5"/>
  <c r="AM42" i="5"/>
  <c r="BS40" i="5"/>
  <c r="BQ40" i="5"/>
  <c r="BN40" i="5"/>
  <c r="BK40" i="5"/>
  <c r="BJ40" i="5"/>
  <c r="BI40" i="5"/>
  <c r="BE40" i="5"/>
  <c r="AM40" i="5"/>
  <c r="BS39" i="5"/>
  <c r="BQ39" i="5"/>
  <c r="BN39" i="5"/>
  <c r="BK39" i="5"/>
  <c r="BJ39" i="5"/>
  <c r="BI39" i="5"/>
  <c r="BE39" i="5"/>
  <c r="AM39" i="5"/>
  <c r="BS38" i="5"/>
  <c r="BQ38" i="5"/>
  <c r="BN38" i="5"/>
  <c r="BK38" i="5"/>
  <c r="BJ38" i="5"/>
  <c r="BI38" i="5"/>
  <c r="BR38" i="5"/>
  <c r="BE38" i="5"/>
  <c r="AM38" i="5"/>
  <c r="BS37" i="5"/>
  <c r="BQ37" i="5"/>
  <c r="BN37" i="5"/>
  <c r="BK37" i="5"/>
  <c r="BJ37" i="5"/>
  <c r="BI37" i="5"/>
  <c r="BC37" i="5"/>
  <c r="BE37" i="5"/>
  <c r="AM37" i="5"/>
  <c r="BS36" i="5"/>
  <c r="BQ36" i="5"/>
  <c r="BN36" i="5"/>
  <c r="BK36" i="5"/>
  <c r="BJ36" i="5"/>
  <c r="BI36" i="5"/>
  <c r="BE36" i="5"/>
  <c r="AM36" i="5"/>
  <c r="BS35" i="5"/>
  <c r="BQ35" i="5"/>
  <c r="BN35" i="5"/>
  <c r="BK35" i="5"/>
  <c r="BJ35" i="5"/>
  <c r="BI35" i="5"/>
  <c r="BE35" i="5"/>
  <c r="AM35" i="5"/>
  <c r="BS34" i="5"/>
  <c r="BQ34" i="5"/>
  <c r="BN34" i="5"/>
  <c r="BK34" i="5"/>
  <c r="BJ34" i="5"/>
  <c r="BI34" i="5"/>
  <c r="BE34" i="5"/>
  <c r="AM34" i="5"/>
  <c r="BS33" i="5"/>
  <c r="BQ33" i="5"/>
  <c r="BN33" i="5"/>
  <c r="BK33" i="5"/>
  <c r="BJ33" i="5"/>
  <c r="BI33" i="5"/>
  <c r="BC33" i="5"/>
  <c r="BE33" i="5"/>
  <c r="AM33" i="5"/>
  <c r="BS31" i="5"/>
  <c r="BQ31" i="5"/>
  <c r="BN31" i="5"/>
  <c r="BK31" i="5"/>
  <c r="BJ31" i="5"/>
  <c r="BI31" i="5"/>
  <c r="BD31" i="5"/>
  <c r="BE31" i="5"/>
  <c r="AM31" i="5"/>
  <c r="BS30" i="5"/>
  <c r="BQ30" i="5"/>
  <c r="BN30" i="5"/>
  <c r="BK30" i="5"/>
  <c r="BJ30" i="5"/>
  <c r="BI30" i="5"/>
  <c r="BR30" i="5"/>
  <c r="BE30" i="5"/>
  <c r="AM30" i="5"/>
  <c r="BS29" i="5"/>
  <c r="BQ29" i="5"/>
  <c r="BN29" i="5"/>
  <c r="BK29" i="5"/>
  <c r="BJ29" i="5"/>
  <c r="BE29" i="5"/>
  <c r="AM29" i="5"/>
  <c r="BS48" i="5"/>
  <c r="BQ48" i="5"/>
  <c r="BN48" i="5"/>
  <c r="BK48" i="5"/>
  <c r="BJ48" i="5"/>
  <c r="BI48" i="5"/>
  <c r="BE48" i="5"/>
  <c r="BS47" i="5"/>
  <c r="BQ47" i="5"/>
  <c r="BN47" i="5"/>
  <c r="BK47" i="5"/>
  <c r="BJ47" i="5"/>
  <c r="BI47" i="5"/>
  <c r="BR47" i="5"/>
  <c r="BD47" i="5"/>
  <c r="BE47" i="5"/>
  <c r="BS46" i="5"/>
  <c r="BQ46" i="5"/>
  <c r="BK46" i="5"/>
  <c r="BJ46" i="5"/>
  <c r="BI46" i="5"/>
  <c r="BD46" i="5"/>
  <c r="BE46" i="5"/>
  <c r="AM46" i="5"/>
  <c r="BS45" i="5"/>
  <c r="BQ45" i="5"/>
  <c r="BK45" i="5"/>
  <c r="BJ45" i="5"/>
  <c r="BI45" i="5"/>
  <c r="BC45" i="5"/>
  <c r="BE45" i="5"/>
  <c r="AM45" i="5"/>
  <c r="BS44" i="5"/>
  <c r="BQ44" i="5"/>
  <c r="BN44" i="5"/>
  <c r="BK44" i="5"/>
  <c r="BJ44" i="5"/>
  <c r="BI44" i="5"/>
  <c r="BC44" i="5"/>
  <c r="BE44" i="5"/>
  <c r="AM44" i="5"/>
  <c r="BS43" i="5"/>
  <c r="BQ43" i="5"/>
  <c r="BN43" i="5"/>
  <c r="BK43" i="5"/>
  <c r="BJ43" i="5"/>
  <c r="BI43" i="5"/>
  <c r="BD43" i="5"/>
  <c r="BE43" i="5"/>
  <c r="AM43" i="5"/>
  <c r="BS51" i="5"/>
  <c r="BQ51" i="5"/>
  <c r="BK51" i="5"/>
  <c r="BJ51" i="5"/>
  <c r="BI51" i="5"/>
  <c r="BE51" i="5"/>
  <c r="BS50" i="5"/>
  <c r="BQ50" i="5"/>
  <c r="BK50" i="5"/>
  <c r="BJ50" i="5"/>
  <c r="BI50" i="5"/>
  <c r="BE50" i="5"/>
  <c r="BS49" i="5"/>
  <c r="BQ49" i="5"/>
  <c r="BK49" i="5"/>
  <c r="BJ49" i="5"/>
  <c r="BI49" i="5"/>
  <c r="BC49" i="5"/>
  <c r="BE49" i="5"/>
  <c r="BR39" i="5"/>
  <c r="BR31" i="5"/>
  <c r="BD42" i="5"/>
  <c r="BR43" i="5"/>
  <c r="BR50" i="5"/>
  <c r="BD39" i="5"/>
  <c r="BD34" i="5"/>
  <c r="BR35" i="5"/>
  <c r="BT5" i="5"/>
  <c r="BS5" i="5"/>
  <c r="BQ5" i="5"/>
  <c r="BN5" i="5"/>
  <c r="BK5" i="5"/>
  <c r="BJ5" i="5"/>
  <c r="BI5" i="5"/>
  <c r="BC5" i="5"/>
  <c r="BE5" i="5"/>
  <c r="AM5" i="5"/>
  <c r="AK5" i="5"/>
  <c r="BS19" i="5"/>
  <c r="BQ19" i="5"/>
  <c r="BN19" i="5"/>
  <c r="BK19" i="5"/>
  <c r="BJ19" i="5"/>
  <c r="BI19" i="5"/>
  <c r="BE19" i="5"/>
  <c r="AM19" i="5"/>
  <c r="AK19" i="5"/>
  <c r="BT18" i="5"/>
  <c r="BS18" i="5"/>
  <c r="BQ18" i="5"/>
  <c r="BN18" i="5"/>
  <c r="BK18" i="5"/>
  <c r="BJ18" i="5"/>
  <c r="BI18" i="5"/>
  <c r="BE18" i="5"/>
  <c r="AM18" i="5"/>
  <c r="AK18" i="5"/>
  <c r="BT17" i="5"/>
  <c r="BS17" i="5"/>
  <c r="BQ17" i="5"/>
  <c r="BN17" i="5"/>
  <c r="BK17" i="5"/>
  <c r="BJ17" i="5"/>
  <c r="BI17" i="5"/>
  <c r="BC17" i="5"/>
  <c r="BE17" i="5"/>
  <c r="AM17" i="5"/>
  <c r="AK17" i="5"/>
  <c r="BT16" i="5"/>
  <c r="BS16" i="5"/>
  <c r="BQ16" i="5"/>
  <c r="BN16" i="5"/>
  <c r="BN2" i="5"/>
  <c r="BN3" i="5"/>
  <c r="BN4" i="5"/>
  <c r="BN6" i="5"/>
  <c r="BN7" i="5"/>
  <c r="BN8" i="5"/>
  <c r="BN9" i="5"/>
  <c r="BN10" i="5"/>
  <c r="BN11" i="5"/>
  <c r="BN12" i="5"/>
  <c r="BN13" i="5"/>
  <c r="BN14" i="5"/>
  <c r="BN15" i="5"/>
  <c r="BN20" i="5"/>
  <c r="BN21" i="5"/>
  <c r="BN22" i="5"/>
  <c r="BN23" i="5"/>
  <c r="BN24" i="5"/>
  <c r="BN25" i="5"/>
  <c r="BN26" i="5"/>
  <c r="BN27" i="5"/>
  <c r="BN28" i="5"/>
  <c r="BK16" i="5"/>
  <c r="BJ16" i="5"/>
  <c r="BI16" i="5"/>
  <c r="BR16" i="5"/>
  <c r="BE16" i="5"/>
  <c r="AM16" i="5"/>
  <c r="AK16" i="5"/>
  <c r="BT15" i="5"/>
  <c r="BS15" i="5"/>
  <c r="BQ15" i="5"/>
  <c r="BK15" i="5"/>
  <c r="BJ15" i="5"/>
  <c r="BI15" i="5"/>
  <c r="BD15" i="5"/>
  <c r="BE15" i="5"/>
  <c r="AM15" i="5"/>
  <c r="AK15" i="5"/>
  <c r="BT14" i="5"/>
  <c r="BS14" i="5"/>
  <c r="BQ14" i="5"/>
  <c r="BK14" i="5"/>
  <c r="BJ14" i="5"/>
  <c r="BI14" i="5"/>
  <c r="BE14" i="5"/>
  <c r="AK14" i="5"/>
  <c r="BT13" i="5"/>
  <c r="BS13" i="5"/>
  <c r="BQ13" i="5"/>
  <c r="BK13" i="5"/>
  <c r="BJ13" i="5"/>
  <c r="BI13" i="5"/>
  <c r="BC13" i="5"/>
  <c r="BE13" i="5"/>
  <c r="AM13" i="5"/>
  <c r="AK13" i="5"/>
  <c r="BT12" i="5"/>
  <c r="BS12" i="5"/>
  <c r="BQ12" i="5"/>
  <c r="BK12" i="5"/>
  <c r="BJ12" i="5"/>
  <c r="BI12" i="5"/>
  <c r="BE12" i="5"/>
  <c r="AM12" i="5"/>
  <c r="AK12" i="5"/>
  <c r="BT11" i="5"/>
  <c r="BS11" i="5"/>
  <c r="BQ11" i="5"/>
  <c r="BK11" i="5"/>
  <c r="BJ11" i="5"/>
  <c r="BI11" i="5"/>
  <c r="BE11" i="5"/>
  <c r="AM11" i="5"/>
  <c r="AK11" i="5"/>
  <c r="BT10" i="5"/>
  <c r="BS10" i="5"/>
  <c r="BQ10" i="5"/>
  <c r="BK10" i="5"/>
  <c r="BJ10" i="5"/>
  <c r="BI10" i="5"/>
  <c r="BE10" i="5"/>
  <c r="AM10" i="5"/>
  <c r="AK10" i="5"/>
  <c r="BS24" i="5"/>
  <c r="BQ24" i="5"/>
  <c r="BK24" i="5"/>
  <c r="BJ24" i="5"/>
  <c r="BI24" i="5"/>
  <c r="BD24" i="5"/>
  <c r="BC24" i="5"/>
  <c r="BE24" i="5"/>
  <c r="AM24" i="5"/>
  <c r="AK24" i="5"/>
  <c r="BS23" i="5"/>
  <c r="BQ23" i="5"/>
  <c r="BK23" i="5"/>
  <c r="BJ23" i="5"/>
  <c r="BI23" i="5"/>
  <c r="BE23" i="5"/>
  <c r="AM23" i="5"/>
  <c r="AK23" i="5"/>
  <c r="BS22" i="5"/>
  <c r="BQ22" i="5"/>
  <c r="BK22" i="5"/>
  <c r="BJ22" i="5"/>
  <c r="BE22" i="5"/>
  <c r="AM22" i="5"/>
  <c r="AK22" i="5"/>
  <c r="BS21" i="5"/>
  <c r="BQ21" i="5"/>
  <c r="BK21" i="5"/>
  <c r="BJ21" i="5"/>
  <c r="BI21" i="5"/>
  <c r="BC21" i="5"/>
  <c r="BE21" i="5"/>
  <c r="AM21" i="5"/>
  <c r="AK21" i="5"/>
  <c r="BS20" i="5"/>
  <c r="BQ20" i="5"/>
  <c r="BK20" i="5"/>
  <c r="BJ20" i="5"/>
  <c r="BI20" i="5"/>
  <c r="BD20" i="5"/>
  <c r="BC20" i="5"/>
  <c r="BE20" i="5"/>
  <c r="AM20" i="5"/>
  <c r="AK20" i="5"/>
  <c r="BR20" i="5"/>
  <c r="BR12" i="5"/>
  <c r="BD12" i="5"/>
  <c r="BR19" i="5"/>
  <c r="BD16" i="5"/>
  <c r="BT8" i="5"/>
  <c r="BS8" i="5"/>
  <c r="BQ8" i="5"/>
  <c r="BK8" i="5"/>
  <c r="BJ8" i="5"/>
  <c r="BI8" i="5"/>
  <c r="BD8" i="5"/>
  <c r="BE8" i="5"/>
  <c r="AM8" i="5"/>
  <c r="AK8" i="5"/>
  <c r="BT7" i="5"/>
  <c r="BS7" i="5"/>
  <c r="BQ7" i="5"/>
  <c r="BK7" i="5"/>
  <c r="BJ7" i="5"/>
  <c r="BI7" i="5"/>
  <c r="BR7" i="5"/>
  <c r="BD7" i="5"/>
  <c r="BE7" i="5"/>
  <c r="AM7" i="5"/>
  <c r="AK7" i="5"/>
  <c r="BT6" i="5"/>
  <c r="BS6" i="5"/>
  <c r="BQ6" i="5"/>
  <c r="BK6" i="5"/>
  <c r="BJ6" i="5"/>
  <c r="BI6" i="5"/>
  <c r="BE6" i="5"/>
  <c r="AM6" i="5"/>
  <c r="AK6" i="5"/>
  <c r="BT4" i="5"/>
  <c r="BS4" i="5"/>
  <c r="BQ4" i="5"/>
  <c r="BK4" i="5"/>
  <c r="BJ4" i="5"/>
  <c r="BI4" i="5"/>
  <c r="BD4" i="5"/>
  <c r="BE4" i="5"/>
  <c r="AM4" i="5"/>
  <c r="AK4" i="5"/>
  <c r="BT3" i="5"/>
  <c r="BS3" i="5"/>
  <c r="BQ3" i="5"/>
  <c r="BK3" i="5"/>
  <c r="BJ3" i="5"/>
  <c r="BI3" i="5"/>
  <c r="BR3" i="5"/>
  <c r="BD3" i="5"/>
  <c r="BE3" i="5"/>
  <c r="AM3" i="5"/>
  <c r="AK3" i="5"/>
  <c r="BS26" i="5"/>
  <c r="BQ26" i="5"/>
  <c r="BK26" i="5"/>
  <c r="BJ26" i="5"/>
  <c r="BE26" i="5"/>
  <c r="AM26" i="5"/>
  <c r="AK26" i="5"/>
  <c r="BS25" i="5"/>
  <c r="BQ25" i="5"/>
  <c r="BK25" i="5"/>
  <c r="BJ25" i="5"/>
  <c r="BI25" i="5"/>
  <c r="BD25" i="5"/>
  <c r="BC25" i="5"/>
  <c r="BE25" i="5"/>
  <c r="AM25" i="5"/>
  <c r="AK25" i="5"/>
  <c r="BT9" i="5"/>
  <c r="BS9" i="5"/>
  <c r="BQ9" i="5"/>
  <c r="BK9" i="5"/>
  <c r="BJ9" i="5"/>
  <c r="BC9" i="5"/>
  <c r="BE9" i="5"/>
  <c r="AM9" i="5"/>
  <c r="AK9" i="5"/>
  <c r="BS27" i="5"/>
  <c r="BQ27" i="5"/>
  <c r="BK27" i="5"/>
  <c r="BJ27" i="5"/>
  <c r="BD27" i="5"/>
  <c r="BE27" i="5"/>
  <c r="AM27" i="5"/>
  <c r="AK27" i="5"/>
  <c r="BR4" i="5"/>
  <c r="D26" i="133"/>
  <c r="E26" i="133"/>
  <c r="D25" i="133"/>
  <c r="D24" i="133"/>
  <c r="D22" i="133"/>
  <c r="D21" i="133"/>
  <c r="D20" i="133"/>
  <c r="D19" i="133"/>
  <c r="D18" i="133"/>
  <c r="D17" i="133"/>
  <c r="D16" i="133"/>
  <c r="D15" i="133"/>
  <c r="D14" i="133"/>
  <c r="D12" i="133"/>
  <c r="D8" i="133"/>
  <c r="D56" i="133"/>
  <c r="E56" i="133"/>
  <c r="D55" i="133"/>
  <c r="D54" i="133"/>
  <c r="D52" i="133"/>
  <c r="D51" i="133"/>
  <c r="D50" i="133"/>
  <c r="D49" i="133"/>
  <c r="D48" i="133"/>
  <c r="D47" i="133"/>
  <c r="D46" i="133"/>
  <c r="D45" i="133"/>
  <c r="D44" i="133"/>
  <c r="D42" i="133"/>
  <c r="D38" i="133"/>
  <c r="D68" i="133"/>
  <c r="D86" i="133"/>
  <c r="E86" i="133"/>
  <c r="D85" i="133"/>
  <c r="D84" i="133"/>
  <c r="D82" i="133"/>
  <c r="D81" i="133"/>
  <c r="D80" i="133"/>
  <c r="D79" i="133"/>
  <c r="D78" i="133"/>
  <c r="D77" i="133"/>
  <c r="D76" i="133"/>
  <c r="D75" i="133"/>
  <c r="D74" i="133"/>
  <c r="E117" i="133"/>
  <c r="D116" i="133"/>
  <c r="E116" i="133"/>
  <c r="D115" i="133"/>
  <c r="D114" i="133"/>
  <c r="D112" i="133"/>
  <c r="D111" i="133"/>
  <c r="D110" i="133"/>
  <c r="D102" i="133"/>
  <c r="D98" i="133"/>
  <c r="D146" i="133"/>
  <c r="E146" i="133"/>
  <c r="D145" i="133"/>
  <c r="D144" i="133"/>
  <c r="D142" i="133"/>
  <c r="D141" i="133"/>
  <c r="D140" i="133"/>
  <c r="D139" i="133"/>
  <c r="D138" i="133"/>
  <c r="D137" i="133"/>
  <c r="D136" i="133"/>
  <c r="D135" i="133"/>
  <c r="D134" i="133"/>
  <c r="D177" i="133"/>
  <c r="E177" i="133"/>
  <c r="D176" i="133"/>
  <c r="D175" i="133"/>
  <c r="D173" i="133"/>
  <c r="D172" i="133"/>
  <c r="D171" i="133"/>
  <c r="D170" i="133"/>
  <c r="D169" i="133"/>
  <c r="D168" i="133"/>
  <c r="D167" i="133"/>
  <c r="D166" i="133"/>
  <c r="D165" i="133"/>
  <c r="D163" i="133"/>
  <c r="D159" i="133"/>
  <c r="D207" i="133"/>
  <c r="D206" i="133"/>
  <c r="D204" i="133"/>
  <c r="D203" i="133"/>
  <c r="D202" i="133"/>
  <c r="D201" i="133"/>
  <c r="D200" i="133"/>
  <c r="D199" i="133"/>
  <c r="D198" i="133"/>
  <c r="D197" i="133"/>
  <c r="D196" i="133"/>
  <c r="D194" i="133"/>
  <c r="D238" i="133"/>
  <c r="D237" i="133"/>
  <c r="D235" i="133"/>
  <c r="D234" i="133"/>
  <c r="D233" i="133"/>
  <c r="D232" i="133"/>
  <c r="D231" i="133"/>
  <c r="D230" i="133"/>
  <c r="D229" i="133"/>
  <c r="D228" i="133"/>
  <c r="D227" i="133"/>
  <c r="D225" i="133"/>
  <c r="E101" i="141"/>
  <c r="E102" i="141"/>
  <c r="E103" i="141"/>
  <c r="E105" i="141"/>
  <c r="D141" i="141"/>
  <c r="D137" i="141"/>
  <c r="D136" i="141"/>
  <c r="D135" i="141"/>
  <c r="E135" i="141"/>
  <c r="D23" i="133"/>
  <c r="E23" i="133"/>
  <c r="D13" i="133"/>
  <c r="E19" i="133"/>
  <c r="E21" i="133"/>
  <c r="E25" i="133"/>
  <c r="E22" i="133"/>
  <c r="E12" i="133"/>
  <c r="E20" i="133"/>
  <c r="E24" i="133"/>
  <c r="E55" i="133"/>
  <c r="D53" i="133"/>
  <c r="E53" i="133"/>
  <c r="D43" i="133"/>
  <c r="E49" i="133"/>
  <c r="E42" i="133"/>
  <c r="E50" i="133"/>
  <c r="E52" i="133"/>
  <c r="E51" i="133"/>
  <c r="E54" i="133"/>
  <c r="E85" i="133"/>
  <c r="D83" i="133"/>
  <c r="E83" i="133"/>
  <c r="D73" i="133"/>
  <c r="E73" i="133"/>
  <c r="E80" i="133"/>
  <c r="E82" i="133"/>
  <c r="E81" i="133"/>
  <c r="E84" i="133"/>
  <c r="E115" i="133"/>
  <c r="D113" i="133"/>
  <c r="E113" i="133"/>
  <c r="E112" i="133"/>
  <c r="E110" i="133"/>
  <c r="E102" i="133"/>
  <c r="E111" i="133"/>
  <c r="E114" i="133"/>
  <c r="E145" i="133"/>
  <c r="D143" i="133"/>
  <c r="E143" i="133"/>
  <c r="D133" i="133"/>
  <c r="E139" i="133"/>
  <c r="E140" i="133"/>
  <c r="E142" i="133"/>
  <c r="E141" i="133"/>
  <c r="E144" i="133"/>
  <c r="E176" i="133"/>
  <c r="E173" i="133"/>
  <c r="E175" i="133"/>
  <c r="D112" i="141"/>
  <c r="E112" i="141"/>
  <c r="D127" i="141"/>
  <c r="D108" i="141"/>
  <c r="D107" i="141"/>
  <c r="D106" i="141"/>
  <c r="E106" i="141"/>
  <c r="D98" i="141"/>
  <c r="D83" i="141"/>
  <c r="D82" i="141"/>
  <c r="D81" i="141"/>
  <c r="D79" i="141"/>
  <c r="D78" i="141"/>
  <c r="D77" i="141"/>
  <c r="E77" i="141"/>
  <c r="E76" i="141"/>
  <c r="E75" i="141"/>
  <c r="E74" i="141"/>
  <c r="E73" i="141"/>
  <c r="E72" i="141"/>
  <c r="E71" i="141"/>
  <c r="D69" i="141"/>
  <c r="E206" i="133"/>
  <c r="D268" i="133"/>
  <c r="D267" i="133"/>
  <c r="D265" i="133"/>
  <c r="D264" i="133"/>
  <c r="D263" i="133"/>
  <c r="D262" i="133"/>
  <c r="D261" i="133"/>
  <c r="D260" i="133"/>
  <c r="D259" i="133"/>
  <c r="D258" i="133"/>
  <c r="D257" i="133"/>
  <c r="D255" i="133"/>
  <c r="D37" i="141"/>
  <c r="E55" i="141"/>
  <c r="D54" i="141"/>
  <c r="D53" i="141"/>
  <c r="D52" i="141"/>
  <c r="D50" i="141"/>
  <c r="D49" i="141"/>
  <c r="D48" i="141"/>
  <c r="D47" i="141"/>
  <c r="E47" i="141"/>
  <c r="D46" i="141"/>
  <c r="E46" i="141"/>
  <c r="D45" i="141"/>
  <c r="E45" i="141"/>
  <c r="D44" i="141"/>
  <c r="E44" i="141"/>
  <c r="D43" i="141"/>
  <c r="E43" i="141"/>
  <c r="D42" i="141"/>
  <c r="E42" i="141"/>
  <c r="D305" i="133"/>
  <c r="D300" i="133"/>
  <c r="D299" i="133"/>
  <c r="D298" i="133"/>
  <c r="D296" i="133"/>
  <c r="D295" i="133"/>
  <c r="D294" i="133"/>
  <c r="D293" i="133"/>
  <c r="D292" i="133"/>
  <c r="D291" i="133"/>
  <c r="D290" i="133"/>
  <c r="D289" i="133"/>
  <c r="D288" i="133"/>
  <c r="D286" i="133"/>
  <c r="D282" i="133"/>
  <c r="D336" i="133"/>
  <c r="D331" i="133"/>
  <c r="D330" i="133"/>
  <c r="D313" i="133"/>
  <c r="D329" i="133"/>
  <c r="D328" i="133"/>
  <c r="E328" i="133"/>
  <c r="D327" i="133"/>
  <c r="D326" i="133"/>
  <c r="D325" i="133"/>
  <c r="E325" i="133"/>
  <c r="D324" i="133"/>
  <c r="D323" i="133"/>
  <c r="D322" i="133"/>
  <c r="D321" i="133"/>
  <c r="D320" i="133"/>
  <c r="D319" i="133"/>
  <c r="D317" i="133"/>
  <c r="E317" i="133"/>
  <c r="D8" i="141"/>
  <c r="D25" i="141"/>
  <c r="D24" i="141"/>
  <c r="D23" i="141"/>
  <c r="D21" i="141"/>
  <c r="D20" i="141"/>
  <c r="D19" i="141"/>
  <c r="E19" i="141"/>
  <c r="D18" i="141"/>
  <c r="E18" i="141"/>
  <c r="D17" i="141"/>
  <c r="E17" i="141"/>
  <c r="D16" i="141"/>
  <c r="E16" i="141"/>
  <c r="D15" i="141"/>
  <c r="E15" i="141"/>
  <c r="D14" i="141"/>
  <c r="E14" i="141"/>
  <c r="D13" i="141"/>
  <c r="E13" i="141"/>
  <c r="D11" i="141"/>
  <c r="E265" i="133"/>
  <c r="E264" i="133"/>
  <c r="E267" i="133"/>
  <c r="E40" i="141"/>
  <c r="E52" i="141"/>
  <c r="C3" i="142"/>
  <c r="D68" i="141"/>
  <c r="E68" i="141"/>
  <c r="D126" i="141"/>
  <c r="E126" i="141"/>
  <c r="D39" i="141"/>
  <c r="E39" i="141"/>
  <c r="AK2" i="5"/>
  <c r="AM2" i="5"/>
  <c r="AK148" i="5"/>
  <c r="BQ28" i="5"/>
  <c r="BQ52" i="5"/>
  <c r="BQ53" i="5"/>
  <c r="BQ56" i="5"/>
  <c r="BQ58" i="5"/>
  <c r="BN53" i="5"/>
  <c r="BN56" i="5"/>
  <c r="BN58" i="5"/>
  <c r="D30" i="141"/>
  <c r="E30" i="141"/>
  <c r="AM87" i="5"/>
  <c r="AM28" i="5"/>
  <c r="AK87" i="5"/>
  <c r="AK28" i="5"/>
  <c r="BS58" i="5"/>
  <c r="BK58" i="5"/>
  <c r="BJ58" i="5"/>
  <c r="BI58" i="5"/>
  <c r="BD58" i="5"/>
  <c r="BC58" i="5"/>
  <c r="BE58" i="5"/>
  <c r="BS56" i="5"/>
  <c r="BK56" i="5"/>
  <c r="BJ56" i="5"/>
  <c r="BI56" i="5"/>
  <c r="BR56" i="5"/>
  <c r="BC56" i="5"/>
  <c r="BE56" i="5"/>
  <c r="BS53" i="5"/>
  <c r="BK53" i="5"/>
  <c r="BJ53" i="5"/>
  <c r="BI53" i="5"/>
  <c r="BD53" i="5"/>
  <c r="BC53" i="5"/>
  <c r="BE53" i="5"/>
  <c r="BS52" i="5"/>
  <c r="BK52" i="5"/>
  <c r="BJ52" i="5"/>
  <c r="BI52" i="5"/>
  <c r="BR52" i="5"/>
  <c r="BD52" i="5"/>
  <c r="BC52" i="5"/>
  <c r="BE52" i="5"/>
  <c r="BS28" i="5"/>
  <c r="BK28" i="5"/>
  <c r="BJ28" i="5"/>
  <c r="BI28" i="5"/>
  <c r="BR28" i="5"/>
  <c r="BC28" i="5"/>
  <c r="BE28" i="5"/>
  <c r="BT2" i="5"/>
  <c r="BS2" i="5"/>
  <c r="C3" i="128"/>
  <c r="BK2" i="5"/>
  <c r="BJ2" i="5"/>
  <c r="BI2" i="5"/>
  <c r="BD2" i="5"/>
  <c r="BC2" i="5"/>
  <c r="BE2" i="5"/>
  <c r="BQ2" i="5"/>
  <c r="K3" i="128"/>
  <c r="BR58" i="5"/>
  <c r="C3" i="120"/>
  <c r="B3" i="128"/>
  <c r="E81" i="141"/>
  <c r="E76" i="133"/>
  <c r="E16" i="133"/>
  <c r="D226" i="133"/>
  <c r="E229" i="133"/>
  <c r="E75" i="133"/>
  <c r="E47" i="133"/>
  <c r="E79" i="133"/>
  <c r="E141" i="141"/>
  <c r="E204" i="133"/>
  <c r="D195" i="133"/>
  <c r="E201" i="133"/>
  <c r="E263" i="133"/>
  <c r="E268" i="133"/>
  <c r="E83" i="141"/>
  <c r="E74" i="133"/>
  <c r="E78" i="133"/>
  <c r="E203" i="133"/>
  <c r="BR69" i="5"/>
  <c r="BD67" i="5"/>
  <c r="BR51" i="5"/>
  <c r="E82" i="141"/>
  <c r="E134" i="133"/>
  <c r="E13" i="133"/>
  <c r="E18" i="133"/>
  <c r="E15" i="133"/>
  <c r="E17" i="133"/>
  <c r="E135" i="133"/>
  <c r="E136" i="133"/>
  <c r="E133" i="133"/>
  <c r="E14" i="133"/>
  <c r="D236" i="133"/>
  <c r="E236" i="133"/>
  <c r="E137" i="141"/>
  <c r="E233" i="133"/>
  <c r="E46" i="133"/>
  <c r="E44" i="133"/>
  <c r="E108" i="141"/>
  <c r="E127" i="141"/>
  <c r="E111" i="141"/>
  <c r="E237" i="133"/>
  <c r="E225" i="133"/>
  <c r="E139" i="141"/>
  <c r="E234" i="133"/>
  <c r="E78" i="141"/>
  <c r="E138" i="133"/>
  <c r="E43" i="133"/>
  <c r="E45" i="133"/>
  <c r="E98" i="141"/>
  <c r="E140" i="141"/>
  <c r="E69" i="141"/>
  <c r="E79" i="141"/>
  <c r="E137" i="133"/>
  <c r="E48" i="133"/>
  <c r="E136" i="141"/>
  <c r="E238" i="133"/>
  <c r="D9" i="141"/>
  <c r="BR141" i="5"/>
  <c r="BR80" i="5"/>
  <c r="BD90" i="5"/>
  <c r="BD105" i="5"/>
  <c r="BR105" i="5"/>
  <c r="B3" i="120"/>
  <c r="D10" i="141"/>
  <c r="E235" i="133"/>
  <c r="BR8" i="5"/>
  <c r="BR14" i="5"/>
  <c r="BD17" i="5"/>
  <c r="BR60" i="5"/>
  <c r="BD60" i="5"/>
  <c r="BR91" i="5"/>
  <c r="BD92" i="5"/>
  <c r="BR125" i="5"/>
  <c r="BR126" i="5"/>
  <c r="BR112" i="5"/>
  <c r="BR103" i="5"/>
  <c r="BD134" i="5"/>
  <c r="BR134" i="5"/>
  <c r="BR138" i="5"/>
  <c r="D38" i="141"/>
  <c r="D67" i="141"/>
  <c r="E67" i="141"/>
  <c r="D100" i="133"/>
  <c r="E100" i="133"/>
  <c r="BR24" i="5"/>
  <c r="BR148" i="5"/>
  <c r="BD148" i="5"/>
  <c r="BR122" i="5"/>
  <c r="BD101" i="5"/>
  <c r="BR101" i="5"/>
  <c r="E50" i="141"/>
  <c r="BR6" i="5"/>
  <c r="BR10" i="5"/>
  <c r="BD30" i="5"/>
  <c r="BR46" i="5"/>
  <c r="BR63" i="5"/>
  <c r="BR147" i="5"/>
  <c r="BD141" i="5"/>
  <c r="BR64" i="5"/>
  <c r="BR115" i="5"/>
  <c r="BD119" i="5"/>
  <c r="BR78" i="5"/>
  <c r="BD107" i="5"/>
  <c r="BD94" i="5"/>
  <c r="BR98" i="5"/>
  <c r="BR137" i="5"/>
  <c r="BR65" i="5"/>
  <c r="BR61" i="5"/>
  <c r="BR130" i="5"/>
  <c r="BR131" i="5"/>
  <c r="BR129" i="5"/>
  <c r="BR2" i="5"/>
  <c r="D59" i="141"/>
  <c r="E59" i="141"/>
  <c r="BD56" i="5"/>
  <c r="D315" i="133"/>
  <c r="E315" i="133"/>
  <c r="D31" i="133"/>
  <c r="E31" i="133"/>
  <c r="BR53" i="5"/>
  <c r="D337" i="133"/>
  <c r="D11" i="133"/>
  <c r="E11" i="133"/>
  <c r="D41" i="133"/>
  <c r="E41" i="133"/>
  <c r="D10" i="133"/>
  <c r="E10" i="133"/>
  <c r="D40" i="133"/>
  <c r="E40" i="133"/>
  <c r="BD70" i="5"/>
  <c r="BR70" i="5"/>
  <c r="BR74" i="5"/>
  <c r="BD74" i="5"/>
  <c r="BR76" i="5"/>
  <c r="BD76" i="5"/>
  <c r="BR114" i="5"/>
  <c r="BD114" i="5"/>
  <c r="BR116" i="5"/>
  <c r="BD116" i="5"/>
  <c r="BR127" i="5"/>
  <c r="BR86" i="5"/>
  <c r="BD86" i="5"/>
  <c r="BR82" i="5"/>
  <c r="BD82" i="5"/>
  <c r="BD93" i="5"/>
  <c r="BR93" i="5"/>
  <c r="BR95" i="5"/>
  <c r="BD95" i="5"/>
  <c r="BR99" i="5"/>
  <c r="BD99" i="5"/>
  <c r="BR135" i="5"/>
  <c r="BD135" i="5"/>
  <c r="BD140" i="5"/>
  <c r="BR140" i="5"/>
  <c r="BR117" i="5"/>
  <c r="BR84" i="5"/>
  <c r="BD110" i="5"/>
  <c r="BR110" i="5"/>
  <c r="BR97" i="5"/>
  <c r="BD133" i="5"/>
  <c r="BD41" i="5"/>
  <c r="BD108" i="5"/>
  <c r="BR108" i="5"/>
  <c r="BD102" i="5"/>
  <c r="D117" i="141"/>
  <c r="BR85" i="5"/>
  <c r="D61" i="133"/>
  <c r="E61" i="133"/>
  <c r="D306" i="133"/>
  <c r="D88" i="141"/>
  <c r="E88" i="141"/>
  <c r="BD28" i="5"/>
  <c r="E110" i="141"/>
  <c r="E202" i="133"/>
  <c r="D205" i="133"/>
  <c r="E205" i="133"/>
  <c r="E171" i="133"/>
  <c r="D174" i="133"/>
  <c r="E174" i="133"/>
  <c r="D266" i="133"/>
  <c r="E266" i="133"/>
  <c r="E107" i="141"/>
  <c r="E77" i="133"/>
  <c r="E194" i="133"/>
  <c r="E163" i="133"/>
  <c r="E172" i="133"/>
  <c r="E72" i="133"/>
  <c r="E207" i="133"/>
  <c r="E49" i="141"/>
  <c r="E54" i="141"/>
  <c r="E295" i="133"/>
  <c r="D71" i="133"/>
  <c r="E71" i="133"/>
  <c r="D101" i="133"/>
  <c r="E101" i="133"/>
  <c r="D284" i="133"/>
  <c r="E284" i="133"/>
  <c r="D70" i="133"/>
  <c r="E70" i="133"/>
  <c r="D103" i="133"/>
  <c r="E106" i="133"/>
  <c r="D128" i="141"/>
  <c r="E131" i="141"/>
  <c r="D70" i="141"/>
  <c r="E70" i="141"/>
  <c r="BD168" i="5"/>
  <c r="BR195" i="5"/>
  <c r="BR11" i="5"/>
  <c r="BR111" i="5"/>
  <c r="BR187" i="5"/>
  <c r="BR202" i="5"/>
  <c r="BR307" i="5"/>
  <c r="BD307" i="5"/>
  <c r="BR184" i="5"/>
  <c r="BR206" i="5"/>
  <c r="BD206" i="5"/>
  <c r="BR196" i="5"/>
  <c r="BD188" i="5"/>
  <c r="BR188" i="5"/>
  <c r="D184" i="141"/>
  <c r="E184" i="141"/>
  <c r="BR210" i="5"/>
  <c r="E199" i="141"/>
  <c r="E197" i="141"/>
  <c r="D176" i="141"/>
  <c r="E176" i="141"/>
  <c r="BH150" i="5"/>
  <c r="BD150" i="5"/>
  <c r="BD208" i="5"/>
  <c r="BR208" i="5"/>
  <c r="BD297" i="5"/>
  <c r="BR297" i="5"/>
  <c r="BR302" i="5"/>
  <c r="BD302" i="5"/>
  <c r="BD305" i="5"/>
  <c r="BR305" i="5"/>
  <c r="E185" i="141"/>
  <c r="BR209" i="5"/>
  <c r="BD209" i="5"/>
  <c r="BR298" i="5"/>
  <c r="BD298" i="5"/>
  <c r="BD301" i="5"/>
  <c r="BR301" i="5"/>
  <c r="D183" i="141"/>
  <c r="BD204" i="5"/>
  <c r="BR204" i="5"/>
  <c r="BR290" i="5"/>
  <c r="BR299" i="5"/>
  <c r="BR306" i="5"/>
  <c r="BD306" i="5"/>
  <c r="D164" i="133"/>
  <c r="E167" i="133"/>
  <c r="BR44" i="5"/>
  <c r="BR36" i="5"/>
  <c r="D297" i="133"/>
  <c r="E297" i="133"/>
  <c r="E296" i="133"/>
  <c r="BD120" i="5"/>
  <c r="BD26" i="5"/>
  <c r="BR45" i="5"/>
  <c r="BR49" i="5"/>
  <c r="BD128" i="5"/>
  <c r="BD32" i="5"/>
  <c r="BR68" i="5"/>
  <c r="BD79" i="5"/>
  <c r="BD104" i="5"/>
  <c r="BD22" i="5"/>
  <c r="BR17" i="5"/>
  <c r="BD29" i="5"/>
  <c r="BR37" i="5"/>
  <c r="BR92" i="5"/>
  <c r="BR57" i="5"/>
  <c r="BR88" i="5"/>
  <c r="BR96" i="5"/>
  <c r="BR153" i="5"/>
  <c r="BR157" i="5"/>
  <c r="E226" i="141"/>
  <c r="E48" i="141"/>
  <c r="D256" i="133"/>
  <c r="E258" i="133"/>
  <c r="E228" i="133"/>
  <c r="BR75" i="5"/>
  <c r="BR179" i="5"/>
  <c r="BR139" i="5"/>
  <c r="BD174" i="5"/>
  <c r="BR177" i="5"/>
  <c r="BD143" i="5"/>
  <c r="BR170" i="5"/>
  <c r="BD304" i="5"/>
  <c r="BR304" i="5"/>
  <c r="BD300" i="5"/>
  <c r="BR300" i="5"/>
  <c r="BD291" i="5"/>
  <c r="BR291" i="5"/>
  <c r="D183" i="133"/>
  <c r="E183" i="133"/>
  <c r="E231" i="133"/>
  <c r="BR18" i="5"/>
  <c r="BR33" i="5"/>
  <c r="BR94" i="5"/>
  <c r="BR100" i="5"/>
  <c r="BR136" i="5"/>
  <c r="BR151" i="5"/>
  <c r="BD123" i="5"/>
  <c r="BR173" i="5"/>
  <c r="BR159" i="5"/>
  <c r="BR168" i="5"/>
  <c r="BR34" i="5"/>
  <c r="BR15" i="5"/>
  <c r="D130" i="133"/>
  <c r="E130" i="133"/>
  <c r="BR190" i="5"/>
  <c r="BR48" i="5"/>
  <c r="BD203" i="5"/>
  <c r="BR203" i="5"/>
  <c r="BD9" i="5"/>
  <c r="BR25" i="5"/>
  <c r="BR13" i="5"/>
  <c r="BR21" i="5"/>
  <c r="BR40" i="5"/>
  <c r="BR72" i="5"/>
  <c r="BD175" i="5"/>
  <c r="BD178" i="5"/>
  <c r="E132" i="133"/>
  <c r="E298" i="133"/>
  <c r="BR23" i="5"/>
  <c r="BR5" i="5"/>
  <c r="BR87" i="5"/>
  <c r="BR81" i="5"/>
  <c r="BD83" i="5"/>
  <c r="BR149" i="5"/>
  <c r="BR152" i="5"/>
  <c r="BR161" i="5"/>
  <c r="E243" i="141"/>
  <c r="D138" i="141"/>
  <c r="E138" i="141"/>
  <c r="BR200" i="5"/>
  <c r="BR156" i="5"/>
  <c r="D192" i="133"/>
  <c r="E192" i="133"/>
  <c r="E285" i="141"/>
  <c r="E327" i="133"/>
  <c r="D109" i="141"/>
  <c r="E109" i="141"/>
  <c r="D99" i="141"/>
  <c r="E99" i="141"/>
  <c r="BR169" i="5"/>
  <c r="BR303" i="5"/>
  <c r="E286" i="133"/>
  <c r="E97" i="141"/>
  <c r="BD191" i="5"/>
  <c r="BR212" i="5"/>
  <c r="E214" i="141"/>
  <c r="BR193" i="5"/>
  <c r="E228" i="141"/>
  <c r="D28" i="133"/>
  <c r="G3" i="128"/>
  <c r="D88" i="133"/>
  <c r="F3" i="128"/>
  <c r="D148" i="133"/>
  <c r="D58" i="133"/>
  <c r="D118" i="133"/>
  <c r="G3" i="120"/>
  <c r="D59" i="133"/>
  <c r="D89" i="133"/>
  <c r="D149" i="133"/>
  <c r="D29" i="133"/>
  <c r="F3" i="120"/>
  <c r="D119" i="133"/>
  <c r="BR27" i="5"/>
  <c r="D213" i="141"/>
  <c r="E213" i="141"/>
  <c r="D161" i="133"/>
  <c r="E161" i="133"/>
  <c r="E286" i="141"/>
  <c r="BR308" i="5"/>
  <c r="D162" i="133"/>
  <c r="E162" i="133"/>
  <c r="BD185" i="5"/>
  <c r="BR186" i="5"/>
  <c r="BD197" i="5"/>
  <c r="BR192" i="5"/>
  <c r="BR160" i="5"/>
  <c r="BR90" i="5"/>
  <c r="E257" i="141"/>
  <c r="BD199" i="5"/>
  <c r="BR199" i="5"/>
  <c r="BR189" i="5"/>
  <c r="BD189" i="5"/>
  <c r="BD183" i="5"/>
  <c r="BR183" i="5"/>
  <c r="BD180" i="5"/>
  <c r="BR180" i="5"/>
  <c r="BR167" i="5"/>
  <c r="BD167" i="5"/>
  <c r="BD106" i="5"/>
  <c r="BR106" i="5"/>
  <c r="BR164" i="5"/>
  <c r="BR176" i="5"/>
  <c r="BR163" i="5"/>
  <c r="BR207" i="5"/>
  <c r="E227" i="141"/>
  <c r="BD181" i="5"/>
  <c r="BR214" i="5"/>
  <c r="E256" i="141"/>
  <c r="D225" i="141"/>
  <c r="E284" i="141"/>
  <c r="BR240" i="5"/>
  <c r="BR260" i="5"/>
  <c r="BR263" i="5"/>
  <c r="BR234" i="5"/>
  <c r="BR237" i="5"/>
  <c r="BR242" i="5"/>
  <c r="BR259" i="5"/>
  <c r="BR271" i="5"/>
  <c r="BR275" i="5"/>
  <c r="BR288" i="5"/>
  <c r="BR228" i="5"/>
  <c r="BR236" i="5"/>
  <c r="BR238" i="5"/>
  <c r="BR241" i="5"/>
  <c r="BR244" i="5"/>
  <c r="BR289" i="5"/>
  <c r="BR269" i="5"/>
  <c r="BR273" i="5"/>
  <c r="BR280" i="5"/>
  <c r="BD198" i="5"/>
  <c r="BR198" i="5"/>
  <c r="BD194" i="5"/>
  <c r="BR194" i="5"/>
  <c r="BD182" i="5"/>
  <c r="BR182" i="5"/>
  <c r="BR166" i="5"/>
  <c r="BD166" i="5"/>
  <c r="BD211" i="5"/>
  <c r="BR211" i="5"/>
  <c r="BR213" i="5"/>
  <c r="BD213" i="5"/>
  <c r="E198" i="141"/>
  <c r="D179" i="133"/>
  <c r="BD214" i="5"/>
  <c r="BD287" i="5"/>
  <c r="BR287" i="5"/>
  <c r="BD274" i="5"/>
  <c r="BR274" i="5"/>
  <c r="BD270" i="5"/>
  <c r="BR270" i="5"/>
  <c r="BD261" i="5"/>
  <c r="BR261" i="5"/>
  <c r="BD243" i="5"/>
  <c r="BR243" i="5"/>
  <c r="BD239" i="5"/>
  <c r="BR239" i="5"/>
  <c r="E271" i="141"/>
  <c r="D180" i="133"/>
  <c r="BD303" i="5"/>
  <c r="BD201" i="5"/>
  <c r="D210" i="133"/>
  <c r="BD276" i="5"/>
  <c r="BR276" i="5"/>
  <c r="BD272" i="5"/>
  <c r="BR272" i="5"/>
  <c r="D211" i="133"/>
  <c r="D131" i="133"/>
  <c r="E131" i="133"/>
  <c r="E226" i="133"/>
  <c r="J3" i="128"/>
  <c r="D154" i="141"/>
  <c r="BD232" i="5"/>
  <c r="BR226" i="5"/>
  <c r="BD225" i="5"/>
  <c r="BR229" i="5"/>
  <c r="BR227" i="5"/>
  <c r="BR218" i="5"/>
  <c r="BR309" i="5"/>
  <c r="BR231" i="5"/>
  <c r="BR266" i="5"/>
  <c r="BR220" i="5"/>
  <c r="BD227" i="5"/>
  <c r="BR217" i="5"/>
  <c r="BR221" i="5"/>
  <c r="K3" i="120"/>
  <c r="J3" i="120"/>
  <c r="BR150" i="5"/>
  <c r="BD221" i="5"/>
  <c r="BR296" i="5"/>
  <c r="BR223" i="5"/>
  <c r="BR224" i="5"/>
  <c r="BR219" i="5"/>
  <c r="BD230" i="5"/>
  <c r="BR230" i="5"/>
  <c r="BR222" i="5"/>
  <c r="BD294" i="5"/>
  <c r="BR233" i="5"/>
  <c r="D214" i="133"/>
  <c r="E214" i="133"/>
  <c r="BD233" i="5"/>
  <c r="BR265" i="5"/>
  <c r="BD265" i="5"/>
  <c r="BR232" i="5"/>
  <c r="BR268" i="5"/>
  <c r="BR216" i="5"/>
  <c r="BR267" i="5"/>
  <c r="BR295" i="5"/>
  <c r="BD205" i="5"/>
  <c r="BR205" i="5"/>
  <c r="D212" i="141"/>
  <c r="D193" i="133"/>
  <c r="E193" i="133"/>
  <c r="E113" i="141"/>
  <c r="E294" i="133"/>
  <c r="E299" i="133"/>
  <c r="E142" i="141"/>
  <c r="E53" i="141"/>
  <c r="E84" i="141"/>
  <c r="D333" i="133"/>
  <c r="D302" i="133"/>
  <c r="D51" i="141"/>
  <c r="E51" i="141"/>
  <c r="BR262" i="5"/>
  <c r="D303" i="133"/>
  <c r="D41" i="141"/>
  <c r="E41" i="141"/>
  <c r="D80" i="141"/>
  <c r="E80" i="141"/>
  <c r="D334" i="133"/>
  <c r="E11" i="141"/>
  <c r="E10" i="141"/>
  <c r="E23" i="141"/>
  <c r="E326" i="133"/>
  <c r="D162" i="141"/>
  <c r="E253" i="141"/>
  <c r="E252" i="141"/>
  <c r="D164" i="141"/>
  <c r="E164" i="141"/>
  <c r="E230" i="133"/>
  <c r="E169" i="133"/>
  <c r="E232" i="133"/>
  <c r="E203" i="141"/>
  <c r="E105" i="133"/>
  <c r="E107" i="133"/>
  <c r="E261" i="133"/>
  <c r="E227" i="133"/>
  <c r="E196" i="133"/>
  <c r="E200" i="133"/>
  <c r="E198" i="133"/>
  <c r="D287" i="133"/>
  <c r="E289" i="133"/>
  <c r="E195" i="133"/>
  <c r="E199" i="133"/>
  <c r="BR235" i="5"/>
  <c r="BD235" i="5"/>
  <c r="D285" i="133"/>
  <c r="E285" i="133"/>
  <c r="D316" i="133"/>
  <c r="E316" i="133"/>
  <c r="D12" i="141"/>
  <c r="E12" i="141"/>
  <c r="E129" i="141"/>
  <c r="E109" i="133"/>
  <c r="E104" i="133"/>
  <c r="D318" i="133"/>
  <c r="E323" i="133"/>
  <c r="E262" i="133"/>
  <c r="E128" i="141"/>
  <c r="E200" i="141"/>
  <c r="E318" i="133"/>
  <c r="E165" i="133"/>
  <c r="E168" i="133"/>
  <c r="E197" i="133"/>
  <c r="D22" i="141"/>
  <c r="E22" i="141"/>
  <c r="E166" i="133"/>
  <c r="E103" i="133"/>
  <c r="E20" i="141"/>
  <c r="E329" i="133"/>
  <c r="D167" i="141"/>
  <c r="E167" i="141"/>
  <c r="D219" i="141"/>
  <c r="D160" i="141"/>
  <c r="D254" i="141"/>
  <c r="E254" i="141"/>
  <c r="E281" i="141"/>
  <c r="D196" i="141"/>
  <c r="E196" i="141"/>
  <c r="D247" i="141"/>
  <c r="E282" i="141"/>
  <c r="E330" i="133"/>
  <c r="D221" i="141"/>
  <c r="E195" i="141"/>
  <c r="E104" i="141"/>
  <c r="E132" i="141"/>
  <c r="E260" i="133"/>
  <c r="E21" i="141"/>
  <c r="E166" i="141"/>
  <c r="E194" i="141"/>
  <c r="D218" i="141"/>
  <c r="D246" i="141"/>
  <c r="D251" i="141"/>
  <c r="E251" i="141"/>
  <c r="E280" i="141"/>
  <c r="E256" i="133"/>
  <c r="E257" i="133"/>
  <c r="E259" i="133"/>
  <c r="E255" i="133"/>
  <c r="E165" i="141"/>
  <c r="E204" i="141"/>
  <c r="D217" i="141"/>
  <c r="D245" i="141"/>
  <c r="D283" i="141"/>
  <c r="E283" i="141"/>
  <c r="E130" i="141"/>
  <c r="E133" i="141"/>
  <c r="E108" i="133"/>
  <c r="D192" i="141"/>
  <c r="D187" i="141"/>
  <c r="D249" i="141"/>
  <c r="E164" i="133"/>
  <c r="E170" i="133"/>
  <c r="E134" i="141"/>
  <c r="E100" i="141"/>
  <c r="E25" i="141"/>
  <c r="E24" i="141"/>
  <c r="E26" i="141"/>
  <c r="D191" i="141"/>
  <c r="D188" i="141"/>
  <c r="D220" i="141"/>
  <c r="D216" i="141"/>
  <c r="D193" i="141"/>
  <c r="E193" i="141"/>
  <c r="D248" i="141"/>
  <c r="D189" i="141"/>
  <c r="D250" i="141"/>
  <c r="E293" i="133"/>
  <c r="D157" i="141"/>
  <c r="E160" i="141"/>
  <c r="E292" i="133"/>
  <c r="E287" i="133"/>
  <c r="E321" i="133"/>
  <c r="E322" i="133"/>
  <c r="E319" i="133"/>
  <c r="E290" i="133"/>
  <c r="E288" i="133"/>
  <c r="E291" i="133"/>
  <c r="E324" i="133"/>
  <c r="E320" i="133"/>
  <c r="D273" i="141"/>
  <c r="E273" i="141"/>
  <c r="D244" i="141"/>
  <c r="E245" i="141"/>
  <c r="E163" i="141"/>
  <c r="E158" i="141"/>
  <c r="E159" i="141"/>
  <c r="E162" i="141"/>
  <c r="E161" i="141"/>
  <c r="E157" i="141"/>
  <c r="D215" i="141"/>
  <c r="E220" i="141"/>
  <c r="D186" i="141"/>
  <c r="E187" i="141"/>
  <c r="E248" i="141"/>
  <c r="E246" i="141"/>
  <c r="E244" i="141"/>
  <c r="E247" i="141"/>
  <c r="E276" i="141"/>
  <c r="E249" i="141"/>
  <c r="E250" i="141"/>
  <c r="E278" i="141"/>
  <c r="E192" i="141"/>
  <c r="E277" i="141"/>
  <c r="E279" i="141"/>
  <c r="E274" i="141"/>
  <c r="E275" i="141"/>
  <c r="E189" i="141"/>
  <c r="E186" i="141"/>
  <c r="E190" i="141"/>
  <c r="E215" i="141"/>
  <c r="E218" i="141"/>
  <c r="E219" i="141"/>
  <c r="E217" i="141"/>
  <c r="E221" i="141"/>
  <c r="E188" i="141"/>
  <c r="E216" i="141"/>
  <c r="E191" i="141"/>
</calcChain>
</file>

<file path=xl/sharedStrings.xml><?xml version="1.0" encoding="utf-8"?>
<sst xmlns="http://schemas.openxmlformats.org/spreadsheetml/2006/main" count="2238" uniqueCount="352">
  <si>
    <t>CABG</t>
  </si>
  <si>
    <t>AVR</t>
  </si>
  <si>
    <t>1 V</t>
  </si>
  <si>
    <t>1 Pl</t>
  </si>
  <si>
    <t>ERASME</t>
  </si>
  <si>
    <t>CHIREC</t>
  </si>
  <si>
    <t>EPICURA</t>
  </si>
  <si>
    <t>NIVELLES</t>
  </si>
  <si>
    <t>Mois</t>
  </si>
  <si>
    <t>Nom</t>
  </si>
  <si>
    <t>Référence</t>
  </si>
  <si>
    <t>D/naissance</t>
  </si>
  <si>
    <t>Age</t>
  </si>
  <si>
    <t>Référant</t>
  </si>
  <si>
    <t>Lieu activité</t>
  </si>
  <si>
    <t>Chirurgien</t>
  </si>
  <si>
    <t>Sexe</t>
  </si>
  <si>
    <t>D/opératoire</t>
  </si>
  <si>
    <t>Intervention</t>
  </si>
  <si>
    <t>Lés. cor.</t>
  </si>
  <si>
    <t>Type RC</t>
  </si>
  <si>
    <t>Marque V</t>
  </si>
  <si>
    <t>Type V</t>
  </si>
  <si>
    <t>Taille V</t>
  </si>
  <si>
    <t>Nbr de j USI</t>
  </si>
  <si>
    <t>Date de sortie</t>
  </si>
  <si>
    <t>Nbr de j hospi</t>
  </si>
  <si>
    <t>Alive</t>
  </si>
  <si>
    <t>Destination</t>
  </si>
  <si>
    <t>RDV postop</t>
  </si>
  <si>
    <t>Postopt imm</t>
  </si>
  <si>
    <t>Statut 1</t>
  </si>
  <si>
    <t>Commentaires</t>
  </si>
  <si>
    <t>postop loint</t>
  </si>
  <si>
    <t>Statut 2</t>
  </si>
  <si>
    <t>ERASME CARDIO</t>
  </si>
  <si>
    <t>ERASME URGENCES</t>
  </si>
  <si>
    <t>CHIREC BASILIQUE</t>
  </si>
  <si>
    <t>ERASME MI</t>
  </si>
  <si>
    <t>CHR HAUTE SENNE</t>
  </si>
  <si>
    <t>BHC OTTIGNIES</t>
  </si>
  <si>
    <t>ERASME VASCULAIRE</t>
  </si>
  <si>
    <t>BRACOPS</t>
  </si>
  <si>
    <t>ERASME ETRANGER</t>
  </si>
  <si>
    <t>ERASME CHIR CAR</t>
  </si>
  <si>
    <t>LVAD</t>
  </si>
  <si>
    <t>ERASME USI</t>
  </si>
  <si>
    <t>CHIREC PARC LEOPOLD</t>
  </si>
  <si>
    <t>CHWAPI TOURNAI</t>
  </si>
  <si>
    <t>PATIENT</t>
  </si>
  <si>
    <t>MT</t>
  </si>
  <si>
    <t>CHIREC EDITH CAVELL</t>
  </si>
  <si>
    <t>ERASME PNEUMO</t>
  </si>
  <si>
    <t>CHIREC BRAINE</t>
  </si>
  <si>
    <t>EPICURA HORNU</t>
  </si>
  <si>
    <t>EPICURA ATH</t>
  </si>
  <si>
    <t>CABG + 1V</t>
  </si>
  <si>
    <t>2 V ou plus</t>
  </si>
  <si>
    <t>Autre</t>
  </si>
  <si>
    <t>Cause réhospit</t>
  </si>
  <si>
    <t>Intervention-activité</t>
  </si>
  <si>
    <t>valves - activité</t>
  </si>
  <si>
    <t>TVP</t>
  </si>
  <si>
    <t>MVP</t>
  </si>
  <si>
    <t>MVR</t>
  </si>
  <si>
    <t>Aorte</t>
  </si>
  <si>
    <t>T &lt;24 - nb trans</t>
  </si>
  <si>
    <t>T &gt;24 h - nb trans</t>
  </si>
  <si>
    <t>Date révision</t>
  </si>
  <si>
    <t>Révision &lt; 24h</t>
  </si>
  <si>
    <t>Réhosp.</t>
  </si>
  <si>
    <t>Réhosp.&lt; 30 j</t>
  </si>
  <si>
    <t>TVR</t>
  </si>
  <si>
    <t>CT</t>
  </si>
  <si>
    <t>Inf p.op</t>
  </si>
  <si>
    <t>Transfu &lt;24 h</t>
  </si>
  <si>
    <t>Transfu &gt;24 h</t>
  </si>
  <si>
    <t>Retour salle</t>
  </si>
  <si>
    <t>Nombre de Intervention</t>
  </si>
  <si>
    <t>Nombre de valves - activité</t>
  </si>
  <si>
    <t>Nombre de valves - activité2</t>
  </si>
  <si>
    <t>% TOTAL</t>
  </si>
  <si>
    <t>Provenance</t>
  </si>
  <si>
    <t>Moyenne de Nbr de j USI</t>
  </si>
  <si>
    <t>Exclu "LVAD" &amp; "TX"</t>
  </si>
  <si>
    <t>Exclu J &lt; = 0</t>
  </si>
  <si>
    <t>filtre à contrôler</t>
  </si>
  <si>
    <t>Valeurs</t>
  </si>
  <si>
    <t>Écartype de Nbr de j USI</t>
  </si>
  <si>
    <t xml:space="preserve"> "LVAD" &amp; "TX"</t>
  </si>
  <si>
    <t>Moyenne de Nbr de j hospi</t>
  </si>
  <si>
    <t>Nombre de Révision &lt; 24h</t>
  </si>
  <si>
    <t>Nombre de Réhosp.&lt; 30 j</t>
  </si>
  <si>
    <t>Inf p.op_RV</t>
  </si>
  <si>
    <t>Transfu &lt;24 h_RV</t>
  </si>
  <si>
    <t>Transfu &gt;24 h_RV</t>
  </si>
  <si>
    <t>Révision &lt; 24h_RV</t>
  </si>
  <si>
    <t>Réhosp.&lt; 30 j_RV</t>
  </si>
  <si>
    <t>Nombre de Alive</t>
  </si>
  <si>
    <t>Nbr de j USI_RV</t>
  </si>
  <si>
    <t>TOUTES</t>
  </si>
  <si>
    <t>Nbr de j hospi_RV</t>
  </si>
  <si>
    <t>Écartype de Nbr de j hospi</t>
  </si>
  <si>
    <t>Nombre de Révision &lt; 24h_RV</t>
  </si>
  <si>
    <t>Nombre de Réhosp.&lt; 30 j_RV</t>
  </si>
  <si>
    <t>Somme de T &gt;24 h - nb trans</t>
  </si>
  <si>
    <t>Moyenne de T &gt;24 h - nb trans</t>
  </si>
  <si>
    <t>Nb moy de tranfusions/tranfusé</t>
  </si>
  <si>
    <t>Somme de T &lt;24 - nb trans</t>
  </si>
  <si>
    <t>Moyenne de T &lt;24 - nb trans</t>
  </si>
  <si>
    <t>Quantité de réhosp &lt; 30j</t>
  </si>
  <si>
    <t>% de réhosp &lt; 30j</t>
  </si>
  <si>
    <t>Quantité d'infections sur l'ensemble des patients</t>
  </si>
  <si>
    <t>% d'infections sur l'ensemble des patients</t>
  </si>
  <si>
    <t>Quantité de transfusés &lt;24h et nb de transfusions sur l'ensemble des patients</t>
  </si>
  <si>
    <t>% de transfusés &gt;24h et moyenne de transfusions sur l'ensemble des patients</t>
  </si>
  <si>
    <t>Lieu-Regroup</t>
  </si>
  <si>
    <t>Lieu activité_Groupe</t>
  </si>
  <si>
    <t>Transfu_RV</t>
  </si>
  <si>
    <t>Transfu_Total_RV</t>
  </si>
  <si>
    <t>Nombre de Transfu_RV</t>
  </si>
  <si>
    <t>Somme de Transfu_Total_RV</t>
  </si>
  <si>
    <t>Quantité de transfusés total et nb de transfusions sur l'ensemble des patients</t>
  </si>
  <si>
    <t>% de transfusés total et moyenne de transfusions sur l'ensemble des patients</t>
  </si>
  <si>
    <t>Moyenne de Transfu_Total_RV</t>
  </si>
  <si>
    <t>Max de Nbr de j USI_RV</t>
  </si>
  <si>
    <t>Min de Nbr de j USI_RV</t>
  </si>
  <si>
    <t>Min de Nbr de j USI_RV2</t>
  </si>
  <si>
    <t>Max de Nbr de j USI_RV2</t>
  </si>
  <si>
    <t>Écartype de Nbr de j USI_RV</t>
  </si>
  <si>
    <t>Période</t>
  </si>
  <si>
    <t>Médiane de Nbr de j hospi</t>
  </si>
  <si>
    <t>Nbr de j hospi_Hors_RV</t>
  </si>
  <si>
    <t>Nbr de j hospi_LVAD-TX_RV</t>
  </si>
  <si>
    <t>2=&gt;26</t>
  </si>
  <si>
    <t>lignes</t>
  </si>
  <si>
    <t>Nbr de j USI_Hors_RV</t>
  </si>
  <si>
    <t>Nbr de j USI_LVAD-TX_RV</t>
  </si>
  <si>
    <t>Min de Nbr de j hospi_RV</t>
  </si>
  <si>
    <t>Max de Nbr de j hospi_RV</t>
  </si>
  <si>
    <t>Max de Nbr de j hospi_RV2</t>
  </si>
  <si>
    <t>Redo</t>
  </si>
  <si>
    <t>Révision &gt;24h</t>
  </si>
  <si>
    <t>Service de Chirurgie Cardiaque -Hôpital ERASME</t>
  </si>
  <si>
    <t>Nbre</t>
  </si>
  <si>
    <t>%</t>
  </si>
  <si>
    <t>Nbre CABG</t>
  </si>
  <si>
    <t>Nbre Valves/type</t>
  </si>
  <si>
    <t>2 V ou +</t>
  </si>
  <si>
    <t>Nbre Décès</t>
  </si>
  <si>
    <t>Moyenne jours d'USI (hors LVAD et TX)</t>
  </si>
  <si>
    <t>HTX</t>
  </si>
  <si>
    <t>Nbre LVAD-HTX</t>
  </si>
  <si>
    <t>T total</t>
  </si>
  <si>
    <t>Nbre Aorte</t>
  </si>
  <si>
    <t>ERASME NEURO</t>
  </si>
  <si>
    <t>Quantité de transfusés &gt;24h et nb de transfusions  HORS  LVAD-HTX</t>
  </si>
  <si>
    <t>Quantité de transfusés &gt;24h et nb de transfusions  LVAD-HTX</t>
  </si>
  <si>
    <t>Quantité de transfusés &gt;24h et nb de transfusions TOUS</t>
  </si>
  <si>
    <t>Quantité de transfusés &lt;24h et nb de transfusions LVAD-HTX</t>
  </si>
  <si>
    <t>Quantité de transfusés &lt;24h et nb de transfusions  Hors LVAD-HTX</t>
  </si>
  <si>
    <t>Quantité de transfusés &lt;24h et nb de transfusions TOUS</t>
  </si>
  <si>
    <t>Nbre de transfusion totale TOUS</t>
  </si>
  <si>
    <t>Nbre de transfusion totale HORS LVAD-HTX</t>
  </si>
  <si>
    <t>TOUT</t>
  </si>
  <si>
    <t>HORS "LVAD" &amp; "TX"</t>
  </si>
  <si>
    <t>HORS LVAD-TX</t>
  </si>
  <si>
    <t>Moyenne jours d'hospit (hors LVAD et TX)</t>
  </si>
  <si>
    <t>Nbre Reprise &lt;24h</t>
  </si>
  <si>
    <t>Nbre Reprise  &lt;24h</t>
  </si>
  <si>
    <t>% de transfusés &lt;48h et moyenne de transfusions sur l'ensemble des patients</t>
  </si>
  <si>
    <t>Quantité de transfusés &gt;48h et nb de transfusions  HORS  LVAD-HTX</t>
  </si>
  <si>
    <t>Quantité de transfusés &gt;48h et nb de transfusions TOUS</t>
  </si>
  <si>
    <t>Quantité de transfusés &gt;48h et nb de transfusions  LVAD-HTX</t>
  </si>
  <si>
    <t>LOTHIER</t>
  </si>
  <si>
    <t>2=&gt;25</t>
  </si>
  <si>
    <t>Nbre Patients</t>
  </si>
  <si>
    <t>Rapport d'activité annuel</t>
  </si>
  <si>
    <t>Nbre de transfusion totale LVAD-HTX</t>
  </si>
  <si>
    <t>% de transfusion totale HORS LVAD-HTX</t>
  </si>
  <si>
    <t>Nbre CABG+Valves</t>
  </si>
  <si>
    <t>Nbre "Autres"</t>
  </si>
  <si>
    <t>ADAPTER LES LIGNES DE MOIS!!!</t>
  </si>
  <si>
    <t>ADAPTER LIGNES DU MOIS</t>
  </si>
  <si>
    <t xml:space="preserve">Nbre Interventions  </t>
  </si>
  <si>
    <t>intervention-valves</t>
  </si>
  <si>
    <t>Nombre de Référence</t>
  </si>
  <si>
    <t>Nb de lignes non vides - (ligne1, ligne 3)</t>
  </si>
  <si>
    <t>Filtrer sur les mois concernés</t>
  </si>
  <si>
    <t>Étiquettes de lignes</t>
  </si>
  <si>
    <t>(vide)</t>
  </si>
  <si>
    <t>(Plusieurs éléments)</t>
  </si>
  <si>
    <t>Total général</t>
  </si>
  <si>
    <t>(Tous)</t>
  </si>
  <si>
    <t>Étiquettes de colonnes</t>
  </si>
  <si>
    <t>HT</t>
  </si>
  <si>
    <t>Cardiogéria</t>
  </si>
  <si>
    <t>Nombre de HT</t>
  </si>
  <si>
    <t>Disc HT</t>
  </si>
  <si>
    <t>Nombre de Cardiogéria</t>
  </si>
  <si>
    <t>Nombre de patients cardio gériatriques</t>
  </si>
  <si>
    <t>%  de patients cardio gériatriques</t>
  </si>
  <si>
    <t>Nbre de patients de 80 ans et +</t>
  </si>
  <si>
    <t>Nbre Patients 80 ans et +</t>
  </si>
  <si>
    <t>Nombre de Référant</t>
  </si>
  <si>
    <t>26/</t>
  </si>
  <si>
    <t>HTX-LVAD</t>
  </si>
  <si>
    <t>AVC</t>
  </si>
  <si>
    <t>IM</t>
  </si>
  <si>
    <t>MARS</t>
  </si>
  <si>
    <t>AVRIL</t>
  </si>
  <si>
    <t>MAI</t>
  </si>
  <si>
    <t>JANVIER</t>
  </si>
  <si>
    <t>FEVRIER</t>
  </si>
  <si>
    <t>Janvier -Décembre 2017</t>
  </si>
  <si>
    <t xml:space="preserve"> 2017</t>
  </si>
  <si>
    <t>Janvier -Novembre 2017</t>
  </si>
  <si>
    <t>Janvier -octobre 2017</t>
  </si>
  <si>
    <t>Janvier -Septembre 2017</t>
  </si>
  <si>
    <t>Décès</t>
  </si>
  <si>
    <t>Nbre de patients opérés discutés en HT</t>
  </si>
  <si>
    <t>Nbre Patients infectés (hors LVAD et TX )</t>
  </si>
  <si>
    <t>Nbre Patients transfusés (hors LVAD et TX)</t>
  </si>
  <si>
    <t>Moyenne de transfusions / patient tr, (hors LVAD et TX)</t>
  </si>
  <si>
    <t>HORS LVAD ET TX ()</t>
  </si>
  <si>
    <t>Janvier -Aout 2017</t>
  </si>
  <si>
    <t>Janvier -Juillet 2017</t>
  </si>
  <si>
    <t>Janvier -Juin 2017</t>
  </si>
  <si>
    <t>Janvier -Mai 2017</t>
  </si>
  <si>
    <t>Janvier -Avril 2017</t>
  </si>
  <si>
    <t>Janvier Mars 2017</t>
  </si>
  <si>
    <t>Janvier - Février 2017</t>
  </si>
  <si>
    <t>janv</t>
  </si>
  <si>
    <t>NON</t>
  </si>
  <si>
    <t>Y</t>
  </si>
  <si>
    <t>GASSAVELIS</t>
  </si>
  <si>
    <t>MENASSEL</t>
  </si>
  <si>
    <t>ABDESSATER</t>
  </si>
  <si>
    <t>CABG + V</t>
  </si>
  <si>
    <t>NAJEM</t>
  </si>
  <si>
    <t>ZENAGUI</t>
  </si>
  <si>
    <t>Transfusé</t>
  </si>
  <si>
    <t>CHU CHARLEROI</t>
  </si>
  <si>
    <t>KHOUZAM</t>
  </si>
  <si>
    <t>DEPAEPE</t>
  </si>
  <si>
    <t>ST-PIERRE</t>
  </si>
  <si>
    <t>N</t>
  </si>
  <si>
    <t>MED INT</t>
  </si>
  <si>
    <t>ERASME MED INT</t>
  </si>
  <si>
    <t>JAMART</t>
  </si>
  <si>
    <t>Contrôle</t>
  </si>
  <si>
    <t>FÉVRIER</t>
  </si>
  <si>
    <t xml:space="preserve">JANVIER </t>
  </si>
  <si>
    <t>JUIN</t>
  </si>
  <si>
    <t>JUILLET</t>
  </si>
  <si>
    <t>AOÛT</t>
  </si>
  <si>
    <t>SEPTEMBRE</t>
  </si>
  <si>
    <t>OCTOBRE</t>
  </si>
  <si>
    <t>NOVEMBRE</t>
  </si>
  <si>
    <t>DÉCEMBRE</t>
  </si>
  <si>
    <t>Rapport d'activité mensuel</t>
  </si>
  <si>
    <t>GREGOIRE</t>
  </si>
  <si>
    <t>Référent</t>
  </si>
  <si>
    <t>CREPLET</t>
  </si>
  <si>
    <t>VAD</t>
  </si>
  <si>
    <t>ERASME VAD</t>
  </si>
  <si>
    <t>hors vad et htx</t>
  </si>
  <si>
    <t>hors vad et tx</t>
  </si>
  <si>
    <t>adapter lignes</t>
  </si>
  <si>
    <t>s nbre pat</t>
  </si>
  <si>
    <t>HORS LVAD et HTX</t>
  </si>
  <si>
    <t>ERASME GERIATRIE</t>
  </si>
  <si>
    <t>CAILLEAU</t>
  </si>
  <si>
    <t>AMBROISE PARE</t>
  </si>
  <si>
    <t>ST PIERRE</t>
  </si>
  <si>
    <t>BRAD</t>
  </si>
  <si>
    <t>ST-LUC</t>
  </si>
  <si>
    <t>VALIDA</t>
  </si>
  <si>
    <t>AVC_RV</t>
  </si>
  <si>
    <t>Nombre de AVC_RV</t>
  </si>
  <si>
    <t>IM_RV</t>
  </si>
  <si>
    <t>Nombre de IM_RV</t>
  </si>
  <si>
    <t>AOUT</t>
  </si>
  <si>
    <t>HORS LVAD HTX</t>
  </si>
  <si>
    <t>Aucun</t>
  </si>
  <si>
    <t>Nbre Evénement cérébral post op (Hors LVAD et HTX)</t>
  </si>
  <si>
    <t>Nbre Evénement cérébral post op (hors LVAD et TX)</t>
  </si>
  <si>
    <t>Nbre d'intervention</t>
  </si>
  <si>
    <t>Interventions 2017</t>
  </si>
  <si>
    <t>VISEUR</t>
  </si>
  <si>
    <t>Délai intervention</t>
  </si>
  <si>
    <t>DCD Délai d'intervention</t>
  </si>
  <si>
    <t>UZ JETTE</t>
  </si>
  <si>
    <t>Valve</t>
  </si>
  <si>
    <t>LVAD/HTX</t>
  </si>
  <si>
    <t>Intervention-activité par type</t>
  </si>
  <si>
    <t>Nombre de Intervention-activité par type</t>
  </si>
  <si>
    <t>NBRE INTERVENTION STAT</t>
  </si>
  <si>
    <t>NBRE INTERVENTION  INTRANET</t>
  </si>
  <si>
    <t>CABG + V, &gt;1 V</t>
  </si>
  <si>
    <t>Intervention Comparatif</t>
  </si>
  <si>
    <t>=SI(AM2=1;"ELECTIVE"; &amp; SI(AM2=2;URGENCY; &amp; SI(AM2=3;EMERGENCY; &amp; SI (AM2=4;SALVAGE;" "))))</t>
  </si>
  <si>
    <t>ST-MICHEL</t>
  </si>
  <si>
    <t>GLOBAL</t>
  </si>
  <si>
    <t>CABG + 2 V</t>
  </si>
  <si>
    <t>Nbre Décès (tous délais d'intervention)</t>
  </si>
  <si>
    <t>Médiane de Nbr de j USI</t>
  </si>
  <si>
    <t>DECEMBRE</t>
  </si>
  <si>
    <t>Nombre</t>
  </si>
  <si>
    <t>ALIVE</t>
  </si>
  <si>
    <t>DECEASED</t>
  </si>
  <si>
    <t>Tableau avec courbe de tendance</t>
  </si>
  <si>
    <t>onglet disposition de l'outils graphique</t>
  </si>
  <si>
    <t>Sparline : insertion , courbe d'évolution , sélectionner</t>
  </si>
  <si>
    <t>???</t>
  </si>
  <si>
    <t>????</t>
  </si>
  <si>
    <t>CHIREC EDITH</t>
  </si>
  <si>
    <t>CHIREC PARC</t>
  </si>
  <si>
    <t>CHIREC STE ANNE</t>
  </si>
  <si>
    <t>CHR Citadelle</t>
  </si>
  <si>
    <t>CHR HUY</t>
  </si>
  <si>
    <t>CHU Liège</t>
  </si>
  <si>
    <t>EPICURA BAUDOUR</t>
  </si>
  <si>
    <t>ERASME GASTRO</t>
  </si>
  <si>
    <t>LIEGE</t>
  </si>
  <si>
    <t>intervention valve</t>
  </si>
  <si>
    <t>intervention activité</t>
  </si>
  <si>
    <t xml:space="preserve"> intervention activité par type</t>
  </si>
  <si>
    <t xml:space="preserve"> valve activité</t>
  </si>
  <si>
    <t>Lieu activité2</t>
  </si>
  <si>
    <t>Nom3</t>
  </si>
  <si>
    <t>Commentaires4</t>
  </si>
  <si>
    <t>délai intervention5</t>
  </si>
  <si>
    <t>Inf p.op_RV6</t>
  </si>
  <si>
    <t>Transfu &gt;24 h_RV8</t>
  </si>
  <si>
    <t xml:space="preserve"> </t>
  </si>
  <si>
    <t>HAGE</t>
  </si>
  <si>
    <t>CHAPELLE</t>
  </si>
  <si>
    <t>Transfu &lt;24 h_RV7</t>
  </si>
  <si>
    <t>ELECTIVE</t>
  </si>
  <si>
    <t>EMERGENCY</t>
  </si>
  <si>
    <t>SALVAGE</t>
  </si>
  <si>
    <t>URGENCY</t>
  </si>
  <si>
    <t>Nombre de délai intervention5</t>
  </si>
  <si>
    <t>Nombre de Inf p.op_RV6</t>
  </si>
  <si>
    <t>Nombre de Transfu &gt;24 h_RV8</t>
  </si>
  <si>
    <t>Nombre de Transfu &lt;24 h_RV7</t>
  </si>
  <si>
    <t xml:space="preserve">HORS </t>
  </si>
  <si>
    <t>Nombre de Délai intervention</t>
  </si>
  <si>
    <t>POLY ENGHIEN</t>
  </si>
  <si>
    <t>SARTIEAUX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</si>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</sst>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/mm/yyyy;@"/>
    <numFmt numFmtId="165" formatCode="0.0"/>
    <numFmt numFmtId="166" formatCode="0.0%"/>
    <numFmt numFmtId="167" formatCode="#,##0.0"/>
  </numFmts>
  <fonts count="3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C00000"/>
      <name val="Arial"/>
      <family val="2"/>
    </font>
    <font>
      <sz val="11"/>
      <color theme="1"/>
      <name val="Arial"/>
      <family val="2"/>
    </font>
    <font>
      <b/>
      <sz val="11"/>
      <color rgb="FFFFFF00"/>
      <name val="Calibri"/>
      <family val="2"/>
      <scheme val="minor"/>
    </font>
    <font>
      <b/>
      <sz val="8"/>
      <color rgb="FFFFFF66"/>
      <name val="Arial"/>
      <family val="2"/>
    </font>
    <font>
      <sz val="10"/>
      <color rgb="FFFFFF66"/>
      <name val="Arial"/>
      <family val="2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FF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rgb="FFFFFF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0"/>
      <color rgb="FFFFFF66"/>
      <name val="Arial"/>
      <family val="2"/>
    </font>
    <font>
      <sz val="10"/>
      <color rgb="FFFF0000"/>
      <name val="Arial"/>
      <family val="2"/>
    </font>
    <font>
      <sz val="10"/>
      <color rgb="FFC00000"/>
      <name val="Arial"/>
      <family val="2"/>
    </font>
    <font>
      <sz val="14"/>
      <color theme="1"/>
      <name val="Calibri"/>
      <family val="2"/>
      <scheme val="minor"/>
    </font>
    <font>
      <sz val="10"/>
      <color theme="9" tint="-0.249977111117893"/>
      <name val="Arial"/>
      <family val="2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0"/>
      <color rgb="FFFFFF66"/>
      <name val="Arial"/>
      <family val="2"/>
    </font>
    <font>
      <sz val="1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theme="6" tint="-0.249977111117893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0.79998168889431442"/>
      </top>
      <bottom style="thin">
        <color theme="5" tint="0.79998168889431442"/>
      </bottom>
      <diagonal/>
    </border>
    <border>
      <left/>
      <right/>
      <top/>
      <bottom style="thin">
        <color theme="6" tint="-0.249977111117893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9" fontId="12" fillId="0" borderId="0" applyFont="0" applyFill="0" applyBorder="0" applyAlignment="0" applyProtection="0"/>
  </cellStyleXfs>
  <cellXfs count="331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pivotButton="1"/>
    <xf numFmtId="0" fontId="0" fillId="0" borderId="0" xfId="0" applyNumberFormat="1"/>
    <xf numFmtId="4" fontId="0" fillId="0" borderId="0" xfId="0" applyNumberFormat="1"/>
    <xf numFmtId="0" fontId="6" fillId="8" borderId="0" xfId="0" applyFont="1" applyFill="1"/>
    <xf numFmtId="10" fontId="0" fillId="0" borderId="0" xfId="0" applyNumberFormat="1"/>
    <xf numFmtId="0" fontId="8" fillId="8" borderId="1" xfId="0" applyFont="1" applyFill="1" applyBorder="1" applyAlignment="1">
      <alignment horizontal="center"/>
    </xf>
    <xf numFmtId="0" fontId="9" fillId="7" borderId="0" xfId="0" applyFont="1" applyFill="1"/>
    <xf numFmtId="0" fontId="9" fillId="0" borderId="0" xfId="0" applyFont="1" applyFill="1" applyAlignment="1">
      <alignment horizontal="center"/>
    </xf>
    <xf numFmtId="0" fontId="10" fillId="0" borderId="1" xfId="0" applyFont="1" applyBorder="1"/>
    <xf numFmtId="0" fontId="2" fillId="0" borderId="3" xfId="0" applyFont="1" applyBorder="1" applyAlignment="1">
      <alignment horizontal="left"/>
    </xf>
    <xf numFmtId="0" fontId="0" fillId="12" borderId="0" xfId="0" applyFill="1" applyAlignment="1">
      <alignment horizontal="center"/>
    </xf>
    <xf numFmtId="0" fontId="0" fillId="12" borderId="0" xfId="0" applyFill="1" applyAlignment="1">
      <alignment horizontal="center" wrapText="1"/>
    </xf>
    <xf numFmtId="2" fontId="0" fillId="0" borderId="1" xfId="0" applyNumberFormat="1" applyBorder="1"/>
    <xf numFmtId="0" fontId="6" fillId="8" borderId="0" xfId="0" applyFont="1" applyFill="1" applyAlignment="1">
      <alignment horizontal="center"/>
    </xf>
    <xf numFmtId="0" fontId="6" fillId="0" borderId="0" xfId="0" applyFont="1" applyFill="1"/>
    <xf numFmtId="49" fontId="15" fillId="0" borderId="0" xfId="0" applyNumberFormat="1" applyFont="1" applyAlignment="1">
      <alignment horizontal="center"/>
    </xf>
    <xf numFmtId="49" fontId="15" fillId="0" borderId="0" xfId="0" applyNumberFormat="1" applyFont="1" applyAlignment="1"/>
    <xf numFmtId="0" fontId="13" fillId="0" borderId="11" xfId="0" applyFont="1" applyBorder="1"/>
    <xf numFmtId="0" fontId="13" fillId="0" borderId="15" xfId="0" applyFont="1" applyBorder="1"/>
    <xf numFmtId="0" fontId="13" fillId="0" borderId="16" xfId="0" applyFont="1" applyBorder="1"/>
    <xf numFmtId="0" fontId="0" fillId="0" borderId="24" xfId="0" applyBorder="1"/>
    <xf numFmtId="0" fontId="0" fillId="0" borderId="23" xfId="0" applyBorder="1"/>
    <xf numFmtId="0" fontId="14" fillId="14" borderId="0" xfId="0" applyFont="1" applyFill="1" applyBorder="1" applyAlignment="1"/>
    <xf numFmtId="49" fontId="15" fillId="14" borderId="0" xfId="0" applyNumberFormat="1" applyFont="1" applyFill="1" applyBorder="1" applyAlignment="1"/>
    <xf numFmtId="0" fontId="13" fillId="14" borderId="12" xfId="0" applyFont="1" applyFill="1" applyBorder="1"/>
    <xf numFmtId="0" fontId="16" fillId="14" borderId="12" xfId="0" applyFont="1" applyFill="1" applyBorder="1"/>
    <xf numFmtId="0" fontId="16" fillId="14" borderId="31" xfId="0" applyFont="1" applyFill="1" applyBorder="1"/>
    <xf numFmtId="0" fontId="10" fillId="0" borderId="32" xfId="0" applyFont="1" applyBorder="1"/>
    <xf numFmtId="0" fontId="3" fillId="16" borderId="32" xfId="0" applyFont="1" applyFill="1" applyBorder="1" applyAlignment="1">
      <alignment horizontal="center"/>
    </xf>
    <xf numFmtId="0" fontId="3" fillId="16" borderId="3" xfId="0" applyFont="1" applyFill="1" applyBorder="1" applyAlignment="1">
      <alignment horizontal="center"/>
    </xf>
    <xf numFmtId="0" fontId="2" fillId="0" borderId="32" xfId="0" applyFont="1" applyBorder="1" applyAlignment="1">
      <alignment horizontal="left"/>
    </xf>
    <xf numFmtId="0" fontId="10" fillId="0" borderId="3" xfId="0" applyFont="1" applyBorder="1"/>
    <xf numFmtId="0" fontId="9" fillId="12" borderId="0" xfId="0" applyFont="1" applyFill="1" applyAlignment="1"/>
    <xf numFmtId="0" fontId="0" fillId="12" borderId="0" xfId="0" applyFill="1"/>
    <xf numFmtId="0" fontId="0" fillId="0" borderId="0" xfId="0" applyNumberFormat="1" applyFill="1"/>
    <xf numFmtId="0" fontId="0" fillId="18" borderId="0" xfId="0" applyFill="1"/>
    <xf numFmtId="9" fontId="0" fillId="0" borderId="21" xfId="3" applyFont="1" applyBorder="1"/>
    <xf numFmtId="0" fontId="13" fillId="13" borderId="17" xfId="0" applyFont="1" applyFill="1" applyBorder="1"/>
    <xf numFmtId="0" fontId="13" fillId="13" borderId="18" xfId="0" applyFont="1" applyFill="1" applyBorder="1"/>
    <xf numFmtId="0" fontId="0" fillId="0" borderId="34" xfId="0" applyBorder="1"/>
    <xf numFmtId="0" fontId="0" fillId="0" borderId="0" xfId="0"/>
    <xf numFmtId="0" fontId="13" fillId="0" borderId="12" xfId="0" applyFont="1" applyBorder="1"/>
    <xf numFmtId="0" fontId="13" fillId="0" borderId="13" xfId="0" applyFont="1" applyBorder="1"/>
    <xf numFmtId="0" fontId="13" fillId="0" borderId="14" xfId="0" applyFont="1" applyBorder="1"/>
    <xf numFmtId="0" fontId="13" fillId="0" borderId="7" xfId="0" applyFont="1" applyBorder="1"/>
    <xf numFmtId="0" fontId="13" fillId="0" borderId="0" xfId="0" applyFont="1" applyBorder="1"/>
    <xf numFmtId="0" fontId="13" fillId="0" borderId="17" xfId="0" applyFont="1" applyBorder="1"/>
    <xf numFmtId="0" fontId="13" fillId="0" borderId="18" xfId="0" applyFont="1" applyBorder="1"/>
    <xf numFmtId="0" fontId="13" fillId="0" borderId="9" xfId="0" applyFont="1" applyBorder="1"/>
    <xf numFmtId="0" fontId="13" fillId="0" borderId="10" xfId="0" applyFont="1" applyBorder="1"/>
    <xf numFmtId="0" fontId="13" fillId="0" borderId="19" xfId="0" applyFont="1" applyBorder="1"/>
    <xf numFmtId="0" fontId="13" fillId="0" borderId="20" xfId="0" applyFont="1" applyBorder="1"/>
    <xf numFmtId="0" fontId="0" fillId="0" borderId="21" xfId="0" applyBorder="1"/>
    <xf numFmtId="9" fontId="0" fillId="0" borderId="22" xfId="3" applyFont="1" applyBorder="1"/>
    <xf numFmtId="0" fontId="0" fillId="0" borderId="22" xfId="0" applyBorder="1"/>
    <xf numFmtId="0" fontId="0" fillId="0" borderId="26" xfId="0" applyBorder="1"/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13" fillId="0" borderId="31" xfId="0" applyFont="1" applyBorder="1"/>
    <xf numFmtId="0" fontId="13" fillId="13" borderId="15" xfId="0" applyFont="1" applyFill="1" applyBorder="1"/>
    <xf numFmtId="0" fontId="13" fillId="13" borderId="16" xfId="0" applyFont="1" applyFill="1" applyBorder="1"/>
    <xf numFmtId="0" fontId="13" fillId="13" borderId="11" xfId="0" applyFont="1" applyFill="1" applyBorder="1"/>
    <xf numFmtId="0" fontId="13" fillId="13" borderId="12" xfId="0" applyFont="1" applyFill="1" applyBorder="1"/>
    <xf numFmtId="0" fontId="13" fillId="13" borderId="13" xfId="0" applyFont="1" applyFill="1" applyBorder="1"/>
    <xf numFmtId="0" fontId="13" fillId="13" borderId="14" xfId="0" applyFont="1" applyFill="1" applyBorder="1"/>
    <xf numFmtId="0" fontId="13" fillId="13" borderId="7" xfId="0" applyFont="1" applyFill="1" applyBorder="1"/>
    <xf numFmtId="0" fontId="13" fillId="13" borderId="0" xfId="0" applyFont="1" applyFill="1" applyBorder="1"/>
    <xf numFmtId="0" fontId="0" fillId="14" borderId="26" xfId="0" applyFill="1" applyBorder="1"/>
    <xf numFmtId="0" fontId="13" fillId="13" borderId="31" xfId="0" applyFont="1" applyFill="1" applyBorder="1"/>
    <xf numFmtId="0" fontId="13" fillId="13" borderId="38" xfId="0" applyFont="1" applyFill="1" applyBorder="1"/>
    <xf numFmtId="0" fontId="13" fillId="13" borderId="8" xfId="0" applyFont="1" applyFill="1" applyBorder="1"/>
    <xf numFmtId="9" fontId="0" fillId="0" borderId="22" xfId="3" applyFont="1" applyBorder="1" applyAlignment="1">
      <alignment horizontal="left"/>
    </xf>
    <xf numFmtId="0" fontId="0" fillId="0" borderId="26" xfId="0" applyBorder="1" applyAlignment="1">
      <alignment horizontal="left"/>
    </xf>
    <xf numFmtId="0" fontId="0" fillId="11" borderId="0" xfId="0" applyFill="1"/>
    <xf numFmtId="0" fontId="0" fillId="11" borderId="0" xfId="0" applyFill="1" applyAlignment="1">
      <alignment horizontal="left"/>
    </xf>
    <xf numFmtId="0" fontId="0" fillId="11" borderId="0" xfId="0" applyNumberFormat="1" applyFill="1"/>
    <xf numFmtId="10" fontId="0" fillId="11" borderId="0" xfId="0" applyNumberFormat="1" applyFill="1"/>
    <xf numFmtId="4" fontId="0" fillId="11" borderId="0" xfId="0" applyNumberFormat="1" applyFill="1"/>
    <xf numFmtId="0" fontId="0" fillId="11" borderId="1" xfId="0" applyFill="1" applyBorder="1"/>
    <xf numFmtId="2" fontId="0" fillId="11" borderId="1" xfId="0" applyNumberFormat="1" applyFill="1" applyBorder="1"/>
    <xf numFmtId="0" fontId="20" fillId="11" borderId="0" xfId="0" applyFont="1" applyFill="1"/>
    <xf numFmtId="0" fontId="17" fillId="11" borderId="0" xfId="0" applyFont="1" applyFill="1"/>
    <xf numFmtId="0" fontId="17" fillId="11" borderId="0" xfId="0" applyFont="1" applyFill="1" applyAlignment="1">
      <alignment horizontal="center"/>
    </xf>
    <xf numFmtId="0" fontId="17" fillId="11" borderId="0" xfId="0" applyFont="1" applyFill="1" applyAlignment="1">
      <alignment horizontal="center" wrapText="1"/>
    </xf>
    <xf numFmtId="0" fontId="17" fillId="11" borderId="0" xfId="0" applyFont="1" applyFill="1" applyBorder="1"/>
    <xf numFmtId="0" fontId="17" fillId="11" borderId="39" xfId="0" applyFont="1" applyFill="1" applyBorder="1"/>
    <xf numFmtId="0" fontId="19" fillId="19" borderId="0" xfId="0" applyFont="1" applyFill="1"/>
    <xf numFmtId="0" fontId="19" fillId="13" borderId="0" xfId="0" applyFont="1" applyFill="1"/>
    <xf numFmtId="0" fontId="0" fillId="13" borderId="0" xfId="0" applyFill="1" applyAlignment="1">
      <alignment horizontal="left"/>
    </xf>
    <xf numFmtId="0" fontId="0" fillId="13" borderId="0" xfId="0" applyNumberFormat="1" applyFill="1"/>
    <xf numFmtId="0" fontId="19" fillId="13" borderId="0" xfId="0" applyFont="1" applyFill="1" applyAlignment="1">
      <alignment horizontal="left"/>
    </xf>
    <xf numFmtId="0" fontId="19" fillId="13" borderId="0" xfId="0" applyNumberFormat="1" applyFont="1" applyFill="1"/>
    <xf numFmtId="0" fontId="19" fillId="11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19" fillId="0" borderId="0" xfId="0" applyFont="1" applyFill="1"/>
    <xf numFmtId="0" fontId="18" fillId="0" borderId="0" xfId="0" applyFont="1" applyFill="1"/>
    <xf numFmtId="0" fontId="0" fillId="0" borderId="26" xfId="0" applyNumberFormat="1" applyBorder="1"/>
    <xf numFmtId="0" fontId="0" fillId="0" borderId="23" xfId="0" applyNumberFormat="1" applyBorder="1"/>
    <xf numFmtId="0" fontId="15" fillId="0" borderId="0" xfId="0" applyNumberFormat="1" applyFont="1" applyAlignment="1"/>
    <xf numFmtId="0" fontId="15" fillId="0" borderId="0" xfId="0" applyNumberFormat="1" applyFont="1" applyAlignment="1">
      <alignment horizontal="center"/>
    </xf>
    <xf numFmtId="0" fontId="0" fillId="0" borderId="29" xfId="0" applyNumberFormat="1" applyBorder="1" applyAlignment="1">
      <alignment horizontal="center"/>
    </xf>
    <xf numFmtId="0" fontId="0" fillId="0" borderId="26" xfId="0" applyNumberFormat="1" applyFill="1" applyBorder="1"/>
    <xf numFmtId="0" fontId="21" fillId="0" borderId="0" xfId="0" applyFont="1"/>
    <xf numFmtId="0" fontId="22" fillId="0" borderId="0" xfId="0" pivotButton="1" applyFont="1"/>
    <xf numFmtId="0" fontId="23" fillId="8" borderId="0" xfId="0" applyFont="1" applyFill="1"/>
    <xf numFmtId="9" fontId="0" fillId="0" borderId="34" xfId="3" applyFont="1" applyBorder="1"/>
    <xf numFmtId="0" fontId="0" fillId="14" borderId="23" xfId="0" applyNumberFormat="1" applyFill="1" applyBorder="1"/>
    <xf numFmtId="0" fontId="19" fillId="0" borderId="26" xfId="0" applyNumberFormat="1" applyFont="1" applyBorder="1"/>
    <xf numFmtId="0" fontId="0" fillId="14" borderId="23" xfId="0" applyFill="1" applyBorder="1"/>
    <xf numFmtId="9" fontId="0" fillId="0" borderId="22" xfId="3" applyNumberFormat="1" applyFont="1" applyBorder="1" applyAlignment="1">
      <alignment horizontal="left"/>
    </xf>
    <xf numFmtId="0" fontId="0" fillId="0" borderId="26" xfId="0" applyNumberFormat="1" applyBorder="1" applyAlignment="1">
      <alignment horizontal="left"/>
    </xf>
    <xf numFmtId="0" fontId="0" fillId="0" borderId="30" xfId="0" applyBorder="1" applyAlignment="1">
      <alignment horizontal="left"/>
    </xf>
    <xf numFmtId="9" fontId="0" fillId="0" borderId="25" xfId="3" applyFont="1" applyBorder="1" applyAlignment="1">
      <alignment horizontal="left"/>
    </xf>
    <xf numFmtId="0" fontId="1" fillId="0" borderId="0" xfId="0" applyFont="1"/>
    <xf numFmtId="0" fontId="0" fillId="0" borderId="30" xfId="0" applyNumberFormat="1" applyBorder="1" applyAlignment="1">
      <alignment horizontal="left"/>
    </xf>
    <xf numFmtId="0" fontId="0" fillId="15" borderId="0" xfId="0" applyFill="1"/>
    <xf numFmtId="9" fontId="0" fillId="0" borderId="28" xfId="3" applyFont="1" applyBorder="1"/>
    <xf numFmtId="9" fontId="19" fillId="13" borderId="0" xfId="0" applyNumberFormat="1" applyFont="1" applyFill="1"/>
    <xf numFmtId="0" fontId="24" fillId="0" borderId="0" xfId="0" applyFont="1"/>
    <xf numFmtId="0" fontId="2" fillId="0" borderId="1" xfId="0" applyFont="1" applyFill="1" applyBorder="1" applyAlignment="1">
      <alignment horizontal="left"/>
    </xf>
    <xf numFmtId="0" fontId="0" fillId="0" borderId="0" xfId="0" applyBorder="1"/>
    <xf numFmtId="0" fontId="19" fillId="15" borderId="27" xfId="0" applyNumberFormat="1" applyFont="1" applyFill="1" applyBorder="1"/>
    <xf numFmtId="0" fontId="19" fillId="15" borderId="0" xfId="0" applyFont="1" applyFill="1"/>
    <xf numFmtId="165" fontId="19" fillId="15" borderId="26" xfId="0" applyNumberFormat="1" applyFont="1" applyFill="1" applyBorder="1"/>
    <xf numFmtId="165" fontId="0" fillId="11" borderId="1" xfId="0" applyNumberFormat="1" applyFill="1" applyBorder="1"/>
    <xf numFmtId="167" fontId="0" fillId="15" borderId="0" xfId="0" applyNumberFormat="1" applyFill="1"/>
    <xf numFmtId="167" fontId="0" fillId="0" borderId="0" xfId="0" applyNumberFormat="1"/>
    <xf numFmtId="166" fontId="0" fillId="0" borderId="0" xfId="0" applyNumberFormat="1"/>
    <xf numFmtId="0" fontId="0" fillId="0" borderId="33" xfId="0" applyNumberFormat="1" applyFill="1" applyBorder="1"/>
    <xf numFmtId="1" fontId="19" fillId="0" borderId="26" xfId="0" applyNumberFormat="1" applyFont="1" applyFill="1" applyBorder="1"/>
    <xf numFmtId="165" fontId="0" fillId="0" borderId="0" xfId="0" applyNumberFormat="1"/>
    <xf numFmtId="0" fontId="19" fillId="14" borderId="0" xfId="0" applyNumberFormat="1" applyFont="1" applyFill="1" applyBorder="1"/>
    <xf numFmtId="49" fontId="15" fillId="14" borderId="0" xfId="0" applyNumberFormat="1" applyFont="1" applyFill="1" applyBorder="1" applyAlignment="1">
      <alignment horizontal="center"/>
    </xf>
    <xf numFmtId="0" fontId="0" fillId="0" borderId="41" xfId="0" applyNumberFormat="1" applyBorder="1" applyAlignment="1">
      <alignment horizontal="center"/>
    </xf>
    <xf numFmtId="0" fontId="0" fillId="0" borderId="42" xfId="0" applyBorder="1" applyAlignment="1">
      <alignment horizontal="center"/>
    </xf>
    <xf numFmtId="0" fontId="3" fillId="20" borderId="35" xfId="0" applyFont="1" applyFill="1" applyBorder="1" applyAlignment="1">
      <alignment horizontal="center"/>
    </xf>
    <xf numFmtId="0" fontId="3" fillId="20" borderId="40" xfId="0" applyFont="1" applyFill="1" applyBorder="1" applyAlignment="1">
      <alignment horizontal="center"/>
    </xf>
    <xf numFmtId="0" fontId="3" fillId="20" borderId="36" xfId="0" applyFont="1" applyFill="1" applyBorder="1" applyAlignment="1">
      <alignment horizontal="center"/>
    </xf>
    <xf numFmtId="164" fontId="3" fillId="20" borderId="40" xfId="0" applyNumberFormat="1" applyFont="1" applyFill="1" applyBorder="1" applyAlignment="1">
      <alignment horizontal="center"/>
    </xf>
    <xf numFmtId="0" fontId="3" fillId="20" borderId="37" xfId="0" applyFont="1" applyFill="1" applyBorder="1" applyAlignment="1">
      <alignment horizontal="center"/>
    </xf>
    <xf numFmtId="0" fontId="0" fillId="14" borderId="26" xfId="0" applyNumberFormat="1" applyFill="1" applyBorder="1"/>
    <xf numFmtId="0" fontId="19" fillId="0" borderId="26" xfId="0" applyNumberFormat="1" applyFont="1" applyFill="1" applyBorder="1"/>
    <xf numFmtId="49" fontId="15" fillId="0" borderId="0" xfId="0" applyNumberFormat="1" applyFont="1" applyFill="1" applyBorder="1" applyAlignment="1">
      <alignment horizontal="center"/>
    </xf>
    <xf numFmtId="49" fontId="15" fillId="9" borderId="9" xfId="0" applyNumberFormat="1" applyFont="1" applyFill="1" applyBorder="1" applyAlignment="1">
      <alignment horizontal="center"/>
    </xf>
    <xf numFmtId="49" fontId="15" fillId="9" borderId="10" xfId="0" applyNumberFormat="1" applyFont="1" applyFill="1" applyBorder="1" applyAlignment="1">
      <alignment horizontal="center"/>
    </xf>
    <xf numFmtId="49" fontId="15" fillId="9" borderId="43" xfId="0" applyNumberFormat="1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center"/>
    </xf>
    <xf numFmtId="164" fontId="3" fillId="0" borderId="40" xfId="0" applyNumberFormat="1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9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NumberFormat="1" applyFont="1"/>
    <xf numFmtId="0" fontId="0" fillId="0" borderId="27" xfId="0" applyFill="1" applyBorder="1"/>
    <xf numFmtId="0" fontId="0" fillId="0" borderId="41" xfId="0" applyBorder="1" applyAlignment="1">
      <alignment horizontal="center"/>
    </xf>
    <xf numFmtId="167" fontId="0" fillId="0" borderId="0" xfId="0" applyNumberFormat="1" applyFill="1"/>
    <xf numFmtId="0" fontId="0" fillId="14" borderId="27" xfId="0" applyFill="1" applyBorder="1"/>
    <xf numFmtId="165" fontId="19" fillId="14" borderId="26" xfId="0" applyNumberFormat="1" applyFont="1" applyFill="1" applyBorder="1"/>
    <xf numFmtId="0" fontId="19" fillId="14" borderId="26" xfId="0" applyNumberFormat="1" applyFont="1" applyFill="1" applyBorder="1"/>
    <xf numFmtId="0" fontId="19" fillId="14" borderId="27" xfId="0" applyNumberFormat="1" applyFont="1" applyFill="1" applyBorder="1"/>
    <xf numFmtId="49" fontId="28" fillId="14" borderId="0" xfId="0" applyNumberFormat="1" applyFont="1" applyFill="1" applyBorder="1" applyAlignment="1"/>
    <xf numFmtId="9" fontId="0" fillId="11" borderId="0" xfId="0" applyNumberFormat="1" applyFill="1"/>
    <xf numFmtId="0" fontId="0" fillId="15" borderId="0" xfId="0" applyFill="1" applyAlignment="1">
      <alignment horizontal="left"/>
    </xf>
    <xf numFmtId="0" fontId="0" fillId="14" borderId="0" xfId="0" applyFill="1"/>
    <xf numFmtId="0" fontId="0" fillId="14" borderId="0" xfId="0" applyFont="1" applyFill="1" applyAlignment="1"/>
    <xf numFmtId="0" fontId="0" fillId="15" borderId="44" xfId="0" applyFill="1" applyBorder="1"/>
    <xf numFmtId="0" fontId="0" fillId="15" borderId="45" xfId="0" applyFill="1" applyBorder="1"/>
    <xf numFmtId="0" fontId="0" fillId="15" borderId="46" xfId="0" applyFill="1" applyBorder="1"/>
    <xf numFmtId="9" fontId="0" fillId="15" borderId="44" xfId="3" applyFont="1" applyFill="1" applyBorder="1"/>
    <xf numFmtId="9" fontId="0" fillId="15" borderId="45" xfId="3" applyFont="1" applyFill="1" applyBorder="1"/>
    <xf numFmtId="9" fontId="0" fillId="15" borderId="46" xfId="3" applyFont="1" applyFill="1" applyBorder="1"/>
    <xf numFmtId="9" fontId="0" fillId="0" borderId="44" xfId="3" applyFont="1" applyBorder="1"/>
    <xf numFmtId="9" fontId="0" fillId="0" borderId="45" xfId="3" applyFont="1" applyBorder="1"/>
    <xf numFmtId="9" fontId="0" fillId="0" borderId="46" xfId="3" applyFont="1" applyBorder="1"/>
    <xf numFmtId="0" fontId="0" fillId="15" borderId="13" xfId="0" applyFill="1" applyBorder="1" applyAlignment="1">
      <alignment horizontal="left"/>
    </xf>
    <xf numFmtId="0" fontId="0" fillId="15" borderId="19" xfId="0" applyFill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15" borderId="0" xfId="0" applyNumberFormat="1" applyFill="1"/>
    <xf numFmtId="0" fontId="0" fillId="15" borderId="44" xfId="0" applyFill="1" applyBorder="1" applyAlignment="1">
      <alignment horizontal="left"/>
    </xf>
    <xf numFmtId="0" fontId="0" fillId="15" borderId="45" xfId="0" applyFill="1" applyBorder="1" applyAlignment="1">
      <alignment horizontal="left"/>
    </xf>
    <xf numFmtId="0" fontId="0" fillId="15" borderId="46" xfId="0" applyFill="1" applyBorder="1" applyAlignment="1">
      <alignment horizontal="left"/>
    </xf>
    <xf numFmtId="9" fontId="0" fillId="0" borderId="22" xfId="3" applyFont="1" applyBorder="1" applyAlignment="1">
      <alignment horizontal="right"/>
    </xf>
    <xf numFmtId="167" fontId="19" fillId="18" borderId="0" xfId="0" applyNumberFormat="1" applyFont="1" applyFill="1"/>
    <xf numFmtId="9" fontId="0" fillId="0" borderId="25" xfId="3" applyFont="1" applyBorder="1" applyAlignment="1">
      <alignment horizontal="right"/>
    </xf>
    <xf numFmtId="0" fontId="0" fillId="14" borderId="0" xfId="0" applyFill="1" applyAlignment="1">
      <alignment horizontal="left"/>
    </xf>
    <xf numFmtId="0" fontId="0" fillId="14" borderId="11" xfId="0" applyFill="1" applyBorder="1" applyAlignment="1">
      <alignment horizontal="left"/>
    </xf>
    <xf numFmtId="9" fontId="0" fillId="14" borderId="44" xfId="3" applyFont="1" applyFill="1" applyBorder="1"/>
    <xf numFmtId="0" fontId="0" fillId="14" borderId="47" xfId="0" applyNumberFormat="1" applyFont="1" applyFill="1" applyBorder="1"/>
    <xf numFmtId="0" fontId="0" fillId="14" borderId="48" xfId="0" applyNumberFormat="1" applyFont="1" applyFill="1" applyBorder="1"/>
    <xf numFmtId="0" fontId="2" fillId="0" borderId="3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9" fillId="21" borderId="49" xfId="0" applyFont="1" applyFill="1" applyBorder="1"/>
    <xf numFmtId="0" fontId="31" fillId="0" borderId="0" xfId="0" applyFont="1"/>
    <xf numFmtId="0" fontId="31" fillId="0" borderId="0" xfId="0" applyFont="1" applyAlignment="1">
      <alignment horizontal="left"/>
    </xf>
    <xf numFmtId="0" fontId="32" fillId="15" borderId="0" xfId="0" applyFont="1" applyFill="1" applyAlignment="1">
      <alignment horizontal="left"/>
    </xf>
    <xf numFmtId="0" fontId="32" fillId="0" borderId="0" xfId="0" applyFont="1" applyAlignment="1">
      <alignment horizontal="left"/>
    </xf>
    <xf numFmtId="0" fontId="8" fillId="8" borderId="2" xfId="0" applyFont="1" applyFill="1" applyBorder="1" applyAlignment="1">
      <alignment horizontal="center"/>
    </xf>
    <xf numFmtId="0" fontId="8" fillId="8" borderId="3" xfId="0" applyFont="1" applyFill="1" applyBorder="1" applyAlignment="1">
      <alignment horizontal="center"/>
    </xf>
    <xf numFmtId="0" fontId="8" fillId="8" borderId="32" xfId="0" applyFont="1" applyFill="1" applyBorder="1" applyAlignment="1">
      <alignment horizontal="center"/>
    </xf>
    <xf numFmtId="14" fontId="3" fillId="16" borderId="32" xfId="0" applyNumberFormat="1" applyFont="1" applyFill="1" applyBorder="1" applyAlignment="1">
      <alignment horizontal="center"/>
    </xf>
    <xf numFmtId="0" fontId="3" fillId="16" borderId="32" xfId="0" applyFont="1" applyFill="1" applyBorder="1" applyAlignment="1">
      <alignment horizontal="left"/>
    </xf>
    <xf numFmtId="164" fontId="3" fillId="16" borderId="32" xfId="0" applyNumberFormat="1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164" fontId="3" fillId="20" borderId="32" xfId="0" applyNumberFormat="1" applyFont="1" applyFill="1" applyBorder="1" applyAlignment="1">
      <alignment horizontal="center"/>
    </xf>
    <xf numFmtId="0" fontId="3" fillId="20" borderId="32" xfId="0" applyFont="1" applyFill="1" applyBorder="1" applyAlignment="1">
      <alignment horizontal="center"/>
    </xf>
    <xf numFmtId="0" fontId="3" fillId="18" borderId="32" xfId="0" applyFont="1" applyFill="1" applyBorder="1" applyAlignment="1">
      <alignment horizontal="center"/>
    </xf>
    <xf numFmtId="0" fontId="3" fillId="5" borderId="32" xfId="0" applyFont="1" applyFill="1" applyBorder="1" applyAlignment="1">
      <alignment horizontal="center"/>
    </xf>
    <xf numFmtId="0" fontId="3" fillId="6" borderId="32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3" fillId="5" borderId="32" xfId="2" applyNumberFormat="1" applyFont="1" applyFill="1" applyBorder="1" applyAlignment="1">
      <alignment horizontal="center"/>
    </xf>
    <xf numFmtId="0" fontId="4" fillId="16" borderId="32" xfId="2" applyNumberFormat="1" applyFont="1" applyFill="1" applyBorder="1" applyAlignment="1">
      <alignment horizontal="center"/>
    </xf>
    <xf numFmtId="0" fontId="3" fillId="16" borderId="32" xfId="2" applyNumberFormat="1" applyFont="1" applyFill="1" applyBorder="1" applyAlignment="1">
      <alignment horizontal="center"/>
    </xf>
    <xf numFmtId="0" fontId="25" fillId="8" borderId="32" xfId="0" applyFont="1" applyFill="1" applyBorder="1" applyAlignment="1">
      <alignment horizontal="center"/>
    </xf>
    <xf numFmtId="0" fontId="7" fillId="8" borderId="32" xfId="0" applyFont="1" applyFill="1" applyBorder="1" applyAlignment="1">
      <alignment horizontal="center"/>
    </xf>
    <xf numFmtId="0" fontId="11" fillId="8" borderId="32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14" fontId="3" fillId="10" borderId="32" xfId="0" applyNumberFormat="1" applyFont="1" applyFill="1" applyBorder="1" applyAlignment="1">
      <alignment horizontal="left"/>
    </xf>
    <xf numFmtId="0" fontId="2" fillId="14" borderId="32" xfId="0" applyFont="1" applyFill="1" applyBorder="1" applyAlignment="1">
      <alignment horizontal="left"/>
    </xf>
    <xf numFmtId="0" fontId="8" fillId="8" borderId="32" xfId="2" applyNumberFormat="1" applyFont="1" applyFill="1" applyBorder="1" applyAlignment="1">
      <alignment horizontal="center"/>
    </xf>
    <xf numFmtId="0" fontId="2" fillId="8" borderId="32" xfId="0" applyFont="1" applyFill="1" applyBorder="1" applyAlignment="1">
      <alignment horizontal="center"/>
    </xf>
    <xf numFmtId="14" fontId="2" fillId="14" borderId="32" xfId="2" applyNumberFormat="1" applyFont="1" applyFill="1" applyBorder="1" applyAlignment="1">
      <alignment horizontal="center"/>
    </xf>
    <xf numFmtId="14" fontId="3" fillId="3" borderId="32" xfId="0" applyNumberFormat="1" applyFont="1" applyFill="1" applyBorder="1" applyAlignment="1">
      <alignment horizontal="left"/>
    </xf>
    <xf numFmtId="0" fontId="2" fillId="14" borderId="32" xfId="0" applyNumberFormat="1" applyFont="1" applyFill="1" applyBorder="1" applyAlignment="1">
      <alignment horizontal="center"/>
    </xf>
    <xf numFmtId="0" fontId="27" fillId="14" borderId="32" xfId="2" applyNumberFormat="1" applyFont="1" applyFill="1" applyBorder="1" applyAlignment="1">
      <alignment horizontal="center"/>
    </xf>
    <xf numFmtId="0" fontId="2" fillId="13" borderId="32" xfId="0" applyFont="1" applyFill="1" applyBorder="1" applyAlignment="1">
      <alignment horizontal="left"/>
    </xf>
    <xf numFmtId="0" fontId="2" fillId="13" borderId="32" xfId="0" applyFont="1" applyFill="1" applyBorder="1" applyAlignment="1">
      <alignment horizontal="center"/>
    </xf>
    <xf numFmtId="0" fontId="33" fillId="13" borderId="32" xfId="0" applyFont="1" applyFill="1" applyBorder="1" applyAlignment="1">
      <alignment horizontal="left"/>
    </xf>
    <xf numFmtId="0" fontId="33" fillId="14" borderId="32" xfId="0" applyFont="1" applyFill="1" applyBorder="1" applyAlignment="1">
      <alignment horizontal="center"/>
    </xf>
    <xf numFmtId="0" fontId="33" fillId="13" borderId="32" xfId="0" applyFont="1" applyFill="1" applyBorder="1" applyAlignment="1">
      <alignment horizontal="center"/>
    </xf>
    <xf numFmtId="0" fontId="34" fillId="8" borderId="32" xfId="2" applyNumberFormat="1" applyFont="1" applyFill="1" applyBorder="1" applyAlignment="1">
      <alignment horizontal="center"/>
    </xf>
    <xf numFmtId="0" fontId="34" fillId="8" borderId="32" xfId="0" applyFont="1" applyFill="1" applyBorder="1" applyAlignment="1">
      <alignment horizontal="center"/>
    </xf>
    <xf numFmtId="0" fontId="33" fillId="8" borderId="32" xfId="0" applyFont="1" applyFill="1" applyBorder="1" applyAlignment="1">
      <alignment horizontal="center"/>
    </xf>
    <xf numFmtId="0" fontId="34" fillId="8" borderId="3" xfId="0" applyFont="1" applyFill="1" applyBorder="1" applyAlignment="1">
      <alignment horizontal="center"/>
    </xf>
    <xf numFmtId="14" fontId="2" fillId="13" borderId="32" xfId="0" applyNumberFormat="1" applyFont="1" applyFill="1" applyBorder="1" applyAlignment="1">
      <alignment horizontal="center"/>
    </xf>
    <xf numFmtId="14" fontId="3" fillId="3" borderId="2" xfId="0" applyNumberFormat="1" applyFont="1" applyFill="1" applyBorder="1" applyAlignment="1">
      <alignment horizontal="left"/>
    </xf>
    <xf numFmtId="0" fontId="2" fillId="13" borderId="2" xfId="0" applyFont="1" applyFill="1" applyBorder="1" applyAlignment="1">
      <alignment horizontal="left"/>
    </xf>
    <xf numFmtId="14" fontId="2" fillId="13" borderId="2" xfId="0" applyNumberFormat="1" applyFont="1" applyFill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13" borderId="2" xfId="0" applyFont="1" applyFill="1" applyBorder="1" applyAlignment="1">
      <alignment horizontal="center"/>
    </xf>
    <xf numFmtId="0" fontId="8" fillId="8" borderId="2" xfId="2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0" fillId="13" borderId="0" xfId="0" applyFill="1"/>
    <xf numFmtId="10" fontId="19" fillId="13" borderId="0" xfId="0" applyNumberFormat="1" applyFont="1" applyFill="1"/>
    <xf numFmtId="10" fontId="19" fillId="11" borderId="0" xfId="0" applyNumberFormat="1" applyFont="1" applyFill="1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2" fillId="14" borderId="32" xfId="0" applyFont="1" applyFill="1" applyBorder="1" applyAlignment="1">
      <alignment horizontal="center"/>
    </xf>
    <xf numFmtId="164" fontId="2" fillId="14" borderId="32" xfId="0" applyNumberFormat="1" applyFont="1" applyFill="1" applyBorder="1" applyAlignment="1">
      <alignment horizontal="center"/>
    </xf>
    <xf numFmtId="1" fontId="0" fillId="0" borderId="26" xfId="0" applyNumberFormat="1" applyBorder="1"/>
    <xf numFmtId="1" fontId="19" fillId="14" borderId="26" xfId="0" applyNumberFormat="1" applyFont="1" applyFill="1" applyBorder="1"/>
    <xf numFmtId="1" fontId="19" fillId="0" borderId="26" xfId="0" applyNumberFormat="1" applyFont="1" applyBorder="1"/>
    <xf numFmtId="0" fontId="30" fillId="14" borderId="32" xfId="0" applyFont="1" applyFill="1" applyBorder="1" applyAlignment="1">
      <alignment vertical="center"/>
    </xf>
    <xf numFmtId="0" fontId="30" fillId="14" borderId="2" xfId="0" applyFont="1" applyFill="1" applyBorder="1" applyAlignment="1">
      <alignment vertical="center"/>
    </xf>
    <xf numFmtId="164" fontId="3" fillId="14" borderId="32" xfId="2" applyNumberFormat="1" applyFont="1" applyFill="1" applyBorder="1" applyAlignment="1">
      <alignment horizontal="center"/>
    </xf>
    <xf numFmtId="9" fontId="0" fillId="13" borderId="0" xfId="0" applyNumberFormat="1" applyFill="1"/>
    <xf numFmtId="0" fontId="5" fillId="14" borderId="32" xfId="0" applyNumberFormat="1" applyFont="1" applyFill="1" applyBorder="1" applyAlignment="1">
      <alignment horizontal="center"/>
    </xf>
    <xf numFmtId="2" fontId="2" fillId="14" borderId="32" xfId="0" applyNumberFormat="1" applyFont="1" applyFill="1" applyBorder="1" applyAlignment="1">
      <alignment horizontal="center"/>
    </xf>
    <xf numFmtId="0" fontId="29" fillId="13" borderId="32" xfId="0" applyFont="1" applyFill="1" applyBorder="1" applyAlignment="1">
      <alignment horizontal="left"/>
    </xf>
    <xf numFmtId="0" fontId="26" fillId="13" borderId="32" xfId="0" applyFont="1" applyFill="1" applyBorder="1" applyAlignment="1">
      <alignment horizontal="left"/>
    </xf>
    <xf numFmtId="164" fontId="2" fillId="13" borderId="32" xfId="0" applyNumberFormat="1" applyFont="1" applyFill="1" applyBorder="1" applyAlignment="1">
      <alignment horizontal="center"/>
    </xf>
    <xf numFmtId="14" fontId="33" fillId="13" borderId="32" xfId="0" applyNumberFormat="1" applyFont="1" applyFill="1" applyBorder="1" applyAlignment="1">
      <alignment horizontal="center"/>
    </xf>
    <xf numFmtId="0" fontId="5" fillId="14" borderId="32" xfId="0" applyFont="1" applyFill="1" applyBorder="1" applyAlignment="1">
      <alignment horizontal="center"/>
    </xf>
    <xf numFmtId="0" fontId="33" fillId="14" borderId="32" xfId="0" applyNumberFormat="1" applyFont="1" applyFill="1" applyBorder="1" applyAlignment="1">
      <alignment horizontal="center"/>
    </xf>
    <xf numFmtId="0" fontId="35" fillId="14" borderId="32" xfId="0" applyNumberFormat="1" applyFont="1" applyFill="1" applyBorder="1" applyAlignment="1">
      <alignment horizontal="center"/>
    </xf>
    <xf numFmtId="0" fontId="26" fillId="13" borderId="32" xfId="0" applyFont="1" applyFill="1" applyBorder="1" applyAlignment="1">
      <alignment horizontal="center"/>
    </xf>
    <xf numFmtId="0" fontId="0" fillId="13" borderId="32" xfId="0" applyFont="1" applyFill="1" applyBorder="1"/>
    <xf numFmtId="0" fontId="2" fillId="11" borderId="32" xfId="0" applyFont="1" applyFill="1" applyBorder="1" applyAlignment="1">
      <alignment horizontal="center"/>
    </xf>
    <xf numFmtId="0" fontId="2" fillId="11" borderId="32" xfId="0" applyFont="1" applyFill="1" applyBorder="1" applyAlignment="1">
      <alignment horizontal="left"/>
    </xf>
    <xf numFmtId="1" fontId="2" fillId="14" borderId="32" xfId="0" applyNumberFormat="1" applyFont="1" applyFill="1" applyBorder="1" applyAlignment="1">
      <alignment horizontal="center"/>
    </xf>
    <xf numFmtId="164" fontId="33" fillId="14" borderId="32" xfId="0" applyNumberFormat="1" applyFont="1" applyFill="1" applyBorder="1" applyAlignment="1">
      <alignment horizontal="center"/>
    </xf>
    <xf numFmtId="1" fontId="33" fillId="14" borderId="32" xfId="0" applyNumberFormat="1" applyFont="1" applyFill="1" applyBorder="1" applyAlignment="1">
      <alignment horizontal="center"/>
    </xf>
    <xf numFmtId="0" fontId="33" fillId="14" borderId="32" xfId="0" applyFont="1" applyFill="1" applyBorder="1" applyAlignment="1">
      <alignment horizontal="left"/>
    </xf>
    <xf numFmtId="0" fontId="2" fillId="14" borderId="2" xfId="0" applyFont="1" applyFill="1" applyBorder="1" applyAlignment="1">
      <alignment horizontal="left"/>
    </xf>
    <xf numFmtId="164" fontId="2" fillId="14" borderId="2" xfId="0" applyNumberFormat="1" applyFont="1" applyFill="1" applyBorder="1" applyAlignment="1">
      <alignment horizontal="center"/>
    </xf>
    <xf numFmtId="1" fontId="2" fillId="14" borderId="2" xfId="0" applyNumberFormat="1" applyFont="1" applyFill="1" applyBorder="1" applyAlignment="1">
      <alignment horizontal="center"/>
    </xf>
    <xf numFmtId="0" fontId="2" fillId="14" borderId="2" xfId="0" applyFont="1" applyFill="1" applyBorder="1" applyAlignment="1">
      <alignment horizontal="center"/>
    </xf>
    <xf numFmtId="0" fontId="2" fillId="14" borderId="0" xfId="0" applyFont="1" applyFill="1" applyAlignment="1">
      <alignment horizontal="left"/>
    </xf>
    <xf numFmtId="164" fontId="2" fillId="14" borderId="0" xfId="0" applyNumberFormat="1" applyFont="1" applyFill="1" applyAlignment="1">
      <alignment horizontal="center"/>
    </xf>
    <xf numFmtId="0" fontId="2" fillId="14" borderId="0" xfId="0" applyFont="1" applyFill="1" applyAlignment="1">
      <alignment horizontal="center"/>
    </xf>
    <xf numFmtId="14" fontId="2" fillId="14" borderId="0" xfId="0" applyNumberFormat="1" applyFont="1" applyFill="1" applyAlignment="1">
      <alignment horizontal="center"/>
    </xf>
    <xf numFmtId="0" fontId="30" fillId="14" borderId="0" xfId="0" applyFont="1" applyFill="1" applyAlignment="1">
      <alignment vertical="center"/>
    </xf>
    <xf numFmtId="0" fontId="0" fillId="14" borderId="0" xfId="0" applyNumberFormat="1" applyFill="1" applyAlignment="1">
      <alignment horizontal="left"/>
    </xf>
    <xf numFmtId="0" fontId="2" fillId="14" borderId="0" xfId="2" applyFont="1" applyFill="1" applyAlignment="1">
      <alignment horizontal="left"/>
    </xf>
    <xf numFmtId="2" fontId="33" fillId="14" borderId="32" xfId="0" applyNumberFormat="1" applyFont="1" applyFill="1" applyBorder="1" applyAlignment="1">
      <alignment horizontal="center"/>
    </xf>
    <xf numFmtId="2" fontId="2" fillId="14" borderId="2" xfId="0" applyNumberFormat="1" applyFont="1" applyFill="1" applyBorder="1" applyAlignment="1">
      <alignment horizontal="center"/>
    </xf>
    <xf numFmtId="0" fontId="2" fillId="14" borderId="32" xfId="2" applyNumberFormat="1" applyFont="1" applyFill="1" applyBorder="1" applyAlignment="1">
      <alignment horizontal="left"/>
    </xf>
    <xf numFmtId="16" fontId="2" fillId="14" borderId="32" xfId="2" applyNumberFormat="1" applyFont="1" applyFill="1" applyBorder="1" applyAlignment="1">
      <alignment horizontal="left"/>
    </xf>
    <xf numFmtId="14" fontId="2" fillId="14" borderId="32" xfId="2" applyNumberFormat="1" applyFont="1" applyFill="1" applyBorder="1" applyAlignment="1">
      <alignment horizontal="left"/>
    </xf>
    <xf numFmtId="0" fontId="2" fillId="14" borderId="2" xfId="2" applyNumberFormat="1" applyFont="1" applyFill="1" applyBorder="1" applyAlignment="1">
      <alignment horizontal="left"/>
    </xf>
    <xf numFmtId="164" fontId="3" fillId="14" borderId="2" xfId="2" applyNumberFormat="1" applyFont="1" applyFill="1" applyBorder="1" applyAlignment="1">
      <alignment horizontal="center"/>
    </xf>
    <xf numFmtId="0" fontId="2" fillId="14" borderId="32" xfId="2" applyNumberFormat="1" applyFont="1" applyFill="1" applyBorder="1" applyAlignment="1">
      <alignment horizontal="center"/>
    </xf>
    <xf numFmtId="0" fontId="2" fillId="14" borderId="32" xfId="2" applyNumberFormat="1" applyFont="1" applyFill="1" applyBorder="1" applyAlignment="1"/>
    <xf numFmtId="0" fontId="26" fillId="14" borderId="32" xfId="2" applyNumberFormat="1" applyFont="1" applyFill="1" applyBorder="1" applyAlignment="1">
      <alignment horizontal="center"/>
    </xf>
    <xf numFmtId="0" fontId="33" fillId="14" borderId="32" xfId="2" applyNumberFormat="1" applyFont="1" applyFill="1" applyBorder="1" applyAlignment="1">
      <alignment horizontal="center"/>
    </xf>
    <xf numFmtId="0" fontId="33" fillId="14" borderId="32" xfId="2" applyNumberFormat="1" applyFont="1" applyFill="1" applyBorder="1" applyAlignment="1">
      <alignment horizontal="left"/>
    </xf>
    <xf numFmtId="164" fontId="4" fillId="14" borderId="32" xfId="2" applyNumberFormat="1" applyFont="1" applyFill="1" applyBorder="1" applyAlignment="1">
      <alignment horizontal="center"/>
    </xf>
    <xf numFmtId="164" fontId="4" fillId="14" borderId="2" xfId="2" applyNumberFormat="1" applyFont="1" applyFill="1" applyBorder="1" applyAlignment="1">
      <alignment horizontal="center"/>
    </xf>
    <xf numFmtId="14" fontId="2" fillId="14" borderId="2" xfId="2" applyNumberFormat="1" applyFont="1" applyFill="1" applyBorder="1" applyAlignment="1">
      <alignment horizontal="center"/>
    </xf>
    <xf numFmtId="0" fontId="2" fillId="14" borderId="2" xfId="2" applyNumberFormat="1" applyFont="1" applyFill="1" applyBorder="1" applyAlignment="1">
      <alignment horizontal="center"/>
    </xf>
    <xf numFmtId="0" fontId="2" fillId="14" borderId="2" xfId="2" applyNumberFormat="1" applyFont="1" applyFill="1" applyBorder="1" applyAlignment="1"/>
    <xf numFmtId="17" fontId="13" fillId="2" borderId="35" xfId="0" applyNumberFormat="1" applyFont="1" applyFill="1" applyBorder="1" applyAlignment="1">
      <alignment horizontal="center"/>
    </xf>
    <xf numFmtId="17" fontId="13" fillId="2" borderId="36" xfId="0" applyNumberFormat="1" applyFont="1" applyFill="1" applyBorder="1" applyAlignment="1">
      <alignment horizontal="center"/>
    </xf>
    <xf numFmtId="17" fontId="13" fillId="2" borderId="37" xfId="0" applyNumberFormat="1" applyFont="1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14" fillId="9" borderId="5" xfId="0" applyFont="1" applyFill="1" applyBorder="1" applyAlignment="1">
      <alignment horizontal="center"/>
    </xf>
    <xf numFmtId="0" fontId="14" fillId="9" borderId="6" xfId="0" applyFont="1" applyFill="1" applyBorder="1" applyAlignment="1">
      <alignment horizontal="center"/>
    </xf>
    <xf numFmtId="0" fontId="14" fillId="9" borderId="7" xfId="0" applyFont="1" applyFill="1" applyBorder="1" applyAlignment="1">
      <alignment horizontal="center"/>
    </xf>
    <xf numFmtId="0" fontId="14" fillId="9" borderId="0" xfId="0" applyFont="1" applyFill="1" applyBorder="1" applyAlignment="1">
      <alignment horizontal="center"/>
    </xf>
    <xf numFmtId="0" fontId="14" fillId="9" borderId="8" xfId="0" applyFont="1" applyFill="1" applyBorder="1" applyAlignment="1">
      <alignment horizontal="center"/>
    </xf>
    <xf numFmtId="49" fontId="15" fillId="9" borderId="7" xfId="0" applyNumberFormat="1" applyFont="1" applyFill="1" applyBorder="1" applyAlignment="1">
      <alignment horizontal="center"/>
    </xf>
    <xf numFmtId="49" fontId="15" fillId="9" borderId="0" xfId="0" applyNumberFormat="1" applyFont="1" applyFill="1" applyBorder="1" applyAlignment="1">
      <alignment horizontal="center"/>
    </xf>
    <xf numFmtId="49" fontId="15" fillId="9" borderId="8" xfId="0" applyNumberFormat="1" applyFont="1" applyFill="1" applyBorder="1" applyAlignment="1">
      <alignment horizontal="center"/>
    </xf>
    <xf numFmtId="0" fontId="9" fillId="7" borderId="0" xfId="0" applyFont="1" applyFill="1" applyAlignment="1">
      <alignment horizontal="center"/>
    </xf>
    <xf numFmtId="0" fontId="9" fillId="12" borderId="0" xfId="0" applyFont="1" applyFill="1" applyAlignment="1">
      <alignment horizontal="center"/>
    </xf>
    <xf numFmtId="0" fontId="19" fillId="15" borderId="0" xfId="0" applyFont="1" applyFill="1" applyAlignment="1">
      <alignment horizontal="center"/>
    </xf>
    <xf numFmtId="0" fontId="9" fillId="17" borderId="0" xfId="0" applyFont="1" applyFill="1" applyAlignment="1">
      <alignment horizontal="center"/>
    </xf>
    <xf numFmtId="0" fontId="19" fillId="19" borderId="0" xfId="0" applyFont="1" applyFill="1" applyAlignment="1">
      <alignment horizontal="center"/>
    </xf>
    <xf numFmtId="0" fontId="0" fillId="17" borderId="0" xfId="0" applyFill="1" applyAlignment="1">
      <alignment horizontal="center"/>
    </xf>
    <xf numFmtId="0" fontId="0" fillId="14" borderId="0" xfId="0" applyFont="1" applyFill="1" applyAlignment="1">
      <alignment horizontal="center"/>
    </xf>
    <xf numFmtId="0" fontId="0" fillId="15" borderId="0" xfId="0" applyFill="1" applyAlignment="1">
      <alignment horizontal="center"/>
    </xf>
    <xf numFmtId="0" fontId="17" fillId="15" borderId="0" xfId="0" applyFont="1" applyFill="1" applyAlignment="1">
      <alignment horizontal="center"/>
    </xf>
  </cellXfs>
  <cellStyles count="4">
    <cellStyle name="Normal" xfId="0" builtinId="0"/>
    <cellStyle name="Normal 2" xfId="2"/>
    <cellStyle name="Normal 3" xfId="1"/>
    <cellStyle name="Pourcentage" xfId="3" builtinId="5"/>
  </cellStyles>
  <dxfs count="596"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99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numFmt numFmtId="13" formatCode="0%"/>
    </dxf>
    <dxf>
      <numFmt numFmtId="13" formatCode="0%"/>
    </dxf>
    <dxf>
      <fill>
        <patternFill>
          <bgColor rgb="FFFFFF66"/>
        </patternFill>
      </fill>
    </dxf>
    <dxf>
      <numFmt numFmtId="167" formatCode="#,##0.0"/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auto="1"/>
      </font>
    </dxf>
    <dxf>
      <fill>
        <patternFill>
          <bgColor theme="5" tint="0.79998168889431442"/>
        </patternFill>
      </fill>
    </dxf>
    <dxf>
      <numFmt numFmtId="13" formatCode="0%"/>
    </dxf>
    <dxf>
      <numFmt numFmtId="13" formatCode="0%"/>
    </dxf>
    <dxf>
      <numFmt numFmtId="13" formatCode="0%"/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79998168889431442"/>
        </patternFill>
      </fill>
    </dxf>
    <dxf>
      <font>
        <color auto="1"/>
      </font>
    </dxf>
    <dxf>
      <numFmt numFmtId="13" formatCode="0%"/>
    </dxf>
    <dxf>
      <numFmt numFmtId="13" formatCode="0%"/>
    </dxf>
    <dxf>
      <numFmt numFmtId="167" formatCode="#,##0.0"/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5" tint="0.59999389629810485"/>
        </patternFill>
      </fill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auto="1"/>
      </font>
    </dxf>
    <dxf>
      <fill>
        <patternFill>
          <bgColor theme="5" tint="0.59999389629810485"/>
        </patternFill>
      </fill>
    </dxf>
    <dxf>
      <numFmt numFmtId="165" formatCode="0.0"/>
    </dxf>
    <dxf>
      <numFmt numFmtId="13" formatCode="0%"/>
    </dxf>
    <dxf>
      <numFmt numFmtId="14" formatCode="0.00%"/>
    </dxf>
    <dxf>
      <numFmt numFmtId="14" formatCode="0.00%"/>
    </dxf>
    <dxf>
      <numFmt numFmtId="13" formatCode="0%"/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auto="1"/>
      </font>
    </dxf>
    <dxf>
      <fill>
        <patternFill>
          <bgColor rgb="FFF2DCDB"/>
        </patternFill>
      </fill>
    </dxf>
    <dxf>
      <numFmt numFmtId="165" formatCode="0.0"/>
    </dxf>
    <dxf>
      <numFmt numFmtId="165" formatCode="0.0"/>
    </dxf>
    <dxf>
      <numFmt numFmtId="165" formatCode="0.0"/>
    </dxf>
    <dxf>
      <numFmt numFmtId="14" formatCode="0.00%"/>
    </dxf>
    <dxf>
      <numFmt numFmtId="13" formatCode="0%"/>
    </dxf>
    <dxf>
      <numFmt numFmtId="14" formatCode="0.00%"/>
    </dxf>
    <dxf>
      <numFmt numFmtId="13" formatCode="0%"/>
    </dxf>
    <dxf>
      <numFmt numFmtId="14" formatCode="0.00%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3" formatCode="0%"/>
    </dxf>
    <dxf>
      <numFmt numFmtId="165" formatCode="0.0"/>
    </dxf>
    <dxf>
      <numFmt numFmtId="14" formatCode="0.00%"/>
    </dxf>
    <dxf>
      <numFmt numFmtId="13" formatCode="0%"/>
    </dxf>
    <dxf>
      <numFmt numFmtId="14" formatCode="0.00%"/>
    </dxf>
    <dxf>
      <numFmt numFmtId="13" formatCode="0%"/>
    </dxf>
    <dxf>
      <numFmt numFmtId="14" formatCode="0.00%"/>
    </dxf>
    <dxf>
      <numFmt numFmtId="13" formatCode="0%"/>
    </dxf>
    <dxf>
      <fill>
        <patternFill>
          <bgColor rgb="FFF2DCDB"/>
        </patternFill>
      </fill>
    </dxf>
    <dxf>
      <fill>
        <patternFill>
          <bgColor rgb="FFF2DCDB"/>
        </patternFill>
      </fill>
    </dxf>
    <dxf>
      <fill>
        <patternFill>
          <bgColor rgb="FFF2DCDB"/>
        </patternFill>
      </fill>
    </dxf>
    <dxf>
      <font>
        <color auto="1"/>
      </font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79998168889431442"/>
        </patternFill>
      </fill>
    </dxf>
    <dxf>
      <font>
        <color auto="1"/>
      </font>
    </dxf>
    <dxf>
      <numFmt numFmtId="13" formatCode="0%"/>
    </dxf>
    <dxf>
      <numFmt numFmtId="166" formatCode="0.0%"/>
    </dxf>
    <dxf>
      <numFmt numFmtId="13" formatCode="0%"/>
    </dxf>
    <dxf>
      <numFmt numFmtId="14" formatCode="0.00%"/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59999389629810485"/>
        </patternFill>
      </fill>
    </dxf>
    <dxf>
      <font>
        <color auto="1"/>
      </font>
    </dxf>
    <dxf>
      <font>
        <color auto="1"/>
      </font>
    </dxf>
    <dxf>
      <fill>
        <patternFill>
          <bgColor theme="5" tint="0.59999389629810485"/>
        </patternFill>
      </fill>
    </dxf>
    <dxf>
      <numFmt numFmtId="14" formatCode="0.00%"/>
    </dxf>
    <dxf>
      <numFmt numFmtId="13" formatCode="0%"/>
    </dxf>
    <dxf>
      <numFmt numFmtId="13" formatCode="0%"/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auto="1"/>
      </font>
    </dxf>
    <dxf>
      <fill>
        <patternFill patternType="solid">
          <bgColor theme="5" tint="0.79998168889431442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5" tint="0.79998168889431442"/>
        </patternFill>
      </fill>
    </dxf>
    <dxf>
      <font>
        <color auto="1"/>
      </font>
    </dxf>
    <dxf>
      <font>
        <color auto="1"/>
      </font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13" formatCode="0%"/>
    </dxf>
    <dxf>
      <numFmt numFmtId="166" formatCode="0.0%"/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2DCDB"/>
        </patternFill>
      </fill>
    </dxf>
    <dxf>
      <fill>
        <patternFill patternType="solid">
          <bgColor theme="6" tint="-0.249977111117893"/>
        </patternFill>
      </fill>
    </dxf>
    <dxf>
      <fill>
        <patternFill patternType="solid">
          <bgColor theme="6" tint="-0.249977111117893"/>
        </patternFill>
      </fill>
    </dxf>
    <dxf>
      <fill>
        <patternFill patternType="solid">
          <bgColor theme="6" tint="-0.249977111117893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numFmt numFmtId="13" formatCode="0%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numFmt numFmtId="167" formatCode="#,##0.0"/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167" formatCode="#,##0.0"/>
    </dxf>
    <dxf>
      <numFmt numFmtId="167" formatCode="#,##0.0"/>
    </dxf>
    <dxf>
      <numFmt numFmtId="167" formatCode="#,##0.0"/>
    </dxf>
    <dxf>
      <numFmt numFmtId="167" formatCode="#,##0.0"/>
    </dxf>
    <dxf>
      <numFmt numFmtId="167" formatCode="#,##0.0"/>
    </dxf>
    <dxf>
      <fill>
        <patternFill patternType="solid"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rgb="FFF2DCDB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2DCDB"/>
        </patternFill>
      </fill>
    </dxf>
    <dxf>
      <numFmt numFmtId="0" formatCode="General"/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numFmt numFmtId="166" formatCode="0.0%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2DCDB"/>
        </patternFill>
      </fill>
    </dxf>
    <dxf>
      <numFmt numFmtId="14" formatCode="0.00%"/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numFmt numFmtId="13" formatCode="0%"/>
    </dxf>
    <dxf>
      <numFmt numFmtId="14" formatCode="0.00%"/>
    </dxf>
    <dxf>
      <alignment horizontal="center" readingOrder="0"/>
    </dxf>
    <dxf>
      <alignment horizontal="center" readingOrder="0"/>
    </dxf>
    <dxf>
      <numFmt numFmtId="14" formatCode="0.00%"/>
    </dxf>
    <dxf>
      <numFmt numFmtId="14" formatCode="0.00%"/>
    </dxf>
    <dxf>
      <numFmt numFmtId="166" formatCode="0.0%"/>
    </dxf>
    <dxf>
      <numFmt numFmtId="166" formatCode="0.0%"/>
    </dxf>
    <dxf>
      <numFmt numFmtId="166" formatCode="0.0%"/>
    </dxf>
    <dxf>
      <numFmt numFmtId="166" formatCode="0.0%"/>
    </dxf>
    <dxf>
      <numFmt numFmtId="166" formatCode="0.0%"/>
    </dxf>
    <dxf>
      <numFmt numFmtId="166" formatCode="0.0%"/>
    </dxf>
    <dxf>
      <numFmt numFmtId="166" formatCode="0.0%"/>
    </dxf>
    <dxf>
      <numFmt numFmtId="14" formatCode="0.00%"/>
    </dxf>
    <dxf>
      <numFmt numFmtId="13" formatCode="0%"/>
    </dxf>
    <dxf>
      <numFmt numFmtId="13" formatCode="0%"/>
    </dxf>
    <dxf>
      <numFmt numFmtId="166" formatCode="0.0%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2DCDB"/>
        </patternFill>
      </fill>
    </dxf>
    <dxf>
      <numFmt numFmtId="13" formatCode="0%"/>
    </dxf>
    <dxf>
      <numFmt numFmtId="13" formatCode="0%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 patternType="solid">
          <bgColor rgb="FFF2DCDB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 patternType="solid">
          <bgColor rgb="FFF2DCDB"/>
        </patternFill>
      </fill>
    </dxf>
    <dxf>
      <fill>
        <patternFill patternType="solid">
          <bgColor rgb="FFF2DCDB"/>
        </patternFill>
      </fill>
    </dxf>
    <dxf>
      <fill>
        <patternFill patternType="solid">
          <bgColor rgb="FFF2DCDB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/>
      </font>
    </dxf>
    <dxf>
      <font>
        <color rgb="FFFFFF00"/>
      </font>
    </dxf>
    <dxf>
      <fill>
        <patternFill patternType="solid">
          <bgColor rgb="FFC00000"/>
        </patternFill>
      </fill>
    </dxf>
    <dxf>
      <font>
        <i/>
      </font>
    </dxf>
    <dxf>
      <font>
        <i/>
      </font>
    </dxf>
    <dxf>
      <font>
        <i/>
      </font>
    </dxf>
    <dxf>
      <font>
        <sz val="8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2DCDB"/>
      <color rgb="FFFFFFCC"/>
      <color rgb="FFFFFF66"/>
      <color rgb="FFFFFF99"/>
      <color rgb="FF339966"/>
      <color rgb="FF99FF66"/>
      <color rgb="FFCC99FF"/>
      <color rgb="FF7E0000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14.xml"/><Relationship Id="rId21" Type="http://schemas.openxmlformats.org/officeDocument/2006/relationships/chartsheet" Target="chartsheets/sheet9.xml"/><Relationship Id="rId42" Type="http://schemas.openxmlformats.org/officeDocument/2006/relationships/chartsheet" Target="chartsheets/sheet24.xml"/><Relationship Id="rId47" Type="http://schemas.openxmlformats.org/officeDocument/2006/relationships/chartsheet" Target="chartsheets/sheet28.xml"/><Relationship Id="rId63" Type="http://schemas.openxmlformats.org/officeDocument/2006/relationships/worksheet" Target="worksheets/sheet26.xml"/><Relationship Id="rId68" Type="http://schemas.openxmlformats.org/officeDocument/2006/relationships/chartsheet" Target="chartsheets/sheet40.xml"/><Relationship Id="rId84" Type="http://schemas.openxmlformats.org/officeDocument/2006/relationships/chartsheet" Target="chartsheets/sheet52.xml"/><Relationship Id="rId89" Type="http://schemas.openxmlformats.org/officeDocument/2006/relationships/worksheet" Target="worksheets/sheet35.xml"/><Relationship Id="rId7" Type="http://schemas.openxmlformats.org/officeDocument/2006/relationships/worksheet" Target="worksheets/sheet7.xml"/><Relationship Id="rId71" Type="http://schemas.openxmlformats.org/officeDocument/2006/relationships/chartsheet" Target="chartsheets/sheet43.xml"/><Relationship Id="rId92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chartsheet" Target="chartsheets/sheet5.xml"/><Relationship Id="rId29" Type="http://schemas.openxmlformats.org/officeDocument/2006/relationships/chartsheet" Target="chartsheets/sheet15.xml"/><Relationship Id="rId11" Type="http://schemas.openxmlformats.org/officeDocument/2006/relationships/chartsheet" Target="chartsheets/sheet1.xml"/><Relationship Id="rId24" Type="http://schemas.openxmlformats.org/officeDocument/2006/relationships/chartsheet" Target="chartsheets/sheet11.xml"/><Relationship Id="rId32" Type="http://schemas.openxmlformats.org/officeDocument/2006/relationships/chartsheet" Target="chartsheets/sheet16.xml"/><Relationship Id="rId37" Type="http://schemas.openxmlformats.org/officeDocument/2006/relationships/chartsheet" Target="chartsheets/sheet21.xml"/><Relationship Id="rId40" Type="http://schemas.openxmlformats.org/officeDocument/2006/relationships/chartsheet" Target="chartsheets/sheet22.xml"/><Relationship Id="rId45" Type="http://schemas.openxmlformats.org/officeDocument/2006/relationships/chartsheet" Target="chartsheets/sheet27.xml"/><Relationship Id="rId53" Type="http://schemas.openxmlformats.org/officeDocument/2006/relationships/chartsheet" Target="chartsheets/sheet32.xml"/><Relationship Id="rId58" Type="http://schemas.openxmlformats.org/officeDocument/2006/relationships/chartsheet" Target="chartsheets/sheet35.xml"/><Relationship Id="rId66" Type="http://schemas.openxmlformats.org/officeDocument/2006/relationships/worksheet" Target="worksheets/sheet28.xml"/><Relationship Id="rId74" Type="http://schemas.openxmlformats.org/officeDocument/2006/relationships/worksheet" Target="worksheets/sheet30.xml"/><Relationship Id="rId79" Type="http://schemas.openxmlformats.org/officeDocument/2006/relationships/chartsheet" Target="chartsheets/sheet49.xml"/><Relationship Id="rId87" Type="http://schemas.openxmlformats.org/officeDocument/2006/relationships/worksheet" Target="worksheets/sheet33.xml"/><Relationship Id="rId102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24.xml"/><Relationship Id="rId82" Type="http://schemas.openxmlformats.org/officeDocument/2006/relationships/chartsheet" Target="chartsheets/sheet50.xml"/><Relationship Id="rId90" Type="http://schemas.openxmlformats.org/officeDocument/2006/relationships/chartsheet" Target="chartsheets/sheet55.xml"/><Relationship Id="rId95" Type="http://schemas.openxmlformats.org/officeDocument/2006/relationships/pivotCacheDefinition" Target="pivotCache/pivotCacheDefinition5.xml"/><Relationship Id="rId19" Type="http://schemas.openxmlformats.org/officeDocument/2006/relationships/worksheet" Target="worksheets/sheet12.xml"/><Relationship Id="rId14" Type="http://schemas.openxmlformats.org/officeDocument/2006/relationships/chartsheet" Target="chartsheets/sheet3.xml"/><Relationship Id="rId22" Type="http://schemas.openxmlformats.org/officeDocument/2006/relationships/worksheet" Target="worksheets/sheet13.xml"/><Relationship Id="rId27" Type="http://schemas.openxmlformats.org/officeDocument/2006/relationships/chartsheet" Target="chartsheets/sheet13.xml"/><Relationship Id="rId30" Type="http://schemas.openxmlformats.org/officeDocument/2006/relationships/worksheet" Target="worksheets/sheet15.xml"/><Relationship Id="rId35" Type="http://schemas.openxmlformats.org/officeDocument/2006/relationships/chartsheet" Target="chartsheets/sheet19.xml"/><Relationship Id="rId43" Type="http://schemas.openxmlformats.org/officeDocument/2006/relationships/chartsheet" Target="chartsheets/sheet25.xml"/><Relationship Id="rId48" Type="http://schemas.openxmlformats.org/officeDocument/2006/relationships/chartsheet" Target="chartsheets/sheet29.xml"/><Relationship Id="rId56" Type="http://schemas.openxmlformats.org/officeDocument/2006/relationships/worksheet" Target="worksheets/sheet23.xml"/><Relationship Id="rId64" Type="http://schemas.openxmlformats.org/officeDocument/2006/relationships/chartsheet" Target="chartsheets/sheet38.xml"/><Relationship Id="rId69" Type="http://schemas.openxmlformats.org/officeDocument/2006/relationships/chartsheet" Target="chartsheets/sheet41.xml"/><Relationship Id="rId77" Type="http://schemas.openxmlformats.org/officeDocument/2006/relationships/chartsheet" Target="chartsheets/sheet47.xml"/><Relationship Id="rId100" Type="http://schemas.openxmlformats.org/officeDocument/2006/relationships/pivotCacheDefinition" Target="pivotCache/pivotCacheDefinition10.xml"/><Relationship Id="rId105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21.xml"/><Relationship Id="rId72" Type="http://schemas.openxmlformats.org/officeDocument/2006/relationships/chartsheet" Target="chartsheets/sheet44.xml"/><Relationship Id="rId80" Type="http://schemas.openxmlformats.org/officeDocument/2006/relationships/worksheet" Target="worksheets/sheet31.xml"/><Relationship Id="rId85" Type="http://schemas.openxmlformats.org/officeDocument/2006/relationships/chartsheet" Target="chartsheets/sheet53.xml"/><Relationship Id="rId93" Type="http://schemas.openxmlformats.org/officeDocument/2006/relationships/pivotCacheDefinition" Target="pivotCache/pivotCacheDefinition3.xml"/><Relationship Id="rId98" Type="http://schemas.openxmlformats.org/officeDocument/2006/relationships/pivotCacheDefinition" Target="pivotCache/pivotCacheDefinition8.xml"/><Relationship Id="rId3" Type="http://schemas.openxmlformats.org/officeDocument/2006/relationships/worksheet" Target="worksheets/sheet3.xml"/><Relationship Id="rId12" Type="http://schemas.openxmlformats.org/officeDocument/2006/relationships/chartsheet" Target="chartsheets/sheet2.xml"/><Relationship Id="rId17" Type="http://schemas.openxmlformats.org/officeDocument/2006/relationships/chartsheet" Target="chartsheets/sheet6.xml"/><Relationship Id="rId25" Type="http://schemas.openxmlformats.org/officeDocument/2006/relationships/chartsheet" Target="chartsheets/sheet12.xml"/><Relationship Id="rId33" Type="http://schemas.openxmlformats.org/officeDocument/2006/relationships/chartsheet" Target="chartsheets/sheet17.xml"/><Relationship Id="rId38" Type="http://schemas.openxmlformats.org/officeDocument/2006/relationships/worksheet" Target="worksheets/sheet17.xml"/><Relationship Id="rId46" Type="http://schemas.openxmlformats.org/officeDocument/2006/relationships/worksheet" Target="worksheets/sheet19.xml"/><Relationship Id="rId59" Type="http://schemas.openxmlformats.org/officeDocument/2006/relationships/chartsheet" Target="chartsheets/sheet36.xml"/><Relationship Id="rId67" Type="http://schemas.openxmlformats.org/officeDocument/2006/relationships/chartsheet" Target="chartsheets/sheet39.xml"/><Relationship Id="rId103" Type="http://schemas.openxmlformats.org/officeDocument/2006/relationships/styles" Target="styles.xml"/><Relationship Id="rId20" Type="http://schemas.openxmlformats.org/officeDocument/2006/relationships/chartsheet" Target="chartsheets/sheet8.xml"/><Relationship Id="rId41" Type="http://schemas.openxmlformats.org/officeDocument/2006/relationships/chartsheet" Target="chartsheets/sheet23.xml"/><Relationship Id="rId54" Type="http://schemas.openxmlformats.org/officeDocument/2006/relationships/chartsheet" Target="chartsheets/sheet33.xml"/><Relationship Id="rId62" Type="http://schemas.openxmlformats.org/officeDocument/2006/relationships/worksheet" Target="worksheets/sheet25.xml"/><Relationship Id="rId70" Type="http://schemas.openxmlformats.org/officeDocument/2006/relationships/chartsheet" Target="chartsheets/sheet42.xml"/><Relationship Id="rId75" Type="http://schemas.openxmlformats.org/officeDocument/2006/relationships/chartsheet" Target="chartsheets/sheet45.xml"/><Relationship Id="rId83" Type="http://schemas.openxmlformats.org/officeDocument/2006/relationships/chartsheet" Target="chartsheets/sheet51.xml"/><Relationship Id="rId88" Type="http://schemas.openxmlformats.org/officeDocument/2006/relationships/worksheet" Target="worksheets/sheet34.xml"/><Relationship Id="rId91" Type="http://schemas.openxmlformats.org/officeDocument/2006/relationships/pivotCacheDefinition" Target="pivotCache/pivotCacheDefinition1.xml"/><Relationship Id="rId96" Type="http://schemas.openxmlformats.org/officeDocument/2006/relationships/pivotCacheDefinition" Target="pivotCache/pivotCacheDefinition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chartsheet" Target="chartsheets/sheet4.xml"/><Relationship Id="rId23" Type="http://schemas.openxmlformats.org/officeDocument/2006/relationships/chartsheet" Target="chartsheets/sheet10.xml"/><Relationship Id="rId28" Type="http://schemas.openxmlformats.org/officeDocument/2006/relationships/chartsheet" Target="chartsheets/sheet14.xml"/><Relationship Id="rId36" Type="http://schemas.openxmlformats.org/officeDocument/2006/relationships/chartsheet" Target="chartsheets/sheet20.xml"/><Relationship Id="rId49" Type="http://schemas.openxmlformats.org/officeDocument/2006/relationships/chartsheet" Target="chartsheets/sheet30.xml"/><Relationship Id="rId57" Type="http://schemas.openxmlformats.org/officeDocument/2006/relationships/chartsheet" Target="chartsheets/sheet34.xml"/><Relationship Id="rId106" Type="http://schemas.microsoft.com/office/2006/relationships/vbaProject" Target="vbaProject.bin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16.xml"/><Relationship Id="rId44" Type="http://schemas.openxmlformats.org/officeDocument/2006/relationships/chartsheet" Target="chartsheets/sheet26.xml"/><Relationship Id="rId52" Type="http://schemas.openxmlformats.org/officeDocument/2006/relationships/chartsheet" Target="chartsheets/sheet31.xml"/><Relationship Id="rId60" Type="http://schemas.openxmlformats.org/officeDocument/2006/relationships/chartsheet" Target="chartsheets/sheet37.xml"/><Relationship Id="rId65" Type="http://schemas.openxmlformats.org/officeDocument/2006/relationships/worksheet" Target="worksheets/sheet27.xml"/><Relationship Id="rId73" Type="http://schemas.openxmlformats.org/officeDocument/2006/relationships/worksheet" Target="worksheets/sheet29.xml"/><Relationship Id="rId78" Type="http://schemas.openxmlformats.org/officeDocument/2006/relationships/chartsheet" Target="chartsheets/sheet48.xml"/><Relationship Id="rId81" Type="http://schemas.openxmlformats.org/officeDocument/2006/relationships/worksheet" Target="worksheets/sheet32.xml"/><Relationship Id="rId86" Type="http://schemas.openxmlformats.org/officeDocument/2006/relationships/chartsheet" Target="chartsheets/sheet54.xml"/><Relationship Id="rId94" Type="http://schemas.openxmlformats.org/officeDocument/2006/relationships/pivotCacheDefinition" Target="pivotCache/pivotCacheDefinition4.xml"/><Relationship Id="rId99" Type="http://schemas.openxmlformats.org/officeDocument/2006/relationships/pivotCacheDefinition" Target="pivotCache/pivotCacheDefinition9.xml"/><Relationship Id="rId101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1.xml"/><Relationship Id="rId18" Type="http://schemas.openxmlformats.org/officeDocument/2006/relationships/chartsheet" Target="chartsheets/sheet7.xml"/><Relationship Id="rId39" Type="http://schemas.openxmlformats.org/officeDocument/2006/relationships/worksheet" Target="worksheets/sheet18.xml"/><Relationship Id="rId34" Type="http://schemas.openxmlformats.org/officeDocument/2006/relationships/chartsheet" Target="chartsheets/sheet18.xml"/><Relationship Id="rId50" Type="http://schemas.openxmlformats.org/officeDocument/2006/relationships/worksheet" Target="worksheets/sheet20.xml"/><Relationship Id="rId55" Type="http://schemas.openxmlformats.org/officeDocument/2006/relationships/worksheet" Target="worksheets/sheet22.xml"/><Relationship Id="rId76" Type="http://schemas.openxmlformats.org/officeDocument/2006/relationships/chartsheet" Target="chartsheets/sheet46.xml"/><Relationship Id="rId97" Type="http://schemas.openxmlformats.org/officeDocument/2006/relationships/pivotCacheDefinition" Target="pivotCache/pivotCacheDefinition7.xml"/><Relationship Id="rId104" Type="http://schemas.openxmlformats.org/officeDocument/2006/relationships/sharedStrings" Target="sharedStrings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1.xml"/></Relationships>
</file>

<file path=xl/charts/_rels/chart3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4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5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9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pivotSource>
    <c:name>[Statistiques CCA 2018.xlsm]Pivot-Prov!Tableau croisé dynamique1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Provenance des patients </a:t>
            </a:r>
          </a:p>
        </c:rich>
      </c:tx>
      <c:layout>
        <c:manualLayout>
          <c:xMode val="edge"/>
          <c:yMode val="edge"/>
          <c:x val="0.31935751635751547"/>
          <c:y val="2.2040819553017798E-2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LblPos val="bestFit"/>
          <c:showLegendKey val="1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</c:pivotFmt>
      <c:pivotFmt>
        <c:idx val="10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'Pivot-Prov'!$B$3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'Pivot-Prov'!$A$4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'Pivot-Prov'!$B$4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00D-4B73-9268-279E1477DD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89628928"/>
        <c:axId val="189030400"/>
      </c:barChart>
      <c:catAx>
        <c:axId val="1896289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9030400"/>
        <c:crosses val="autoZero"/>
        <c:auto val="1"/>
        <c:lblAlgn val="ctr"/>
        <c:lblOffset val="100"/>
        <c:noMultiLvlLbl val="0"/>
      </c:catAx>
      <c:valAx>
        <c:axId val="189030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9628928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2018.xlsm]Pivot-Prov!Tableau croisé dynamique2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Provenance</a:t>
            </a:r>
            <a:r>
              <a:rPr lang="fr-BE" baseline="0"/>
              <a:t> des patients </a:t>
            </a:r>
            <a:endParaRPr lang="fr-BE"/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dLbl>
          <c:idx val="0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</c:pivotFmt>
      <c:pivotFmt>
        <c:idx val="88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'Pivot-Prov'!$E$3:$E$4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'Pivot-Prov'!$D$5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'Pivot-Prov'!$E$5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9239-4772-A6B4-A620346AED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"/>
        <c:overlap val="100"/>
        <c:axId val="189629952"/>
        <c:axId val="189032128"/>
      </c:barChart>
      <c:catAx>
        <c:axId val="189629952"/>
        <c:scaling>
          <c:orientation val="minMax"/>
        </c:scaling>
        <c:delete val="0"/>
        <c:axPos val="b"/>
        <c:minorGridlines/>
        <c:numFmt formatCode="General" sourceLinked="0"/>
        <c:majorTickMark val="none"/>
        <c:minorTickMark val="none"/>
        <c:tickLblPos val="nextTo"/>
        <c:crossAx val="189032128"/>
        <c:crosses val="autoZero"/>
        <c:auto val="1"/>
        <c:lblAlgn val="ctr"/>
        <c:lblOffset val="100"/>
        <c:noMultiLvlLbl val="0"/>
      </c:catAx>
      <c:valAx>
        <c:axId val="1890321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896299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solidFill>
      <a:sysClr val="window" lastClr="FFFFFF"/>
    </a:solidFill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2018.xlsm]Pivotr-Type Int!Tableau croisé dynamique2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par type d'intervention</a:t>
            </a:r>
          </a:p>
        </c:rich>
      </c:tx>
      <c:layout/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dLbl>
          <c:idx val="0"/>
          <c:layout>
            <c:manualLayout>
              <c:x val="1.8735300921723191E-2"/>
              <c:y val="-3.1185471566998624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layout>
            <c:manualLayout>
              <c:x val="-1.45296149489336E-2"/>
              <c:y val="3.2670053755017195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7476709095981163"/>
          <c:y val="0.22421516667786598"/>
          <c:w val="0.45649212904663394"/>
          <c:h val="0.69946373761066472"/>
        </c:manualLayout>
      </c:layout>
      <c:pieChart>
        <c:varyColors val="1"/>
        <c:ser>
          <c:idx val="0"/>
          <c:order val="0"/>
          <c:tx>
            <c:strRef>
              <c:f>'Pivotr-Type Int'!$O$4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'Pivotr-Type Int'!$N$5:$N$6</c:f>
              <c:strCache>
                <c:ptCount val="1"/>
                <c:pt idx="0">
                  <c:v> </c:v>
                </c:pt>
              </c:strCache>
            </c:strRef>
          </c:cat>
          <c:val>
            <c:numRef>
              <c:f>'Pivotr-Type Int'!$O$5:$O$6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55-446A-A7E6-EE1661CA70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2018.xlsm]Pivotr-Type Int!Tableau croisé dynamique5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par Type  d'intervention</a:t>
            </a:r>
          </a:p>
        </c:rich>
      </c:tx>
      <c:layout/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'Pivotr-Type Int'!$B$22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'Pivotr-Type Int'!$A$23:$A$24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'Pivotr-Type Int'!$B$23:$B$24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56-486B-8A10-5A52975012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par types</a:t>
            </a:r>
            <a:r>
              <a:rPr lang="en-US" baseline="0"/>
              <a:t> d'interventions 2016</a:t>
            </a:r>
            <a:endParaRPr lang="en-US"/>
          </a:p>
        </c:rich>
      </c:tx>
      <c:layout>
        <c:manualLayout>
          <c:xMode val="edge"/>
          <c:yMode val="edge"/>
          <c:x val="0.21155215107671976"/>
          <c:y val="3.039026091575767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2"/>
              <c:pt idx="0">
                <c:v>1 Pl</c:v>
              </c:pt>
              <c:pt idx="1">
                <c:v>1 V</c:v>
              </c:pt>
              <c:pt idx="2">
                <c:v>2 V ou plus</c:v>
              </c:pt>
              <c:pt idx="3">
                <c:v>Aorte</c:v>
              </c:pt>
              <c:pt idx="4">
                <c:v>Autre</c:v>
              </c:pt>
              <c:pt idx="5">
                <c:v>CABG</c:v>
              </c:pt>
              <c:pt idx="6">
                <c:v>CABG + 1V</c:v>
              </c:pt>
              <c:pt idx="7">
                <c:v>CABG + 2V</c:v>
              </c:pt>
              <c:pt idx="8">
                <c:v>HTX</c:v>
              </c:pt>
              <c:pt idx="9">
                <c:v>LVAD</c:v>
              </c:pt>
              <c:pt idx="10">
                <c:v>RVAD</c:v>
              </c:pt>
              <c:pt idx="11">
                <c:v>TVR</c:v>
              </c:pt>
            </c:strLit>
          </c:cat>
          <c:val>
            <c:numLit>
              <c:formatCode>General</c:formatCode>
              <c:ptCount val="12"/>
              <c:pt idx="0">
                <c:v>5</c:v>
              </c:pt>
              <c:pt idx="1">
                <c:v>17</c:v>
              </c:pt>
              <c:pt idx="2">
                <c:v>5</c:v>
              </c:pt>
              <c:pt idx="3">
                <c:v>4</c:v>
              </c:pt>
              <c:pt idx="4">
                <c:v>10</c:v>
              </c:pt>
              <c:pt idx="5">
                <c:v>81</c:v>
              </c:pt>
              <c:pt idx="6">
                <c:v>19</c:v>
              </c:pt>
              <c:pt idx="7">
                <c:v>0</c:v>
              </c:pt>
              <c:pt idx="8">
                <c:v>4</c:v>
              </c:pt>
              <c:pt idx="9">
                <c:v>2</c:v>
              </c:pt>
              <c:pt idx="10">
                <c:v>0</c:v>
              </c:pt>
              <c:pt idx="11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C704-461B-B6CE-57450D0201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90062592"/>
        <c:axId val="189036160"/>
      </c:barChart>
      <c:catAx>
        <c:axId val="190062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9036160"/>
        <c:crosses val="autoZero"/>
        <c:auto val="1"/>
        <c:lblAlgn val="ctr"/>
        <c:lblOffset val="100"/>
        <c:noMultiLvlLbl val="0"/>
      </c:catAx>
      <c:valAx>
        <c:axId val="189036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062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ysClr val="window" lastClr="FFFFFF"/>
    </a:solidFill>
  </c:spPr>
  <c:extLst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Répartition</a:t>
            </a:r>
            <a:r>
              <a:rPr lang="fr-BE" baseline="0"/>
              <a:t> par types d'interventions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1 Pl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1</c:v>
              </c:pt>
              <c:pt idx="1">
                <c:v>0</c:v>
              </c:pt>
              <c:pt idx="2">
                <c:v>2</c:v>
              </c:pt>
              <c:pt idx="3">
                <c:v>1</c:v>
              </c:pt>
              <c:pt idx="4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5780-44D1-AAA1-49008961E290}"/>
            </c:ext>
          </c:extLst>
        </c:ser>
        <c:ser>
          <c:idx val="1"/>
          <c:order val="1"/>
          <c:tx>
            <c:v>1 V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2</c:v>
              </c:pt>
              <c:pt idx="1">
                <c:v>2</c:v>
              </c:pt>
              <c:pt idx="2">
                <c:v>5</c:v>
              </c:pt>
              <c:pt idx="3">
                <c:v>3</c:v>
              </c:pt>
              <c:pt idx="4">
                <c:v>5</c:v>
              </c:pt>
            </c:numLit>
          </c:val>
          <c:extLst>
            <c:ext xmlns:c16="http://schemas.microsoft.com/office/drawing/2014/chart" uri="{C3380CC4-5D6E-409C-BE32-E72D297353CC}">
              <c16:uniqueId val="{00000001-5780-44D1-AAA1-49008961E290}"/>
            </c:ext>
          </c:extLst>
        </c:ser>
        <c:ser>
          <c:idx val="2"/>
          <c:order val="2"/>
          <c:tx>
            <c:v>2 V ou plus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1</c:v>
              </c:pt>
              <c:pt idx="1">
                <c:v>1</c:v>
              </c:pt>
              <c:pt idx="2">
                <c:v>3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5780-44D1-AAA1-49008961E290}"/>
            </c:ext>
          </c:extLst>
        </c:ser>
        <c:ser>
          <c:idx val="3"/>
          <c:order val="3"/>
          <c:tx>
            <c:v>Aorte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0</c:v>
              </c:pt>
              <c:pt idx="3">
                <c:v>2</c:v>
              </c:pt>
              <c:pt idx="4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3-5780-44D1-AAA1-49008961E290}"/>
            </c:ext>
          </c:extLst>
        </c:ser>
        <c:ser>
          <c:idx val="4"/>
          <c:order val="4"/>
          <c:tx>
            <c:v>Autre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2</c:v>
              </c:pt>
              <c:pt idx="1">
                <c:v>2</c:v>
              </c:pt>
              <c:pt idx="2">
                <c:v>2</c:v>
              </c:pt>
              <c:pt idx="3">
                <c:v>1</c:v>
              </c:pt>
              <c:pt idx="4">
                <c:v>3</c:v>
              </c:pt>
            </c:numLit>
          </c:val>
          <c:extLst>
            <c:ext xmlns:c16="http://schemas.microsoft.com/office/drawing/2014/chart" uri="{C3380CC4-5D6E-409C-BE32-E72D297353CC}">
              <c16:uniqueId val="{00000004-5780-44D1-AAA1-49008961E290}"/>
            </c:ext>
          </c:extLst>
        </c:ser>
        <c:ser>
          <c:idx val="5"/>
          <c:order val="5"/>
          <c:tx>
            <c:v>CABG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18</c:v>
              </c:pt>
              <c:pt idx="1">
                <c:v>17</c:v>
              </c:pt>
              <c:pt idx="2">
                <c:v>12</c:v>
              </c:pt>
              <c:pt idx="3">
                <c:v>15</c:v>
              </c:pt>
              <c:pt idx="4">
                <c:v>19</c:v>
              </c:pt>
            </c:numLit>
          </c:val>
          <c:extLst>
            <c:ext xmlns:c16="http://schemas.microsoft.com/office/drawing/2014/chart" uri="{C3380CC4-5D6E-409C-BE32-E72D297353CC}">
              <c16:uniqueId val="{00000005-5780-44D1-AAA1-49008961E290}"/>
            </c:ext>
          </c:extLst>
        </c:ser>
        <c:ser>
          <c:idx val="6"/>
          <c:order val="6"/>
          <c:tx>
            <c:v>CABG + 1V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2</c:v>
              </c:pt>
              <c:pt idx="1">
                <c:v>4</c:v>
              </c:pt>
              <c:pt idx="2">
                <c:v>4</c:v>
              </c:pt>
              <c:pt idx="3">
                <c:v>6</c:v>
              </c:pt>
              <c:pt idx="4">
                <c:v>3</c:v>
              </c:pt>
            </c:numLit>
          </c:val>
          <c:extLst>
            <c:ext xmlns:c16="http://schemas.microsoft.com/office/drawing/2014/chart" uri="{C3380CC4-5D6E-409C-BE32-E72D297353CC}">
              <c16:uniqueId val="{00000006-5780-44D1-AAA1-49008961E290}"/>
            </c:ext>
          </c:extLst>
        </c:ser>
        <c:ser>
          <c:idx val="7"/>
          <c:order val="7"/>
          <c:tx>
            <c:v>CABG + 2V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7-5780-44D1-AAA1-49008961E290}"/>
            </c:ext>
          </c:extLst>
        </c:ser>
        <c:ser>
          <c:idx val="8"/>
          <c:order val="8"/>
          <c:tx>
            <c:v>HTX</c:v>
          </c:tx>
          <c:invertIfNegative val="0"/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2</c:v>
              </c:pt>
              <c:pt idx="2">
                <c:v>1</c:v>
              </c:pt>
              <c:pt idx="3">
                <c:v>1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8-5780-44D1-AAA1-49008961E290}"/>
            </c:ext>
          </c:extLst>
        </c:ser>
        <c:ser>
          <c:idx val="9"/>
          <c:order val="9"/>
          <c:tx>
            <c:v>LVAD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1</c:v>
              </c:pt>
              <c:pt idx="1">
                <c:v>0</c:v>
              </c:pt>
              <c:pt idx="2">
                <c:v>1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9-5780-44D1-AAA1-49008961E290}"/>
            </c:ext>
          </c:extLst>
        </c:ser>
        <c:ser>
          <c:idx val="10"/>
          <c:order val="10"/>
          <c:tx>
            <c:v>RVAD</c:v>
          </c:tx>
          <c:invertIfNegative val="0"/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A-5780-44D1-AAA1-49008961E290}"/>
            </c:ext>
          </c:extLst>
        </c:ser>
        <c:ser>
          <c:idx val="11"/>
          <c:order val="11"/>
          <c:tx>
            <c:v>RVAO</c:v>
          </c:tx>
          <c:invertIfNegative val="0"/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B-5780-44D1-AAA1-49008961E290}"/>
            </c:ext>
          </c:extLst>
        </c:ser>
        <c:ser>
          <c:idx val="12"/>
          <c:order val="12"/>
          <c:tx>
            <c:v>(vide)</c:v>
          </c:tx>
          <c:invertIfNegative val="0"/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C-5780-44D1-AAA1-49008961E2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266368"/>
        <c:axId val="189037888"/>
      </c:barChart>
      <c:catAx>
        <c:axId val="190266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9037888"/>
        <c:crosses val="autoZero"/>
        <c:auto val="1"/>
        <c:lblAlgn val="ctr"/>
        <c:lblOffset val="100"/>
        <c:noMultiLvlLbl val="0"/>
      </c:catAx>
      <c:valAx>
        <c:axId val="189037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266368"/>
        <c:crosses val="autoZero"/>
        <c:crossBetween val="between"/>
      </c:valAx>
      <c:spPr>
        <a:solidFill>
          <a:sysClr val="window" lastClr="FFFFFF"/>
        </a:solidFill>
      </c:spPr>
    </c:plotArea>
    <c:legend>
      <c:legendPos val="r"/>
      <c:overlay val="0"/>
    </c:legend>
    <c:plotVisOnly val="1"/>
    <c:dispBlanksAs val="gap"/>
    <c:showDLblsOverMax val="0"/>
  </c:chart>
  <c:spPr>
    <a:solidFill>
      <a:sysClr val="window" lastClr="FFFFFF"/>
    </a:solidFill>
  </c:sp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2018.xlsm]Pivotr-Type Int!Tableau croisé dynamique8</c:name>
    <c:fmtId val="5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Interventions &gt; K400 2017-2018 </a:t>
            </a:r>
          </a:p>
        </c:rich>
      </c:tx>
      <c:layout>
        <c:manualLayout>
          <c:xMode val="edge"/>
          <c:yMode val="edge"/>
          <c:x val="0.26717657821168667"/>
          <c:y val="1.258426877223613E-2"/>
        </c:manualLayout>
      </c:layout>
      <c:overlay val="1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2.8596573763767761E-2"/>
          <c:y val="1.281282744195443E-2"/>
          <c:w val="0.81288794917810592"/>
          <c:h val="0.924090833493420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'Pivotr-Type Int'!$M$24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'Pivotr-Type Int'!$L$25:$L$37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'Pivotr-Type Int'!$M$25:$M$37</c:f>
              <c:numCache>
                <c:formatCode>General</c:formatCode>
                <c:ptCount val="12"/>
                <c:pt idx="0">
                  <c:v>27</c:v>
                </c:pt>
                <c:pt idx="1">
                  <c:v>29</c:v>
                </c:pt>
                <c:pt idx="2">
                  <c:v>30</c:v>
                </c:pt>
                <c:pt idx="3">
                  <c:v>29</c:v>
                </c:pt>
                <c:pt idx="4">
                  <c:v>32</c:v>
                </c:pt>
                <c:pt idx="5">
                  <c:v>21</c:v>
                </c:pt>
                <c:pt idx="6">
                  <c:v>13</c:v>
                </c:pt>
                <c:pt idx="7">
                  <c:v>19</c:v>
                </c:pt>
                <c:pt idx="8">
                  <c:v>25</c:v>
                </c:pt>
                <c:pt idx="9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34-4106-B67A-B72D545321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112960"/>
        <c:axId val="194905216"/>
      </c:barChart>
      <c:catAx>
        <c:axId val="1951129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4905216"/>
        <c:crosses val="autoZero"/>
        <c:auto val="1"/>
        <c:lblAlgn val="ctr"/>
        <c:lblOffset val="100"/>
        <c:noMultiLvlLbl val="0"/>
      </c:catAx>
      <c:valAx>
        <c:axId val="194905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5112960"/>
        <c:crosses val="autoZero"/>
        <c:crossBetween val="between"/>
      </c:valAx>
      <c:spPr>
        <a:ln>
          <a:solidFill>
            <a:schemeClr val="accent1"/>
          </a:solidFill>
        </a:ln>
      </c:spPr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2018.xlsm]Pivot_Valves!Tableau croisé dynamique2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par type de valves </a:t>
            </a:r>
          </a:p>
        </c:rich>
      </c:tx>
      <c:layout>
        <c:manualLayout>
          <c:xMode val="edge"/>
          <c:yMode val="edge"/>
          <c:x val="0.3329432128676223"/>
          <c:y val="1.9953293239919817E-2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</c:pivotFmts>
    <c:plotArea>
      <c:layout>
        <c:manualLayout>
          <c:layoutTarget val="inner"/>
          <c:xMode val="edge"/>
          <c:yMode val="edge"/>
          <c:x val="0.21029780471704398"/>
          <c:y val="0.22171711416049705"/>
          <c:w val="0.45714185218844727"/>
          <c:h val="0.69990504246574725"/>
        </c:manualLayout>
      </c:layout>
      <c:pieChart>
        <c:varyColors val="1"/>
        <c:ser>
          <c:idx val="0"/>
          <c:order val="0"/>
          <c:tx>
            <c:strRef>
              <c:f>Pivot_Valves!$K$4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Pivot_Valves!$J$5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Pivot_Valves!$K$5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F2-4F24-8D73-2491CAE9C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2018.xlsm]Pivot_Valves!Tableau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Répartition</a:t>
            </a:r>
            <a:r>
              <a:rPr lang="fr-BE" baseline="0"/>
              <a:t> par de type de valves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Pivot_Valves!$B$3:$B$4</c:f>
              <c:strCache>
                <c:ptCount val="1"/>
                <c:pt idx="0">
                  <c:v> </c:v>
                </c:pt>
              </c:strCache>
            </c:strRef>
          </c:tx>
          <c:invertIfNegative val="0"/>
          <c:cat>
            <c:strRef>
              <c:f>Pivot_Valves!$A$5:$A$17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DECEMBRE</c:v>
                </c:pt>
                <c:pt idx="11">
                  <c:v>DÉCEMBRE</c:v>
                </c:pt>
              </c:strCache>
            </c:strRef>
          </c:cat>
          <c:val>
            <c:numRef>
              <c:f>Pivot_Valves!$B$5:$B$17</c:f>
              <c:numCache>
                <c:formatCode>General</c:formatCode>
                <c:ptCount val="12"/>
                <c:pt idx="0">
                  <c:v>27</c:v>
                </c:pt>
                <c:pt idx="1">
                  <c:v>29</c:v>
                </c:pt>
                <c:pt idx="2">
                  <c:v>30</c:v>
                </c:pt>
                <c:pt idx="3">
                  <c:v>29</c:v>
                </c:pt>
                <c:pt idx="4">
                  <c:v>32</c:v>
                </c:pt>
                <c:pt idx="5">
                  <c:v>21</c:v>
                </c:pt>
                <c:pt idx="6">
                  <c:v>13</c:v>
                </c:pt>
                <c:pt idx="7">
                  <c:v>20</c:v>
                </c:pt>
                <c:pt idx="8">
                  <c:v>25</c:v>
                </c:pt>
                <c:pt idx="9">
                  <c:v>32</c:v>
                </c:pt>
                <c:pt idx="10">
                  <c:v>2</c:v>
                </c:pt>
                <c:pt idx="11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C3-46C5-A6AD-BB4D236C4C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axId val="188601856"/>
        <c:axId val="194908096"/>
      </c:barChart>
      <c:catAx>
        <c:axId val="1886018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4908096"/>
        <c:crosses val="autoZero"/>
        <c:auto val="1"/>
        <c:lblAlgn val="ctr"/>
        <c:lblOffset val="100"/>
        <c:noMultiLvlLbl val="0"/>
      </c:catAx>
      <c:valAx>
        <c:axId val="194908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8601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 délai intervention!Tableau croisé dynamique3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 délai intervention'!$H$49:$H$50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 délai intervention'!$G$51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 délai intervention'!$H$51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D-4C0A-B8BB-E474A9BC5C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0194176"/>
        <c:axId val="194909824"/>
      </c:barChart>
      <c:catAx>
        <c:axId val="1901941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4909824"/>
        <c:crosses val="autoZero"/>
        <c:auto val="1"/>
        <c:lblAlgn val="ctr"/>
        <c:lblOffset val="100"/>
        <c:noMultiLvlLbl val="0"/>
      </c:catAx>
      <c:valAx>
        <c:axId val="19490982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901941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7"/>
    </mc:Choice>
    <mc:Fallback>
      <c:style val="37"/>
    </mc:Fallback>
  </mc:AlternateContent>
  <c:pivotSource>
    <c:name>[Statistiques CCA 2018.xlsm]Pivot délai intervention!Tableau croisé dynamique4</c:name>
    <c:fmtId val="5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Statut en % du total des patients selon délai d'intervention</a:t>
            </a:r>
          </a:p>
        </c:rich>
      </c:tx>
      <c:layout/>
      <c:overlay val="0"/>
    </c:title>
    <c:autoTitleDeleted val="0"/>
    <c:pivotFmts>
      <c:pivotFmt>
        <c:idx val="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layout>
            <c:manualLayout>
              <c:x val="0"/>
              <c:y val="-4.3336949674768137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layout>
            <c:manualLayout>
              <c:x val="-1.6532340316793486E-3"/>
              <c:y val="-3.4669559739814511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layout>
            <c:manualLayout>
              <c:x val="-1.6532340316793486E-3"/>
              <c:y val="-3.755868971813249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layout>
            <c:manualLayout>
              <c:x val="-6.061788089864325E-17"/>
              <c:y val="-3.178042976149674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layout>
            <c:manualLayout>
              <c:x val="1.6532340316793486E-3"/>
              <c:y val="-4.6226307143635487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layout>
            <c:manualLayout>
              <c:x val="-1.5154470224660812E-17"/>
              <c:y val="-5.2004339609721763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layout>
            <c:manualLayout>
              <c:x val="-4.9597020950380459E-3"/>
              <c:y val="-0.2918021278101055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</c:pivotFmt>
      <c:pivotFmt>
        <c:idx val="10"/>
      </c:pivotFmt>
      <c:pivotFmt>
        <c:idx val="11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layout>
            <c:manualLayout>
              <c:x val="2.73612193710539E-3"/>
              <c:y val="-4.2020198811787892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</c:pivotFmt>
      <c:pivotFmt>
        <c:idx val="15"/>
        <c:dLbl>
          <c:idx val="0"/>
          <c:layout>
            <c:manualLayout>
              <c:x val="6.8403048427634746E-3"/>
              <c:y val="-3.9919188871198497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4.5331831267022664E-2"/>
          <c:y val="0.17572135777519263"/>
          <c:w val="0.79426302017017381"/>
          <c:h val="0.7342899049615597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'Pivot délai intervention'!$B$42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multiLvlStrRef>
              <c:f>'Pivot délai intervention'!$A$43:$A$54</c:f>
              <c:multiLvlStrCache>
                <c:ptCount val="8"/>
                <c:lvl>
                  <c:pt idx="0">
                    <c:v>ALIVE</c:v>
                  </c:pt>
                  <c:pt idx="1">
                    <c:v>DECEASED</c:v>
                  </c:pt>
                  <c:pt idx="2">
                    <c:v>ALIVE</c:v>
                  </c:pt>
                  <c:pt idx="3">
                    <c:v>DECEASED</c:v>
                  </c:pt>
                  <c:pt idx="4">
                    <c:v>ALIVE</c:v>
                  </c:pt>
                  <c:pt idx="5">
                    <c:v>DECEASED</c:v>
                  </c:pt>
                  <c:pt idx="6">
                    <c:v>ALIVE</c:v>
                  </c:pt>
                  <c:pt idx="7">
                    <c:v>DECEASED</c:v>
                  </c:pt>
                </c:lvl>
                <c:lvl>
                  <c:pt idx="0">
                    <c:v>ELECTIVE</c:v>
                  </c:pt>
                  <c:pt idx="2">
                    <c:v>EMERGENCY</c:v>
                  </c:pt>
                  <c:pt idx="4">
                    <c:v>SALVAGE</c:v>
                  </c:pt>
                  <c:pt idx="6">
                    <c:v>URGENCY</c:v>
                  </c:pt>
                </c:lvl>
              </c:multiLvlStrCache>
            </c:multiLvlStrRef>
          </c:cat>
          <c:val>
            <c:numRef>
              <c:f>'Pivot délai intervention'!$B$43:$B$54</c:f>
              <c:numCache>
                <c:formatCode>0.0%</c:formatCode>
                <c:ptCount val="8"/>
                <c:pt idx="0">
                  <c:v>0.62403100775193798</c:v>
                </c:pt>
                <c:pt idx="1">
                  <c:v>1.937984496124031E-2</c:v>
                </c:pt>
                <c:pt idx="2">
                  <c:v>6.589147286821706E-2</c:v>
                </c:pt>
                <c:pt idx="3">
                  <c:v>1.937984496124031E-2</c:v>
                </c:pt>
                <c:pt idx="4">
                  <c:v>3.875968992248062E-3</c:v>
                </c:pt>
                <c:pt idx="5">
                  <c:v>3.875968992248062E-3</c:v>
                </c:pt>
                <c:pt idx="6">
                  <c:v>0.22480620155038761</c:v>
                </c:pt>
                <c:pt idx="7">
                  <c:v>3.875968992248062E-2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19-4F69-A6C1-E776B1345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0196736"/>
        <c:axId val="194911552"/>
      </c:barChart>
      <c:catAx>
        <c:axId val="1901967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4911552"/>
        <c:crosses val="autoZero"/>
        <c:auto val="1"/>
        <c:lblAlgn val="ctr"/>
        <c:lblOffset val="100"/>
        <c:noMultiLvlLbl val="0"/>
      </c:catAx>
      <c:valAx>
        <c:axId val="194911552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1901967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 délai intervention!Tableau croisé dynamique7</c:name>
    <c:fmtId val="6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 délai intervention'!$B$33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'Pivot délai intervention'!$A$34:$A$37</c:f>
              <c:strCache>
                <c:ptCount val="4"/>
                <c:pt idx="0">
                  <c:v>ELECTIVE</c:v>
                </c:pt>
                <c:pt idx="1">
                  <c:v>EMERGENCY</c:v>
                </c:pt>
                <c:pt idx="2">
                  <c:v>SALVAGE</c:v>
                </c:pt>
                <c:pt idx="3">
                  <c:v>URGENCY</c:v>
                </c:pt>
              </c:strCache>
            </c:strRef>
          </c:cat>
          <c:val>
            <c:numRef>
              <c:f>'Pivot délai intervention'!$B$34:$B$37</c:f>
              <c:numCache>
                <c:formatCode>0.00%</c:formatCode>
                <c:ptCount val="4"/>
                <c:pt idx="0">
                  <c:v>0.64341085271317833</c:v>
                </c:pt>
                <c:pt idx="1">
                  <c:v>8.5271317829457363E-2</c:v>
                </c:pt>
                <c:pt idx="2">
                  <c:v>7.7519379844961239E-3</c:v>
                </c:pt>
                <c:pt idx="3">
                  <c:v>0.26356589147286824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9E-4804-8F58-580245D09B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% des DCD suivant "Délai intervention" 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v>Total</c:v>
          </c:tx>
          <c:explosion val="1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Lit>
              <c:ptCount val="4"/>
              <c:pt idx="0">
                <c:v>ELECTIVE</c:v>
              </c:pt>
              <c:pt idx="1">
                <c:v>EMERGENCY</c:v>
              </c:pt>
              <c:pt idx="2">
                <c:v>SALVAGE</c:v>
              </c:pt>
              <c:pt idx="3">
                <c:v>URGENCY</c:v>
              </c:pt>
            </c:strLit>
          </c:cat>
          <c:val>
            <c:numLit>
              <c:formatCode>General</c:formatCode>
              <c:ptCount val="4"/>
              <c:pt idx="0">
                <c:v>0.41666666666666669</c:v>
              </c:pt>
              <c:pt idx="1">
                <c:v>0.25</c:v>
              </c:pt>
              <c:pt idx="2">
                <c:v>8.3333333333333329E-2</c:v>
              </c:pt>
              <c:pt idx="3">
                <c:v>0.25</c:v>
              </c:pt>
            </c:numLit>
          </c:val>
          <c:extLst>
            <c:ext xmlns:c16="http://schemas.microsoft.com/office/drawing/2014/chart" uri="{C3380CC4-5D6E-409C-BE32-E72D297353CC}">
              <c16:uniqueId val="{00000000-8BB8-4137-9E99-ED8D354264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extLst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pivotSource>
    <c:name>[Statistiques CCA 2018.xlsm]Pivot_Survie!Tableau croisé dynamique3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vivants/décédés </a:t>
            </a:r>
          </a:p>
        </c:rich>
      </c:tx>
      <c:layout/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  <c:spPr>
          <a:solidFill>
            <a:schemeClr val="tx2">
              <a:lumMod val="40000"/>
              <a:lumOff val="60000"/>
            </a:schemeClr>
          </a:solidFill>
          <a:ln>
            <a:solidFill>
              <a:schemeClr val="accent1"/>
            </a:solidFill>
          </a:ln>
        </c:spPr>
        <c:marker>
          <c:symbol val="none"/>
        </c:marker>
        <c:dLbl>
          <c:idx val="0"/>
          <c:layout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"/>
      </c:pivotFmt>
      <c:pivotFmt>
        <c:idx val="5"/>
      </c:pivotFmt>
      <c:pivotFmt>
        <c:idx val="6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Pivot_Survie!$H$4</c:f>
              <c:strCache>
                <c:ptCount val="1"/>
                <c:pt idx="0">
                  <c:v>Total</c:v>
                </c:pt>
              </c:strCache>
            </c:strRef>
          </c:tx>
          <c:explosion val="25"/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0-3E62-4494-B8E5-CA36B1C72752}"/>
              </c:ext>
            </c:extLst>
          </c:dPt>
          <c:cat>
            <c:strRef>
              <c:f>Pivot_Survie!$G$5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Pivot_Survie!$H$5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62-4494-B8E5-CA36B1C727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2018.xlsm]Pivot_Survie!Tableau croisé dynamique3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</a:t>
            </a:r>
            <a:r>
              <a:rPr lang="en-US" baseline="0"/>
              <a:t>vivants/décédés 2016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99FF66"/>
          </a:solidFill>
        </c:spPr>
      </c:pivotFmt>
      <c:pivotFmt>
        <c:idx val="5"/>
        <c:spPr>
          <a:solidFill>
            <a:srgbClr val="7E000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lumMod val="75000"/>
            </a:schemeClr>
          </a:solidFill>
        </c:spPr>
      </c:pivotFmt>
      <c:pivotFmt>
        <c:idx val="7"/>
      </c:pivotFmt>
      <c:pivotFmt>
        <c:idx val="8"/>
        <c:spPr>
          <a:solidFill>
            <a:schemeClr val="accent1">
              <a:lumMod val="75000"/>
            </a:schemeClr>
          </a:solidFill>
        </c:spPr>
      </c:pivotFmt>
      <c:pivotFmt>
        <c:idx val="9"/>
        <c:spPr>
          <a:solidFill>
            <a:schemeClr val="accent1">
              <a:lumMod val="75000"/>
            </a:schemeClr>
          </a:solidFill>
        </c:spPr>
      </c:pivotFmt>
      <c:pivotFmt>
        <c:idx val="10"/>
        <c:spPr>
          <a:solidFill>
            <a:schemeClr val="accent1">
              <a:lumMod val="75000"/>
            </a:schemeClr>
          </a:solidFill>
        </c:spPr>
      </c:pivotFmt>
      <c:pivotFmt>
        <c:idx val="11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Pivot_Survie!$H$4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E0000"/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E1D0-4B89-B67D-6C5070D156FE}"/>
              </c:ext>
            </c:extLst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Pivot_Survie!$G$5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Pivot_Survie!$H$5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D0-4B89-B67D-6C5070D156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97448704"/>
        <c:axId val="196612608"/>
      </c:barChart>
      <c:catAx>
        <c:axId val="1974487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612608"/>
        <c:crosses val="autoZero"/>
        <c:auto val="1"/>
        <c:lblAlgn val="ctr"/>
        <c:lblOffset val="100"/>
        <c:noMultiLvlLbl val="0"/>
      </c:catAx>
      <c:valAx>
        <c:axId val="196612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74487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2018.xlsm]Pivot_Survie!Tableau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Mortalité </a:t>
            </a:r>
          </a:p>
        </c:rich>
      </c:tx>
      <c:layout>
        <c:manualLayout>
          <c:xMode val="edge"/>
          <c:yMode val="edge"/>
          <c:x val="0.44052817330527938"/>
          <c:y val="1.6270905973266971E-3"/>
        </c:manualLayout>
      </c:layout>
      <c:overlay val="1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</c:pivotFmt>
      <c:pivotFmt>
        <c:idx val="10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Pivot_Survie!$B$3:$B$4</c:f>
              <c:strCache>
                <c:ptCount val="1"/>
                <c:pt idx="0">
                  <c:v>Total général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Pivot_Survie!$A$5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Pivot_Survie!$B$5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B6-4C77-B57F-7F848B1244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7450752"/>
        <c:axId val="196614336"/>
      </c:barChart>
      <c:catAx>
        <c:axId val="1974507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614336"/>
        <c:crosses val="autoZero"/>
        <c:auto val="1"/>
        <c:lblAlgn val="ctr"/>
        <c:lblOffset val="100"/>
        <c:noMultiLvlLbl val="0"/>
      </c:catAx>
      <c:valAx>
        <c:axId val="196614336"/>
        <c:scaling>
          <c:orientation val="minMax"/>
          <c:max val="1"/>
          <c:min val="0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974507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ysClr val="window" lastClr="FFFFFF"/>
    </a:solidFill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CALCULS_USI!$E$3:$E$7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CALCULS_USI!$F$3:$F$7</c:f>
              <c:numCache>
                <c:formatCode>0.0</c:formatCode>
                <c:ptCount val="5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C3-419D-8183-80B75BC1043B}"/>
            </c:ext>
          </c:extLst>
        </c:ser>
        <c:ser>
          <c:idx val="1"/>
          <c:order val="1"/>
          <c:invertIfNegative val="0"/>
          <c:cat>
            <c:strRef>
              <c:f>CALCULS_USI!$E$3:$E$7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CALCULS_USI!$G$3:$G$7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C3-419D-8183-80B75BC104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898240"/>
        <c:axId val="197197824"/>
      </c:barChart>
      <c:catAx>
        <c:axId val="1978982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7197824"/>
        <c:crosses val="autoZero"/>
        <c:auto val="1"/>
        <c:lblAlgn val="ctr"/>
        <c:lblOffset val="100"/>
        <c:noMultiLvlLbl val="0"/>
      </c:catAx>
      <c:valAx>
        <c:axId val="197197824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978982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effectLst/>
              </a:rPr>
              <a:t>Moyenne nb de jours USI (toutes interventions)</a:t>
            </a:r>
            <a:endParaRPr lang="fr-BE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CALCULS_USI!$B$2</c:f>
              <c:strCache>
                <c:ptCount val="1"/>
                <c:pt idx="0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CALCULS_USI!$A$3:$A$7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CALCULS_USI!$B$3:$B$7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0B-409D-AF52-4C09AC0F0E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7878272"/>
        <c:axId val="197199552"/>
      </c:barChart>
      <c:lineChart>
        <c:grouping val="standard"/>
        <c:varyColors val="0"/>
        <c:ser>
          <c:idx val="1"/>
          <c:order val="1"/>
          <c:tx>
            <c:strRef>
              <c:f>CALCULS_USI!$C$2</c:f>
              <c:strCache>
                <c:ptCount val="1"/>
                <c:pt idx="0">
                  <c:v>Médiane de Nbr de j hospi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66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CALCULS_USI!$A$3:$A$7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CALCULS_USI!$C$3:$C$7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0B-409D-AF52-4C09AC0F0E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878272"/>
        <c:axId val="197199552"/>
      </c:lineChart>
      <c:catAx>
        <c:axId val="197878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7199552"/>
        <c:crosses val="autoZero"/>
        <c:auto val="1"/>
        <c:lblAlgn val="ctr"/>
        <c:lblOffset val="100"/>
        <c:noMultiLvlLbl val="0"/>
      </c:catAx>
      <c:valAx>
        <c:axId val="197199552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787827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2018.xlsm]Pivot_USI!Tableau croisé dynamique3</c:name>
    <c:fmtId val="12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u="none" strike="noStrike" baseline="0">
                <a:effectLst/>
              </a:rPr>
              <a:t>Moyenne nb de jours USI (toutes interventions)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60000"/>
                    <a:lumOff val="4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bg1">
              <a:lumMod val="85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99FF66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Pivot_USI!$C$4:$C$5</c:f>
              <c:strCache>
                <c:ptCount val="1"/>
                <c:pt idx="0">
                  <c:v>Moyenne de Nbr de j USI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Pivot_USI!$C$6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722-41BD-8FFA-44CB5B835F08}"/>
            </c:ext>
          </c:extLst>
        </c:ser>
        <c:ser>
          <c:idx val="3"/>
          <c:order val="3"/>
          <c:tx>
            <c:strRef>
              <c:f>Pivot_USI!$E$4:$E$5</c:f>
              <c:strCache>
                <c:ptCount val="1"/>
                <c:pt idx="0">
                  <c:v>Écartype de Nbr de j USI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Pivot_USI!$E$6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D722-41BD-8FFA-44CB5B835F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901824"/>
        <c:axId val="197201856"/>
      </c:barChart>
      <c:lineChart>
        <c:grouping val="standard"/>
        <c:varyColors val="0"/>
        <c:ser>
          <c:idx val="0"/>
          <c:order val="0"/>
          <c:tx>
            <c:strRef>
              <c:f>Pivot_USI!$B$4:$B$5</c:f>
              <c:strCache>
                <c:ptCount val="1"/>
                <c:pt idx="0">
                  <c:v>Min de Nbr de j USI_RV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99FF66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Pivot_USI!$B$6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22-41BD-8FFA-44CB5B835F08}"/>
            </c:ext>
          </c:extLst>
        </c:ser>
        <c:ser>
          <c:idx val="2"/>
          <c:order val="2"/>
          <c:tx>
            <c:strRef>
              <c:f>Pivot_USI!$D$4:$D$5</c:f>
              <c:strCache>
                <c:ptCount val="1"/>
                <c:pt idx="0">
                  <c:v>Max de Nbr de j USI_RV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Pivot_USI!$D$6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722-41BD-8FFA-44CB5B835F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901824"/>
        <c:axId val="197201856"/>
      </c:lineChart>
      <c:catAx>
        <c:axId val="1979018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7201856"/>
        <c:crosses val="autoZero"/>
        <c:auto val="1"/>
        <c:lblAlgn val="ctr"/>
        <c:lblOffset val="100"/>
        <c:noMultiLvlLbl val="0"/>
      </c:catAx>
      <c:valAx>
        <c:axId val="197201856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79018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Moyenne nb de jours USI (hors LVAD &amp; TX) 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CALCULS_USI!$F$1:$F$2</c:f>
              <c:strCache>
                <c:ptCount val="2"/>
                <c:pt idx="0">
                  <c:v>Intervention-activité</c:v>
                </c:pt>
                <c:pt idx="1">
                  <c:v>Moyenne de Nbr de j USI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CALCULS_USI!$E$3:$E$12</c:f>
              <c:strCache>
                <c:ptCount val="10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CALCULS_USI!$F$3:$F$12</c:f>
              <c:numCache>
                <c:formatCode>0.0</c:formatCode>
                <c:ptCount val="10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B8-47F8-AF29-C49CD66C7C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7924352"/>
        <c:axId val="197203584"/>
      </c:barChart>
      <c:lineChart>
        <c:grouping val="standard"/>
        <c:varyColors val="0"/>
        <c:ser>
          <c:idx val="1"/>
          <c:order val="1"/>
          <c:tx>
            <c:strRef>
              <c:f>CALCULS_USI!$G$1:$G$2</c:f>
              <c:strCache>
                <c:ptCount val="2"/>
                <c:pt idx="0">
                  <c:v>Exclu "LVAD" &amp; "TX"</c:v>
                </c:pt>
                <c:pt idx="1">
                  <c:v>Médiane de Nbr de j USI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CALCULS_USI!$E$3:$E$12</c:f>
              <c:strCache>
                <c:ptCount val="10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CALCULS_USI!$G$3:$G$12</c:f>
              <c:numCache>
                <c:formatCode>0.00</c:formatCode>
                <c:ptCount val="10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B8-47F8-AF29-C49CD66C7C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924352"/>
        <c:axId val="197203584"/>
      </c:lineChart>
      <c:catAx>
        <c:axId val="1979243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7203584"/>
        <c:crosses val="autoZero"/>
        <c:auto val="1"/>
        <c:lblAlgn val="ctr"/>
        <c:lblOffset val="100"/>
        <c:noMultiLvlLbl val="0"/>
      </c:catAx>
      <c:valAx>
        <c:axId val="197203584"/>
        <c:scaling>
          <c:orientation val="minMax"/>
        </c:scaling>
        <c:delete val="0"/>
        <c:axPos val="l"/>
        <c:majorGridlines/>
        <c:numFmt formatCode="0.0" sourceLinked="1"/>
        <c:majorTickMark val="none"/>
        <c:minorTickMark val="none"/>
        <c:tickLblPos val="nextTo"/>
        <c:crossAx val="1979243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2018.xlsm]Pivot_USI!Tableau croisé dynamique4</c:name>
    <c:fmtId val="10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Moyenne nb de jours USI (hors</a:t>
            </a:r>
            <a:r>
              <a:rPr lang="fr-BE" baseline="0"/>
              <a:t> </a:t>
            </a:r>
            <a:r>
              <a:rPr lang="fr-BE"/>
              <a:t>LVAD</a:t>
            </a:r>
            <a:r>
              <a:rPr lang="fr-BE" baseline="0"/>
              <a:t> &amp; TX)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bg1"/>
                </a:gs>
                <a:gs pos="40000">
                  <a:srgbClr val="85C2FF"/>
                </a:gs>
                <a:gs pos="84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35000">
                  <a:srgbClr val="85C2FF"/>
                </a:gs>
                <a:gs pos="66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tx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bg1">
              <a:lumMod val="85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Pivot_USI!$I$4:$I$5</c:f>
              <c:strCache>
                <c:ptCount val="1"/>
                <c:pt idx="0">
                  <c:v>Moyenne de Nbr de j USI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Pivot_USI!$I$6</c:f>
              <c:numCache>
                <c:formatCode>#\ ##0.0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CBE5-4CCE-ABFF-AF9E3E7800ED}"/>
            </c:ext>
          </c:extLst>
        </c:ser>
        <c:ser>
          <c:idx val="3"/>
          <c:order val="3"/>
          <c:tx>
            <c:strRef>
              <c:f>Pivot_USI!$K$4:$K$5</c:f>
              <c:strCache>
                <c:ptCount val="1"/>
                <c:pt idx="0">
                  <c:v>Écartype de Nbr de j USI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Pivot_USI!$K$6</c:f>
              <c:numCache>
                <c:formatCode>#\ ##0.0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CBE5-4CCE-ABFF-AF9E3E7800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057984"/>
        <c:axId val="198238208"/>
      </c:barChart>
      <c:lineChart>
        <c:grouping val="standard"/>
        <c:varyColors val="0"/>
        <c:ser>
          <c:idx val="0"/>
          <c:order val="0"/>
          <c:tx>
            <c:strRef>
              <c:f>Pivot_USI!$H$4:$H$5</c:f>
              <c:strCache>
                <c:ptCount val="1"/>
                <c:pt idx="0">
                  <c:v>Min de Nbr de j USI_RV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Pivot_USI!$H$6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BE5-4CCE-ABFF-AF9E3E7800ED}"/>
            </c:ext>
          </c:extLst>
        </c:ser>
        <c:ser>
          <c:idx val="2"/>
          <c:order val="2"/>
          <c:tx>
            <c:strRef>
              <c:f>Pivot_USI!$J$4:$J$5</c:f>
              <c:strCache>
                <c:ptCount val="1"/>
                <c:pt idx="0">
                  <c:v>Max de Nbr de j USI_RV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Pivot_USI!$J$6</c:f>
              <c:numCache>
                <c:formatCode>#\ ##0.0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BE5-4CCE-ABFF-AF9E3E7800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57984"/>
        <c:axId val="198238208"/>
      </c:lineChart>
      <c:catAx>
        <c:axId val="198057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8238208"/>
        <c:crosses val="autoZero"/>
        <c:auto val="1"/>
        <c:lblAlgn val="ctr"/>
        <c:lblOffset val="100"/>
        <c:noMultiLvlLbl val="0"/>
      </c:catAx>
      <c:valAx>
        <c:axId val="198238208"/>
        <c:scaling>
          <c:orientation val="minMax"/>
        </c:scaling>
        <c:delete val="0"/>
        <c:axPos val="l"/>
        <c:majorGridlines/>
        <c:numFmt formatCode="#\ ##0.0" sourceLinked="1"/>
        <c:majorTickMark val="out"/>
        <c:minorTickMark val="none"/>
        <c:tickLblPos val="nextTo"/>
        <c:crossAx val="1980579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effectLst/>
              </a:rPr>
              <a:t>Moyenne nb de jours USI (LVAD &amp; TX)</a:t>
            </a:r>
            <a:endParaRPr lang="fr-BE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CALCULS_USI!$J$2</c:f>
              <c:strCache>
                <c:ptCount val="1"/>
                <c:pt idx="0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CALCULS_USI!$I$3:$I$7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CALCULS_USI!$J$3:$J$7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70-46BE-9ED1-A7498B8E1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8059520"/>
        <c:axId val="198239936"/>
      </c:barChart>
      <c:lineChart>
        <c:grouping val="standard"/>
        <c:varyColors val="0"/>
        <c:ser>
          <c:idx val="1"/>
          <c:order val="1"/>
          <c:tx>
            <c:strRef>
              <c:f>CALCULS_USI!$K$2</c:f>
              <c:strCache>
                <c:ptCount val="1"/>
                <c:pt idx="0">
                  <c:v>Médiane de Nbr de j hospi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CALCULS_USI!$I$3:$I$7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CALCULS_USI!$K$3:$K$7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70-46BE-9ED1-A7498B8E1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59520"/>
        <c:axId val="198239936"/>
      </c:lineChart>
      <c:catAx>
        <c:axId val="19805952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8239936"/>
        <c:crosses val="autoZero"/>
        <c:auto val="1"/>
        <c:lblAlgn val="ctr"/>
        <c:lblOffset val="100"/>
        <c:noMultiLvlLbl val="0"/>
      </c:catAx>
      <c:valAx>
        <c:axId val="198239936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80595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2018.xlsm]Pivot_USI!Tableau croisé dynamique5</c:name>
    <c:fmtId val="10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effectLst/>
              </a:rPr>
              <a:t>Moyenne nb de jours USI (LVAD &amp; TX)</a:t>
            </a:r>
            <a:endParaRPr lang="fr-BE" sz="1800">
              <a:effectLst/>
            </a:endParaRPr>
          </a:p>
        </c:rich>
      </c:tx>
      <c:layout>
        <c:manualLayout>
          <c:xMode val="edge"/>
          <c:yMode val="edge"/>
          <c:x val="0.29635765952510312"/>
          <c:y val="0.10365291720216831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35000">
                  <a:srgbClr val="85C2FF"/>
                </a:gs>
                <a:gs pos="66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35000">
                  <a:srgbClr val="85C2FF"/>
                </a:gs>
                <a:gs pos="66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layout>
            <c:manualLayout>
              <c:x val="1.5003965256959821E-2"/>
              <c:y val="-2.0873786567340322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layout>
            <c:manualLayout>
              <c:x val="2.4551943147752484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layout>
            <c:manualLayout>
              <c:x val="1.5003965256959821E-2"/>
              <c:y val="-2.0873786567340322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layout>
            <c:manualLayout>
              <c:x val="9.5252160502160062E-3"/>
              <c:y val="-3.8343780471531821E-17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layout>
            <c:manualLayout>
              <c:x val="1.5003965256959821E-2"/>
              <c:y val="-2.0873786567340322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layout>
            <c:manualLayout>
              <c:x val="9.5252160502160062E-3"/>
              <c:y val="-3.8343780471531821E-17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ln>
            <a:solidFill>
              <a:srgbClr val="00B05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bg1">
              <a:lumMod val="75000"/>
            </a:schemeClr>
          </a:solidFill>
        </c:spPr>
        <c:marker>
          <c:symbol val="none"/>
        </c:marker>
        <c:dLbl>
          <c:idx val="0"/>
          <c:numFmt formatCode="#,##0.00" sourceLinked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</c:pivotFmt>
      <c:pivotFmt>
        <c:idx val="22"/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Pivot_USI!$O$4:$O$5</c:f>
              <c:strCache>
                <c:ptCount val="1"/>
                <c:pt idx="0">
                  <c:v>Moyenne de Nbr de j USI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Pivot_USI!$O$6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F885-4234-9EF9-48DDE88F1696}"/>
            </c:ext>
          </c:extLst>
        </c:ser>
        <c:ser>
          <c:idx val="3"/>
          <c:order val="3"/>
          <c:tx>
            <c:strRef>
              <c:f>Pivot_USI!$Q$4:$Q$5</c:f>
              <c:strCache>
                <c:ptCount val="1"/>
                <c:pt idx="0">
                  <c:v>Écartype de Nbr de j USI_RV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numFmt formatCode="#,##0.00" sourceLinked="0"/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Pivot_USI!$Q$6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F885-4234-9EF9-48DDE88F16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061568"/>
        <c:axId val="198242240"/>
      </c:barChart>
      <c:lineChart>
        <c:grouping val="standard"/>
        <c:varyColors val="0"/>
        <c:ser>
          <c:idx val="0"/>
          <c:order val="0"/>
          <c:tx>
            <c:strRef>
              <c:f>Pivot_USI!$N$4:$N$5</c:f>
              <c:strCache>
                <c:ptCount val="1"/>
                <c:pt idx="0">
                  <c:v>Min de Nbr de j USI_RV2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F885-4234-9EF9-48DDE88F1696}"/>
              </c:ext>
            </c:extLst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Pivot_USI!$N$6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885-4234-9EF9-48DDE88F1696}"/>
            </c:ext>
          </c:extLst>
        </c:ser>
        <c:ser>
          <c:idx val="2"/>
          <c:order val="2"/>
          <c:tx>
            <c:strRef>
              <c:f>Pivot_USI!$P$4:$P$5</c:f>
              <c:strCache>
                <c:ptCount val="1"/>
                <c:pt idx="0">
                  <c:v>Max de Nbr de j USI_RV2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Pivot_USI!$P$6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885-4234-9EF9-48DDE88F16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61568"/>
        <c:axId val="198242240"/>
      </c:lineChart>
      <c:catAx>
        <c:axId val="1980615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8242240"/>
        <c:crosses val="autoZero"/>
        <c:auto val="1"/>
        <c:lblAlgn val="ctr"/>
        <c:lblOffset val="100"/>
        <c:noMultiLvlLbl val="0"/>
      </c:catAx>
      <c:valAx>
        <c:axId val="198242240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80615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800" b="1">
                <a:effectLst/>
              </a:rPr>
              <a:t>Moyenne nb jours d'hospitalisation (toutes interventions)</a:t>
            </a:r>
            <a:endParaRPr lang="fr-BE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CALCULS_Hospi!$B$2</c:f>
              <c:strCache>
                <c:ptCount val="1"/>
                <c:pt idx="0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CALCULS_Hospi!$A$3:$A$7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CALCULS_Hospi!$B$3:$B$7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16-40CD-BB2F-AD9A59E96B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8772736"/>
        <c:axId val="198243968"/>
      </c:barChart>
      <c:lineChart>
        <c:grouping val="standard"/>
        <c:varyColors val="0"/>
        <c:ser>
          <c:idx val="1"/>
          <c:order val="1"/>
          <c:tx>
            <c:strRef>
              <c:f>CALCULS_Hospi!$C$2</c:f>
              <c:strCache>
                <c:ptCount val="1"/>
                <c:pt idx="0">
                  <c:v>Médiane de Nbr de j hospi</c:v>
                </c:pt>
              </c:strCache>
            </c:strRef>
          </c:tx>
          <c:marker>
            <c:symbol val="none"/>
          </c:marker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66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CALCULS_Hospi!$A$3:$A$7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CALCULS_Hospi!$C$3:$C$7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16-40CD-BB2F-AD9A59E96B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72736"/>
        <c:axId val="198243968"/>
      </c:lineChart>
      <c:catAx>
        <c:axId val="1987727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8243968"/>
        <c:crosses val="autoZero"/>
        <c:auto val="1"/>
        <c:lblAlgn val="ctr"/>
        <c:lblOffset val="100"/>
        <c:noMultiLvlLbl val="0"/>
      </c:catAx>
      <c:valAx>
        <c:axId val="198243968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87727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2018.xlsm]Pivot_Hospi!Tableau croisé dynamique3</c:name>
    <c:fmtId val="13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solidFill>
            <a:schemeClr val="accent1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bg1">
              <a:lumMod val="85000"/>
            </a:schemeClr>
          </a:solidFill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339966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5.2662868727799475E-2"/>
          <c:y val="0.10595884053655782"/>
          <c:w val="0.74839044027744184"/>
          <c:h val="0.80027660540154555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Pivot_Hospi!$C$4:$C$5</c:f>
              <c:strCache>
                <c:ptCount val="1"/>
                <c:pt idx="0">
                  <c:v>Moyenne de Nbr de j hospi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Pivot_Hospi!$C$6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593-41B4-A218-459818A63603}"/>
            </c:ext>
          </c:extLst>
        </c:ser>
        <c:ser>
          <c:idx val="3"/>
          <c:order val="3"/>
          <c:tx>
            <c:strRef>
              <c:f>Pivot_Hospi!$E$4:$E$5</c:f>
              <c:strCache>
                <c:ptCount val="1"/>
                <c:pt idx="0">
                  <c:v>Écartype de Nbr de j hospi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Pivot_Hospi!$E$6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3593-41B4-A218-459818A636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060544"/>
        <c:axId val="196886528"/>
      </c:barChart>
      <c:lineChart>
        <c:grouping val="standard"/>
        <c:varyColors val="0"/>
        <c:ser>
          <c:idx val="0"/>
          <c:order val="0"/>
          <c:tx>
            <c:strRef>
              <c:f>Pivot_Hospi!$B$4:$B$5</c:f>
              <c:strCache>
                <c:ptCount val="1"/>
                <c:pt idx="0">
                  <c:v>Min de Nbr de j hospi_RV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339966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Pivot_Hospi!$B$6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593-41B4-A218-459818A63603}"/>
            </c:ext>
          </c:extLst>
        </c:ser>
        <c:ser>
          <c:idx val="2"/>
          <c:order val="2"/>
          <c:tx>
            <c:strRef>
              <c:f>Pivot_Hospi!$D$4:$D$5</c:f>
              <c:strCache>
                <c:ptCount val="1"/>
                <c:pt idx="0">
                  <c:v>Max de Nbr de j hospi_RV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Pivot_Hospi!$D$6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593-41B4-A218-459818A636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60544"/>
        <c:axId val="196886528"/>
      </c:lineChart>
      <c:catAx>
        <c:axId val="1980605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886528"/>
        <c:crosses val="autoZero"/>
        <c:auto val="1"/>
        <c:lblAlgn val="ctr"/>
        <c:lblOffset val="100"/>
        <c:noMultiLvlLbl val="0"/>
      </c:catAx>
      <c:valAx>
        <c:axId val="196886528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80605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1"/>
    </mc:Choice>
    <mc:Fallback>
      <c:style val="3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Moyenne nb jours d'hospitalisation (Hors "LVAD"et "TX") 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CALCULS_Hospi!$F$1:$F$2</c:f>
              <c:strCache>
                <c:ptCount val="2"/>
                <c:pt idx="0">
                  <c:v>Intervention-activité</c:v>
                </c:pt>
                <c:pt idx="1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CALCULS_Hospi!$E$3:$E$12</c:f>
              <c:strCache>
                <c:ptCount val="10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CALCULS_Hospi!$F$3:$F$12</c:f>
              <c:numCache>
                <c:formatCode>0.0</c:formatCode>
                <c:ptCount val="10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B7-4FC7-88EE-F9B5C79553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9112704"/>
        <c:axId val="196888256"/>
      </c:barChart>
      <c:lineChart>
        <c:grouping val="standard"/>
        <c:varyColors val="0"/>
        <c:ser>
          <c:idx val="1"/>
          <c:order val="1"/>
          <c:tx>
            <c:strRef>
              <c:f>CALCULS_Hospi!$G$1:$G$2</c:f>
              <c:strCache>
                <c:ptCount val="2"/>
                <c:pt idx="0">
                  <c:v>Exclu "LVAD" &amp; "TX"</c:v>
                </c:pt>
                <c:pt idx="1">
                  <c:v>Médiane de Nbr de j hospi</c:v>
                </c:pt>
              </c:strCache>
            </c:strRef>
          </c:tx>
          <c:marker>
            <c:symbol val="none"/>
          </c:marker>
          <c:dLbls>
            <c:dLbl>
              <c:idx val="4"/>
              <c:layout>
                <c:manualLayout>
                  <c:x val="-2.0974213304297395E-2"/>
                  <c:y val="2.3076147984677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5B7-4FC7-88EE-F9B5C7955342}"/>
                </c:ext>
              </c:extLst>
            </c:dLbl>
            <c:dLbl>
              <c:idx val="7"/>
              <c:layout>
                <c:manualLayout>
                  <c:x val="-2.370656131421206E-2"/>
                  <c:y val="5.24457908742672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5B7-4FC7-88EE-F9B5C7955342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CALCULS_Hospi!$E$3:$E$12</c:f>
              <c:strCache>
                <c:ptCount val="10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CALCULS_Hospi!$G$3:$G$12</c:f>
              <c:numCache>
                <c:formatCode>0.00</c:formatCode>
                <c:ptCount val="10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5B7-4FC7-88EE-F9B5C79553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112704"/>
        <c:axId val="196888256"/>
      </c:lineChart>
      <c:catAx>
        <c:axId val="1991127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6888256"/>
        <c:crosses val="autoZero"/>
        <c:auto val="1"/>
        <c:lblAlgn val="ctr"/>
        <c:lblOffset val="100"/>
        <c:noMultiLvlLbl val="0"/>
      </c:catAx>
      <c:valAx>
        <c:axId val="196888256"/>
        <c:scaling>
          <c:orientation val="minMax"/>
        </c:scaling>
        <c:delete val="0"/>
        <c:axPos val="l"/>
        <c:majorGridlines/>
        <c:numFmt formatCode="0.0" sourceLinked="1"/>
        <c:majorTickMark val="none"/>
        <c:minorTickMark val="none"/>
        <c:tickLblPos val="nextTo"/>
        <c:crossAx val="1991127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2018.xlsm]Pivot_Hospi!Tableau croisé dynamique2</c:name>
    <c:fmtId val="9"/>
  </c:pivotSource>
  <c:chart>
    <c:title>
      <c:tx>
        <c:rich>
          <a:bodyPr/>
          <a:lstStyle/>
          <a:p>
            <a:pPr>
              <a:defRPr/>
            </a:pPr>
            <a:r>
              <a:rPr lang="fr-BE">
                <a:solidFill>
                  <a:schemeClr val="bg1"/>
                </a:solidFill>
              </a:rPr>
              <a:t>Moyenne et écart type nb de jours Hospi hors "LVAD"</a:t>
            </a:r>
            <a:r>
              <a:rPr lang="fr-BE" baseline="0">
                <a:solidFill>
                  <a:schemeClr val="bg1"/>
                </a:solidFill>
              </a:rPr>
              <a:t> &amp; "TX"</a:t>
            </a:r>
            <a:endParaRPr lang="fr-BE">
              <a:solidFill>
                <a:schemeClr val="bg1"/>
              </a:solidFill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bg1">
              <a:lumMod val="75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00B05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Pivot_Hospi!$I$4:$I$5</c:f>
              <c:strCache>
                <c:ptCount val="1"/>
                <c:pt idx="0">
                  <c:v>Moyenne de Nbr de j hospi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Pivot_Hospi!$I$6</c:f>
              <c:numCache>
                <c:formatCode>#\ ##0.0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9527-4B15-97F9-DA85326EB9F9}"/>
            </c:ext>
          </c:extLst>
        </c:ser>
        <c:ser>
          <c:idx val="3"/>
          <c:order val="3"/>
          <c:tx>
            <c:strRef>
              <c:f>Pivot_Hospi!$K$4:$K$5</c:f>
              <c:strCache>
                <c:ptCount val="1"/>
                <c:pt idx="0">
                  <c:v>Écartype de Nbr de j hospi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Pivot_Hospi!$K$6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9527-4B15-97F9-DA85326EB9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366144"/>
        <c:axId val="196890560"/>
      </c:barChart>
      <c:lineChart>
        <c:grouping val="standard"/>
        <c:varyColors val="0"/>
        <c:ser>
          <c:idx val="0"/>
          <c:order val="0"/>
          <c:tx>
            <c:strRef>
              <c:f>Pivot_Hospi!$H$4:$H$5</c:f>
              <c:strCache>
                <c:ptCount val="1"/>
                <c:pt idx="0">
                  <c:v>Min de Nbr de j hospi_RV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00B05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Pivot_Hospi!$H$6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27-4B15-97F9-DA85326EB9F9}"/>
            </c:ext>
          </c:extLst>
        </c:ser>
        <c:ser>
          <c:idx val="2"/>
          <c:order val="2"/>
          <c:tx>
            <c:strRef>
              <c:f>Pivot_Hospi!$J$4:$J$5</c:f>
              <c:strCache>
                <c:ptCount val="1"/>
                <c:pt idx="0">
                  <c:v>Max de Nbr de j hospi_RV2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Pivot_Hospi!$J$6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527-4B15-97F9-DA85326EB9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366144"/>
        <c:axId val="196890560"/>
      </c:lineChart>
      <c:catAx>
        <c:axId val="1993661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890560"/>
        <c:crosses val="autoZero"/>
        <c:auto val="1"/>
        <c:lblAlgn val="ctr"/>
        <c:lblOffset val="100"/>
        <c:noMultiLvlLbl val="0"/>
      </c:catAx>
      <c:valAx>
        <c:axId val="196890560"/>
        <c:scaling>
          <c:orientation val="minMax"/>
        </c:scaling>
        <c:delete val="0"/>
        <c:axPos val="l"/>
        <c:majorGridlines/>
        <c:numFmt formatCode="#\ ##0.0" sourceLinked="1"/>
        <c:majorTickMark val="out"/>
        <c:minorTickMark val="none"/>
        <c:tickLblPos val="nextTo"/>
        <c:crossAx val="1993661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effectLst/>
              </a:rPr>
              <a:t>Moyenne nb de jours d'hospitalisation ("LVAD" &amp; "TX")</a:t>
            </a:r>
            <a:endParaRPr lang="fr-BE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CALCULS_Hospi!$J$2</c:f>
              <c:strCache>
                <c:ptCount val="1"/>
                <c:pt idx="0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CALCULS_Hospi!$I$3:$I$7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CALCULS_Hospi!$J$3:$J$7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A1-4710-976B-BB05F5B198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9366656"/>
        <c:axId val="196892288"/>
      </c:barChart>
      <c:lineChart>
        <c:grouping val="standard"/>
        <c:varyColors val="0"/>
        <c:ser>
          <c:idx val="1"/>
          <c:order val="1"/>
          <c:tx>
            <c:strRef>
              <c:f>CALCULS_Hospi!$K$2</c:f>
              <c:strCache>
                <c:ptCount val="1"/>
                <c:pt idx="0">
                  <c:v>Médiane de Nbr de j hospi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CALCULS_Hospi!$I$3:$I$7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CALCULS_Hospi!$K$3:$K$7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A1-4710-976B-BB05F5B198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366656"/>
        <c:axId val="196892288"/>
      </c:lineChart>
      <c:catAx>
        <c:axId val="19936665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6892288"/>
        <c:crosses val="autoZero"/>
        <c:auto val="1"/>
        <c:lblAlgn val="ctr"/>
        <c:lblOffset val="100"/>
        <c:noMultiLvlLbl val="0"/>
      </c:catAx>
      <c:valAx>
        <c:axId val="196892288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936665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2018.xlsm]Pivot_Hospi!Tableau croisé dynamique1</c:name>
    <c:fmtId val="10"/>
  </c:pivotSource>
  <c:chart>
    <c:title>
      <c:tx>
        <c:rich>
          <a:bodyPr/>
          <a:lstStyle/>
          <a:p>
            <a:pPr>
              <a:defRPr sz="1800"/>
            </a:pPr>
            <a:r>
              <a:rPr lang="fr-BE" sz="1800" b="1" i="0" baseline="0">
                <a:solidFill>
                  <a:sysClr val="windowText" lastClr="000000"/>
                </a:solidFill>
                <a:effectLst/>
              </a:rPr>
              <a:t>Moyenne</a:t>
            </a:r>
            <a:r>
              <a:rPr lang="fr-BE" sz="1800" b="1" i="0" baseline="0">
                <a:solidFill>
                  <a:schemeClr val="bg1"/>
                </a:solidFill>
                <a:effectLst/>
              </a:rPr>
              <a:t> </a:t>
            </a:r>
            <a:r>
              <a:rPr lang="fr-BE" sz="1800" b="1" i="0" baseline="0">
                <a:solidFill>
                  <a:sysClr val="windowText" lastClr="000000"/>
                </a:solidFill>
                <a:effectLst/>
              </a:rPr>
              <a:t>nb de jours d'hospitalisation ("LVAD" &amp; "TX")</a:t>
            </a:r>
            <a:endParaRPr lang="fr-BE" sz="180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0.19812414963992436"/>
          <c:y val="9.5286904819152488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bg1">
              <a:lumMod val="75000"/>
            </a:schemeClr>
          </a:solidFill>
        </c:spPr>
        <c:marker>
          <c:symbol val="none"/>
        </c:marker>
        <c:dLbl>
          <c:idx val="0"/>
          <c:spPr>
            <a:noFill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00B05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Pivot_Hospi!$O$4:$O$5</c:f>
              <c:strCache>
                <c:ptCount val="1"/>
                <c:pt idx="0">
                  <c:v>Moyenne de Nbr de j hospi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Pivot_Hospi!$O$6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7204-49B8-9098-15EA924B563D}"/>
            </c:ext>
          </c:extLst>
        </c:ser>
        <c:ser>
          <c:idx val="3"/>
          <c:order val="3"/>
          <c:tx>
            <c:strRef>
              <c:f>Pivot_Hospi!$Q$4:$Q$5</c:f>
              <c:strCache>
                <c:ptCount val="1"/>
                <c:pt idx="0">
                  <c:v>Écartype de Nbr de j hospi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Pivot_Hospi!$Q$6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7204-49B8-9098-15EA924B5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879296"/>
        <c:axId val="199966720"/>
      </c:barChart>
      <c:lineChart>
        <c:grouping val="standard"/>
        <c:varyColors val="0"/>
        <c:ser>
          <c:idx val="0"/>
          <c:order val="0"/>
          <c:tx>
            <c:strRef>
              <c:f>Pivot_Hospi!$N$4:$N$5</c:f>
              <c:strCache>
                <c:ptCount val="1"/>
                <c:pt idx="0">
                  <c:v>Min de Nbr de j hospi_RV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00B05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Pivot_Hospi!$N$6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04-49B8-9098-15EA924B563D}"/>
            </c:ext>
          </c:extLst>
        </c:ser>
        <c:ser>
          <c:idx val="2"/>
          <c:order val="2"/>
          <c:tx>
            <c:strRef>
              <c:f>Pivot_Hospi!$P$4:$P$5</c:f>
              <c:strCache>
                <c:ptCount val="1"/>
                <c:pt idx="0">
                  <c:v>Max de Nbr de j hospi_RV2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Pivot_Hospi!$P$6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204-49B8-9098-15EA924B5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879296"/>
        <c:axId val="199966720"/>
      </c:lineChart>
      <c:catAx>
        <c:axId val="1978792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9966720"/>
        <c:crosses val="autoZero"/>
        <c:auto val="1"/>
        <c:lblAlgn val="ctr"/>
        <c:lblOffset val="100"/>
        <c:noMultiLvlLbl val="0"/>
      </c:catAx>
      <c:valAx>
        <c:axId val="199966720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7879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REPRISES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trendline>
            <c:trendlineType val="linear"/>
            <c:dispRSqr val="0"/>
            <c:dispEq val="0"/>
          </c:trendline>
          <c:cat>
            <c:strRef>
              <c:f>'Pivot-Rév&lt;24h'!$A$25:$A$36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'Pivot-Rév&lt;24h'!$B$25:$B$36</c:f>
              <c:numCache>
                <c:formatCode>0%</c:formatCode>
                <c:ptCount val="12"/>
                <c:pt idx="0">
                  <c:v>0.08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21-43E0-819B-FBCC6B2918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708160"/>
        <c:axId val="199968448"/>
      </c:lineChart>
      <c:catAx>
        <c:axId val="1997081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9968448"/>
        <c:crosses val="autoZero"/>
        <c:auto val="1"/>
        <c:lblAlgn val="ctr"/>
        <c:lblOffset val="100"/>
        <c:noMultiLvlLbl val="0"/>
      </c:catAx>
      <c:valAx>
        <c:axId val="1999684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997081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2018.xlsm]Pivot-Rév&lt;24h!Tableau croisé dynamique2</c:name>
    <c:fmtId val="14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%  de Reprises dans les 24h post op </a:t>
            </a:r>
          </a:p>
        </c:rich>
      </c:tx>
      <c:layout/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</c:pivotFmt>
      <c:pivotFmt>
        <c:idx val="4"/>
      </c:pivotFmt>
    </c:pivotFmts>
    <c:plotArea>
      <c:layout/>
      <c:pieChart>
        <c:varyColors val="1"/>
        <c:ser>
          <c:idx val="0"/>
          <c:order val="0"/>
          <c:tx>
            <c:strRef>
              <c:f>'Pivot-Rév&lt;24h'!$B$3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D36-4D70-B800-85705DE9FD1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'Pivot-Rév&lt;24h'!$A$4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'Pivot-Rév&lt;24h'!$B$4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36-4D70-B800-85705DE9FD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2018.xlsm]Pivot-Rév&lt;24h!Tableau croisé dynamique5</c:name>
    <c:fmtId val="19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Pourcentage de Révisions dans les 24h 2016</a:t>
            </a:r>
            <a:endParaRPr lang="fr-BE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'Pivot-Rév&lt;24h'!$B$10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'Pivot-Rév&lt;24h'!$A$11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'Pivot-Rév&lt;24h'!$B$11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3-48BC-9AEA-7530104996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038400"/>
        <c:axId val="199971328"/>
      </c:barChart>
      <c:catAx>
        <c:axId val="2000384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9971328"/>
        <c:crosses val="autoZero"/>
        <c:auto val="1"/>
        <c:lblAlgn val="ctr"/>
        <c:lblOffset val="100"/>
        <c:noMultiLvlLbl val="0"/>
      </c:catAx>
      <c:valAx>
        <c:axId val="19997132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000384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2018.xlsm]Pivot-Rév&lt;24h!Tableau croisé dynamique3</c:name>
    <c:fmtId val="14"/>
  </c:pivotSource>
  <c:chart>
    <c:title>
      <c:tx>
        <c:rich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r>
              <a:rPr lang="fr-BE">
                <a:solidFill>
                  <a:sysClr val="windowText" lastClr="000000"/>
                </a:solidFill>
              </a:rPr>
              <a:t>Révisions dans les 24h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21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64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'Pivot-Rév&lt;24h'!$E$3:$E$4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'Pivot-Rév&lt;24h'!$D$5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'Pivot-Rév&lt;24h'!$E$5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D3-4677-80B2-32C3E71EF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0201216"/>
        <c:axId val="199973056"/>
      </c:barChart>
      <c:catAx>
        <c:axId val="2002012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9973056"/>
        <c:crosses val="autoZero"/>
        <c:auto val="1"/>
        <c:lblAlgn val="ctr"/>
        <c:lblOffset val="100"/>
        <c:noMultiLvlLbl val="0"/>
      </c:catAx>
      <c:valAx>
        <c:axId val="199973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0201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2018.xlsm]Pivot-Réhospi&lt;30j!Tableau croisé dynamique1</c:name>
    <c:fmtId val="1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de réhospitalisation dans les 30j post sortie (Hors LVAD et HTX) </a:t>
            </a:r>
            <a:endParaRPr lang="fr-BE"/>
          </a:p>
        </c:rich>
      </c:tx>
      <c:layout/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</c:pivotFmt>
      <c:pivotFmt>
        <c:idx val="7"/>
        <c:dLbl>
          <c:idx val="0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tx>
            <c:rich>
              <a:bodyPr/>
              <a:lstStyle/>
              <a:p>
                <a:r>
                  <a:rPr lang="en-US"/>
                  <a:t>C</a:t>
                </a:r>
                <a:r>
                  <a:rPr lang="en-US" baseline="0"/>
                  <a:t> </a:t>
                </a:r>
                <a:r>
                  <a:rPr lang="en-US"/>
                  <a:t> 9;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layout>
            <c:manualLayout>
              <c:x val="-1.4619766356090164E-2"/>
              <c:y val="6.2007302804195138E-3"/>
            </c:manualLayout>
          </c:layout>
          <c:tx>
            <c:rich>
              <a:bodyPr/>
              <a:lstStyle/>
              <a:p>
                <a:r>
                  <a:rPr lang="en-US"/>
                  <a:t> NC 11; 4,7%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</c:pivotFmt>
      <c:pivotFmt>
        <c:idx val="11"/>
        <c:dLbl>
          <c:idx val="0"/>
          <c:tx>
            <c:rich>
              <a:bodyPr/>
              <a:lstStyle/>
              <a:p>
                <a:r>
                  <a:rPr lang="en-US"/>
                  <a:t>122; 91,73%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  <c:dLbl>
          <c:idx val="0"/>
          <c:layout>
            <c:manualLayout>
              <c:x val="-1.2036288434272697E-2"/>
              <c:y val="9.3565944350449404E-3"/>
            </c:manualLayout>
          </c:layout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  <c:dLbl>
          <c:idx val="0"/>
          <c:tx>
            <c:rich>
              <a:bodyPr/>
              <a:lstStyle/>
              <a:p>
                <a:r>
                  <a:rPr lang="en-US"/>
                  <a:t>C</a:t>
                </a:r>
                <a:r>
                  <a:rPr lang="en-US" baseline="0"/>
                  <a:t> </a:t>
                </a:r>
                <a:r>
                  <a:rPr lang="en-US"/>
                  <a:t> 9;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tx>
            <c:rich>
              <a:bodyPr/>
              <a:lstStyle/>
              <a:p>
                <a:r>
                  <a:rPr lang="en-US"/>
                  <a:t>C</a:t>
                </a:r>
                <a:r>
                  <a:rPr lang="en-US" baseline="0"/>
                  <a:t> </a:t>
                </a:r>
                <a:r>
                  <a:rPr lang="en-US"/>
                  <a:t> 9;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tx>
            <c:rich>
              <a:bodyPr/>
              <a:lstStyle/>
              <a:p>
                <a:r>
                  <a:rPr lang="en-US"/>
                  <a:t>C</a:t>
                </a:r>
                <a:r>
                  <a:rPr lang="en-US" baseline="0"/>
                  <a:t> </a:t>
                </a:r>
                <a:r>
                  <a:rPr lang="en-US"/>
                  <a:t> 9;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layout/>
          <c:tx>
            <c:rich>
              <a:bodyPr/>
              <a:lstStyle/>
              <a:p>
                <a:pPr>
                  <a:defRPr/>
                </a:pPr>
                <a:r>
                  <a:rPr lang="en-US"/>
                  <a:t>C  9 3,8%</a:t>
                </a:r>
              </a:p>
            </c:rich>
          </c:tx>
          <c:spPr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0"/>
        <c:dLbl>
          <c:idx val="0"/>
          <c:tx>
            <c:rich>
              <a:bodyPr/>
              <a:lstStyle/>
              <a:p>
                <a:r>
                  <a:rPr lang="en-US"/>
                  <a:t>C  9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</c:pivotFmt>
    </c:pivotFmts>
    <c:plotArea>
      <c:layout>
        <c:manualLayout>
          <c:layoutTarget val="inner"/>
          <c:xMode val="edge"/>
          <c:yMode val="edge"/>
          <c:x val="0.20226421977381889"/>
          <c:y val="0.22426174354218104"/>
          <c:w val="0.4554715561504607"/>
          <c:h val="0.69941318002324948"/>
        </c:manualLayout>
      </c:layout>
      <c:pieChart>
        <c:varyColors val="1"/>
        <c:ser>
          <c:idx val="0"/>
          <c:order val="0"/>
          <c:tx>
            <c:strRef>
              <c:f>'Pivot-Réhospi&lt;30j'!$B$6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C  9 3,8%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C0AE-4E10-B1D8-7A1E6C927F61}"/>
                </c:ext>
              </c:extLst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'Pivot-Réhospi&lt;30j'!$A$7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'Pivot-Réhospi&lt;30j'!$B$7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AE-4E10-B1D8-7A1E6C927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zero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2018.xlsm]Pivot-Réhospi&lt;30j!Tableau croisé dynamique6</c:name>
    <c:fmtId val="13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Pourcentage</a:t>
            </a:r>
            <a:r>
              <a:rPr lang="fr-BE" baseline="0"/>
              <a:t> de réhospitalisation dans les 30 j  2016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'Pivot-Réhospi&lt;30j'!$B$16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'Pivot-Réhospi&lt;30j'!$A$17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'Pivot-Réhospi&lt;30j'!$B$17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A4-401A-9F30-0676114A49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906304"/>
        <c:axId val="200239360"/>
      </c:barChart>
      <c:catAx>
        <c:axId val="1999063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0239360"/>
        <c:crosses val="autoZero"/>
        <c:auto val="1"/>
        <c:lblAlgn val="ctr"/>
        <c:lblOffset val="100"/>
        <c:noMultiLvlLbl val="0"/>
      </c:catAx>
      <c:valAx>
        <c:axId val="20023936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999063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2018.xlsm]Pivot-Réhospi&lt;30j!Tableau croisé dynamique4</c:name>
    <c:fmtId val="11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solidFill>
                  <a:sysClr val="windowText" lastClr="000000"/>
                </a:solidFill>
                <a:effectLst/>
              </a:rPr>
              <a:t>Réhospitalisation dans les 30 jours </a:t>
            </a:r>
            <a:r>
              <a:rPr lang="fr-BE" sz="1800" b="1" i="0" baseline="0">
                <a:solidFill>
                  <a:schemeClr val="bg1"/>
                </a:solidFill>
                <a:effectLst/>
              </a:rPr>
              <a:t>s 30j</a:t>
            </a:r>
            <a:endParaRPr lang="fr-BE">
              <a:solidFill>
                <a:schemeClr val="bg1"/>
              </a:solidFill>
              <a:effectLst/>
            </a:endParaRPr>
          </a:p>
        </c:rich>
      </c:tx>
      <c:layout>
        <c:manualLayout>
          <c:xMode val="edge"/>
          <c:yMode val="edge"/>
          <c:x val="0.27660440472132491"/>
          <c:y val="7.0649986462869713E-2"/>
        </c:manualLayout>
      </c:layout>
      <c:overlay val="1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spPr>
            <a:gradFill>
              <a:gsLst>
                <a:gs pos="0">
                  <a:srgbClr val="00B050"/>
                </a:gs>
                <a:gs pos="58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>
            <a:gradFill>
              <a:gsLst>
                <a:gs pos="38000">
                  <a:srgbClr val="FF0000"/>
                </a:gs>
                <a:gs pos="77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FF0000"/>
          </a:solidFill>
        </c:spPr>
        <c:marker>
          <c:symbol val="none"/>
        </c:marker>
      </c:pivotFmt>
      <c:pivotFmt>
        <c:idx val="13"/>
        <c:spPr>
          <a:solidFill>
            <a:schemeClr val="accent6">
              <a:lumMod val="75000"/>
            </a:schemeClr>
          </a:solidFill>
        </c:spPr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  <c:dLbl>
          <c:idx val="0"/>
          <c:spPr>
            <a:noFill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marker>
          <c:symbol val="none"/>
        </c:marker>
        <c:dLbl>
          <c:idx val="0"/>
          <c:spPr>
            <a:noFill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marker>
          <c:symbol val="none"/>
        </c:marker>
        <c:dLbl>
          <c:idx val="0"/>
          <c:spPr>
            <a:gradFill>
              <a:gsLst>
                <a:gs pos="0">
                  <a:srgbClr val="339966"/>
                </a:gs>
                <a:gs pos="27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'Pivot-Réhospi&lt;30j'!$F$5:$F$7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'Pivot-Réhospi&lt;30j'!$E$8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'Pivot-Réhospi&lt;30j'!$F$8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D8-4E70-8F8D-27056D94BD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423360"/>
        <c:axId val="200241088"/>
      </c:barChart>
      <c:catAx>
        <c:axId val="2014233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0241088"/>
        <c:crosses val="autoZero"/>
        <c:auto val="1"/>
        <c:lblAlgn val="ctr"/>
        <c:lblOffset val="100"/>
        <c:noMultiLvlLbl val="0"/>
      </c:catAx>
      <c:valAx>
        <c:axId val="200241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1423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INFECTIONS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dLbls>
            <c:dLbl>
              <c:idx val="4"/>
              <c:layout>
                <c:manualLayout>
                  <c:x val="-4.166666666666672E-2"/>
                  <c:y val="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5D7-4055-B89F-5ED051593249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trendline>
            <c:trendlineType val="linear"/>
            <c:dispRSqr val="0"/>
            <c:dispEq val="0"/>
          </c:trendline>
          <c:trendline>
            <c:trendlineType val="linear"/>
            <c:dispRSqr val="0"/>
            <c:dispEq val="0"/>
          </c:trendline>
          <c:cat>
            <c:strRef>
              <c:f>'Pivot-Inf'!$D$23:$D$34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'Pivot-Inf'!$E$23:$E$34</c:f>
              <c:numCache>
                <c:formatCode>0%</c:formatCode>
                <c:ptCount val="12"/>
                <c:pt idx="0">
                  <c:v>0.42307692307692307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D7-4055-B89F-5ED0515932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905792"/>
        <c:axId val="200242816"/>
      </c:lineChart>
      <c:catAx>
        <c:axId val="199905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0242816"/>
        <c:crosses val="autoZero"/>
        <c:auto val="1"/>
        <c:lblAlgn val="ctr"/>
        <c:lblOffset val="100"/>
        <c:noMultiLvlLbl val="0"/>
      </c:catAx>
      <c:valAx>
        <c:axId val="20024281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999057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2018.xlsm]Pivot-Inf (2)!Tableau croisé dynamique1</c:name>
    <c:fmtId val="14"/>
  </c:pivotSource>
  <c:chart>
    <c:title>
      <c:tx>
        <c:rich>
          <a:bodyPr/>
          <a:lstStyle/>
          <a:p>
            <a:pPr>
              <a:defRPr sz="1400"/>
            </a:pPr>
            <a:r>
              <a:rPr lang="fr-BE" sz="1400"/>
              <a:t>% d'infections post op. (Hors LVAD et HTX) </a:t>
            </a:r>
          </a:p>
        </c:rich>
      </c:tx>
      <c:layout/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</c:pivotFmt>
      <c:pivotFmt>
        <c:idx val="7"/>
        <c:dLbl>
          <c:idx val="0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tx>
            <c:rich>
              <a:bodyPr/>
              <a:lstStyle/>
              <a:p>
                <a:r>
                  <a:rPr lang="en-US"/>
                  <a:t> 4; 3,01%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layout>
            <c:manualLayout>
              <c:x val="-1.4619766356090164E-2"/>
              <c:y val="6.2007302804195138E-3"/>
            </c:manualLayout>
          </c:layout>
          <c:tx>
            <c:rich>
              <a:bodyPr/>
              <a:lstStyle/>
              <a:p>
                <a:r>
                  <a:rPr lang="en-US"/>
                  <a:t>  7; 5,26%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</c:pivotFmt>
      <c:pivotFmt>
        <c:idx val="11"/>
        <c:dLbl>
          <c:idx val="0"/>
          <c:tx>
            <c:rich>
              <a:bodyPr/>
              <a:lstStyle/>
              <a:p>
                <a:r>
                  <a:rPr lang="en-US"/>
                  <a:t>122; 91,73%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tx>
            <c:rich>
              <a:bodyPr/>
              <a:lstStyle/>
              <a:p>
                <a:r>
                  <a:rPr lang="en-US"/>
                  <a:t> 4; 3,01%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layout>
            <c:manualLayout>
              <c:x val="-1.4619766356090164E-2"/>
              <c:y val="6.2007302804195138E-3"/>
            </c:manualLayout>
          </c:layout>
          <c:tx>
            <c:rich>
              <a:bodyPr/>
              <a:lstStyle/>
              <a:p>
                <a:r>
                  <a:rPr lang="en-US"/>
                  <a:t>  7; 5,26%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tx>
            <c:rich>
              <a:bodyPr/>
              <a:lstStyle/>
              <a:p>
                <a:r>
                  <a:rPr lang="en-US"/>
                  <a:t> 4; 3,01%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layout>
            <c:manualLayout>
              <c:x val="-1.4619766356090164E-2"/>
              <c:y val="6.2007302804195138E-3"/>
            </c:manualLayout>
          </c:layout>
          <c:tx>
            <c:rich>
              <a:bodyPr/>
              <a:lstStyle/>
              <a:p>
                <a:r>
                  <a:rPr lang="en-US"/>
                  <a:t>  7; 5,26%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</c:pivotFmt>
      <c:pivotFmt>
        <c:idx val="44"/>
      </c:pivotFmt>
      <c:pivotFmt>
        <c:idx val="45"/>
        <c:dLbl>
          <c:idx val="0"/>
          <c:tx>
            <c:rich>
              <a:bodyPr/>
              <a:lstStyle/>
              <a:p>
                <a:r>
                  <a:rPr lang="en-US"/>
                  <a:t>83%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tx>
            <c:rich>
              <a:bodyPr/>
              <a:lstStyle/>
              <a:p>
                <a:r>
                  <a:rPr lang="en-US"/>
                  <a:t>83%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</c:pivotFmt>
      <c:pivotFmt>
        <c:idx val="4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'Pivot-Inf (2)'!$B$6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'Pivot-Inf (2)'!$A$7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'Pivot-Inf (2)'!$B$7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86-43A7-A3E8-35155CD11C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zero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2018.xlsm]Pivot-Inf!Tableau croisé dynamique4</c:name>
    <c:fmtId val="16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'Pivot-Inf'!$J$3:$J$4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'Pivot-Inf'!$I$5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'Pivot-Inf'!$J$5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7D-4DE4-A545-C6C066C85E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075712"/>
        <c:axId val="201196096"/>
      </c:barChart>
      <c:catAx>
        <c:axId val="2010757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196096"/>
        <c:crosses val="autoZero"/>
        <c:auto val="1"/>
        <c:lblAlgn val="ctr"/>
        <c:lblOffset val="100"/>
        <c:noMultiLvlLbl val="0"/>
      </c:catAx>
      <c:valAx>
        <c:axId val="201196096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10757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2018.xlsm]Pivot-Inf!Tableau croisé dynamique2</c:name>
    <c:fmtId val="14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21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  <c:marker>
          <c:symbol val="none"/>
        </c:marker>
      </c:pivotFmt>
      <c:pivotFmt>
        <c:idx val="30"/>
      </c:pivotFmt>
      <c:pivotFmt>
        <c:idx val="31"/>
      </c:pivotFmt>
      <c:pivotFmt>
        <c:idx val="3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6768684956765212E-2"/>
          <c:y val="6.4589897414243452E-2"/>
          <c:w val="0.84711605513167598"/>
          <c:h val="0.84164554852386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'Pivot-Inf'!$E$7:$E$8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'Pivot-Inf'!$D$9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'Pivot-Inf'!$E$9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E0D-40CC-B6BE-CD769CD542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2160640"/>
        <c:axId val="201197824"/>
      </c:barChart>
      <c:catAx>
        <c:axId val="202160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197824"/>
        <c:crosses val="autoZero"/>
        <c:auto val="1"/>
        <c:lblAlgn val="ctr"/>
        <c:lblOffset val="100"/>
        <c:noMultiLvlLbl val="0"/>
      </c:catAx>
      <c:valAx>
        <c:axId val="201197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21606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2018.xlsm]Pivot-Inf (2)!Tableau croisé dynamique3</c:name>
    <c:fmtId val="14"/>
  </c:pivotSource>
  <c:chart>
    <c:title>
      <c:tx>
        <c:rich>
          <a:bodyPr/>
          <a:lstStyle/>
          <a:p>
            <a:pPr>
              <a:defRPr sz="1800"/>
            </a:pPr>
            <a:r>
              <a:rPr lang="en-US" sz="1800" b="1" i="0" baseline="0">
                <a:effectLst/>
              </a:rPr>
              <a:t>Nb moyen d'infections par patient infecté</a:t>
            </a:r>
            <a:endParaRPr lang="fr-BE" sz="1800">
              <a:effectLst/>
            </a:endParaRPr>
          </a:p>
        </c:rich>
      </c:tx>
      <c:layout>
        <c:manualLayout>
          <c:xMode val="edge"/>
          <c:yMode val="edge"/>
          <c:x val="0.287297334770244"/>
          <c:y val="5.1365339808319511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854976"/>
        <c:axId val="201199552"/>
      </c:barChart>
      <c:catAx>
        <c:axId val="2018549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199552"/>
        <c:crosses val="autoZero"/>
        <c:auto val="1"/>
        <c:lblAlgn val="ctr"/>
        <c:lblOffset val="100"/>
        <c:noMultiLvlLbl val="0"/>
      </c:catAx>
      <c:valAx>
        <c:axId val="20119955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018549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AVC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0"/>
          </c:trendline>
          <c:cat>
            <c:strRef>
              <c:f>'Pivot-AVC'!$A$18:$A$29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'Pivot-AVC'!$B$18:$B$29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3.3333333333333333E-2</c:v>
                </c:pt>
                <c:pt idx="3">
                  <c:v>0</c:v>
                </c:pt>
                <c:pt idx="4">
                  <c:v>9.375E-2</c:v>
                </c:pt>
                <c:pt idx="5">
                  <c:v>4.7619047619047616E-2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2C-4C79-A2BA-AB2533DB6E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857024"/>
        <c:axId val="201201280"/>
      </c:lineChart>
      <c:catAx>
        <c:axId val="201857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201280"/>
        <c:crosses val="autoZero"/>
        <c:auto val="1"/>
        <c:lblAlgn val="ctr"/>
        <c:lblOffset val="100"/>
        <c:noMultiLvlLbl val="0"/>
      </c:catAx>
      <c:valAx>
        <c:axId val="2012012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018570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pivotSource>
    <c:name>[Statistiques CCA 2018.xlsm]Pivot-AVC!Tableau croisé dynamique5</c:name>
    <c:fmtId val="5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 de complications neurologiques post op (Hors LVAD et HTX)</a:t>
            </a:r>
          </a:p>
        </c:rich>
      </c:tx>
      <c:layout>
        <c:manualLayout>
          <c:xMode val="edge"/>
          <c:yMode val="edge"/>
          <c:x val="0.18321839080459773"/>
          <c:y val="0.11660859590186415"/>
        </c:manualLayout>
      </c:layout>
      <c:overlay val="0"/>
    </c:title>
    <c:autoTitleDeleted val="0"/>
    <c:pivotFmts>
      <c:pivotFmt>
        <c:idx val="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'Pivot-AVC'!$G$7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'Pivot-AVC'!$F$8:$F$9</c:f>
              <c:strCache>
                <c:ptCount val="1"/>
                <c:pt idx="0">
                  <c:v>Aucun</c:v>
                </c:pt>
              </c:strCache>
            </c:strRef>
          </c:cat>
          <c:val>
            <c:numRef>
              <c:f>'Pivot-AVC'!$G$8:$G$9</c:f>
              <c:numCache>
                <c:formatCode>0.0%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1F-44AE-B96D-871D65BB68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INFARCTUS MYOCARDE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0"/>
          </c:trendline>
          <c:cat>
            <c:strRef>
              <c:f>Pivot_IM!$A$18:$A$29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Pivot_IM!$B$18:$B$29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6F-4990-B480-BEA2A192A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160128"/>
        <c:axId val="202064448"/>
      </c:lineChart>
      <c:catAx>
        <c:axId val="2021601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2064448"/>
        <c:crosses val="autoZero"/>
        <c:auto val="1"/>
        <c:lblAlgn val="ctr"/>
        <c:lblOffset val="100"/>
        <c:noMultiLvlLbl val="0"/>
      </c:catAx>
      <c:valAx>
        <c:axId val="2020644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021601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pivotSource>
    <c:name>[Statistiques CCA 2018.xlsm]Pivot_IM!Tableau croisé dynamique8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d'infarctus du myocarde  post op (Hors LVADet HTX)</a:t>
            </a:r>
          </a:p>
        </c:rich>
      </c:tx>
      <c:layout/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dLbl>
          <c:idx val="0"/>
          <c:layout>
            <c:manualLayout>
              <c:x val="5.3941650740363797E-3"/>
              <c:y val="-3.7896139673560321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Pivot_IM!$G$8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Pivot_IM!$F$9:$F$10</c:f>
              <c:strCache>
                <c:ptCount val="1"/>
                <c:pt idx="0">
                  <c:v>Aucun</c:v>
                </c:pt>
              </c:strCache>
            </c:strRef>
          </c:cat>
          <c:val>
            <c:numRef>
              <c:f>Pivot_IM!$G$9:$G$10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FC-4299-A054-69C52E201A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2018.xlsm]Pivot-Transf&gt;48H!Tableau croisé dynamique1</c:name>
    <c:fmtId val="19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Patients transfusés &gt; 48h    </a:t>
            </a:r>
          </a:p>
        </c:rich>
      </c:tx>
      <c:layout>
        <c:manualLayout>
          <c:xMode val="edge"/>
          <c:yMode val="edge"/>
          <c:x val="0.35942999376009205"/>
          <c:y val="0.11815868696862636"/>
        </c:manualLayout>
      </c:layout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layout>
            <c:manualLayout>
              <c:x val="2.6664419830924539E-2"/>
              <c:y val="-1.6698536172299796E-2"/>
            </c:manualLayout>
          </c:layout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layout>
            <c:manualLayout>
              <c:x val="-5.9650696519080075E-3"/>
              <c:y val="-8.5030273564943634E-3"/>
            </c:manualLayout>
          </c:layout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</c:pivotFmt>
      <c:pivotFmt>
        <c:idx val="10"/>
        <c:dLbl>
          <c:idx val="0"/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"/>
      </c:pivotFmt>
      <c:pivotFmt>
        <c:idx val="12"/>
      </c:pivotFmt>
      <c:pivotFmt>
        <c:idx val="13"/>
        <c:dLbl>
          <c:idx val="0"/>
          <c:tx>
            <c:rich>
              <a:bodyPr/>
              <a:lstStyle/>
              <a:p>
                <a:fld id="{191D9D75-B788-48D7-9710-D78D68B22797}" type="VALUE">
                  <a:rPr lang="en-US" baseline="0"/>
                  <a:pPr/>
                  <a:t>[VALEUR]</a:t>
                </a:fld>
                <a:r>
                  <a:rPr lang="en-US" baseline="0"/>
                  <a:t>; </a:t>
                </a:r>
                <a:fld id="{444585A8-56BF-4EB7-980D-E9CAE77D79C7}" type="PERCENTAGE">
                  <a:rPr lang="en-US" baseline="0"/>
                  <a:pPr/>
                  <a:t>[POURCENTAGE]</a:t>
                </a:fld>
                <a:endParaRPr lang="en-US" baseline="0"/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14"/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'Pivot-Transf&gt;48H'!$B$5:$B$6</c:f>
              <c:strCache>
                <c:ptCount val="1"/>
                <c:pt idx="0">
                  <c:v>Nombre de Transfu &gt;24 h_RV8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'Pivot-Transf&gt;48H'!$A$7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'Pivot-Transf&gt;48H'!$B$7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48-4BEF-BF9A-7376ABBC949C}"/>
            </c:ext>
          </c:extLst>
        </c:ser>
        <c:ser>
          <c:idx val="1"/>
          <c:order val="1"/>
          <c:tx>
            <c:strRef>
              <c:f>'Pivot-Transf&gt;48H'!$C$5:$C$6</c:f>
              <c:strCache>
                <c:ptCount val="1"/>
                <c:pt idx="0">
                  <c:v>Somme de T &gt;24 h - nb trans</c:v>
                </c:pt>
              </c:strCache>
            </c:strRef>
          </c:tx>
          <c:cat>
            <c:strRef>
              <c:f>'Pivot-Transf&gt;48H'!$A$7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'Pivot-Transf&gt;48H'!$C$7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48-4BEF-BF9A-7376ABBC94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2018.xlsm]Pivot-Transf&gt;48H!Tableau croisé dynamique3</c:name>
    <c:fmtId val="20"/>
  </c:pivotSource>
  <c:chart>
    <c:title>
      <c:tx>
        <c:rich>
          <a:bodyPr/>
          <a:lstStyle/>
          <a:p>
            <a:pPr>
              <a:defRPr sz="1400"/>
            </a:pPr>
            <a:r>
              <a:rPr lang="fr-BE" sz="1400"/>
              <a:t>% Patients transfusés &gt; 48h per et post op. (Hors LVAD et HTX)</a:t>
            </a:r>
          </a:p>
        </c:rich>
      </c:tx>
      <c:layout>
        <c:manualLayout>
          <c:xMode val="edge"/>
          <c:yMode val="edge"/>
          <c:x val="0.31794871794871793"/>
          <c:y val="8.9362845392357448E-2"/>
        </c:manualLayout>
      </c:layout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'Pivot-Transf&gt;48H'!$B$36:$B$37</c:f>
              <c:strCache>
                <c:ptCount val="1"/>
                <c:pt idx="0">
                  <c:v>Nombre de Transfu &gt;24 h_RV8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'Pivot-Transf&gt;48H'!$A$38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'Pivot-Transf&gt;48H'!$B$38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B2-4883-8FF2-2385D4DF89F3}"/>
            </c:ext>
          </c:extLst>
        </c:ser>
        <c:ser>
          <c:idx val="1"/>
          <c:order val="1"/>
          <c:tx>
            <c:strRef>
              <c:f>'Pivot-Transf&gt;48H'!$C$36:$C$37</c:f>
              <c:strCache>
                <c:ptCount val="1"/>
                <c:pt idx="0">
                  <c:v>Somme de T &gt;24 h - nb trans</c:v>
                </c:pt>
              </c:strCache>
            </c:strRef>
          </c:tx>
          <c:cat>
            <c:strRef>
              <c:f>'Pivot-Transf&gt;48H'!$A$38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'Pivot-Transf&gt;48H'!$C$38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B2-4883-8FF2-2385D4DF89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2018.xlsm]Pivot-Transf&gt;48H!Tableau croisé dynamique10</c:name>
    <c:fmtId val="15"/>
  </c:pivotSource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/>
              </a:rPr>
              <a:t>Pourcentage des patients transfusés &gt;24h   2016</a:t>
            </a:r>
            <a:endParaRPr lang="fr-BE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'Pivot-Transf&gt;48H'!$H$5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'Pivot-Transf&gt;48H'!$G$6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'Pivot-Transf&gt;48H'!$H$6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90-45E5-A301-A7545B5D00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753472"/>
        <c:axId val="202070208"/>
      </c:barChart>
      <c:catAx>
        <c:axId val="2037534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2070208"/>
        <c:crosses val="autoZero"/>
        <c:auto val="1"/>
        <c:lblAlgn val="ctr"/>
        <c:lblOffset val="100"/>
        <c:noMultiLvlLbl val="0"/>
      </c:catAx>
      <c:valAx>
        <c:axId val="20207020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3753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>
                <a:solidFill>
                  <a:sysClr val="windowText" lastClr="000000"/>
                </a:solidFill>
              </a:rPr>
              <a:t>Répartitions des patients transfusés &gt; 24h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spPr>
          <a:solidFill>
            <a:srgbClr val="99FF66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C0000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6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</c:pivotFmt>
      <c:pivotFmt>
        <c:idx val="20"/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v>Nombre de Transfu &gt;24 h_RV2</c:v>
          </c:tx>
          <c:invertIfNegative val="0"/>
          <c:cat>
            <c:strLit>
              <c:ptCount val="2"/>
              <c:pt idx="0">
                <c:v>Aucune</c:v>
              </c:pt>
              <c:pt idx="1">
                <c:v>Transfusé</c:v>
              </c:pt>
            </c:strLit>
          </c:cat>
          <c:val>
            <c:numLit>
              <c:formatCode>General</c:formatCode>
              <c:ptCount val="2"/>
              <c:pt idx="0">
                <c:v>75</c:v>
              </c:pt>
              <c:pt idx="1">
                <c:v>20</c:v>
              </c:pt>
            </c:numLit>
          </c:val>
          <c:extLst>
            <c:ext xmlns:c16="http://schemas.microsoft.com/office/drawing/2014/chart" uri="{C3380CC4-5D6E-409C-BE32-E72D297353CC}">
              <c16:uniqueId val="{00000000-5215-43A7-AF76-8B9CD2378DC8}"/>
            </c:ext>
          </c:extLst>
        </c:ser>
        <c:ser>
          <c:idx val="1"/>
          <c:order val="1"/>
          <c:tx>
            <c:v>Somme de T &gt;24 h - nb trans</c:v>
          </c:tx>
          <c:invertIfNegative val="0"/>
          <c:cat>
            <c:strLit>
              <c:ptCount val="2"/>
              <c:pt idx="0">
                <c:v>Aucune</c:v>
              </c:pt>
              <c:pt idx="1">
                <c:v>Transfusé</c:v>
              </c:pt>
            </c:strLit>
          </c:cat>
          <c:val>
            <c:numLit>
              <c:formatCode>General</c:formatCode>
              <c:ptCount val="2"/>
              <c:pt idx="0">
                <c:v>1</c:v>
              </c:pt>
              <c:pt idx="1">
                <c:v>57</c:v>
              </c:pt>
            </c:numLit>
          </c:val>
          <c:extLst>
            <c:ext xmlns:c16="http://schemas.microsoft.com/office/drawing/2014/chart" uri="{C3380CC4-5D6E-409C-BE32-E72D297353CC}">
              <c16:uniqueId val="{00000001-5215-43A7-AF76-8B9CD2378D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4087296"/>
        <c:axId val="204021760"/>
      </c:barChart>
      <c:catAx>
        <c:axId val="2040872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1760"/>
        <c:crosses val="autoZero"/>
        <c:auto val="1"/>
        <c:lblAlgn val="ctr"/>
        <c:lblOffset val="100"/>
        <c:noMultiLvlLbl val="0"/>
      </c:catAx>
      <c:valAx>
        <c:axId val="2040217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087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2018.xlsm]Pivot-Transf&gt;48H!Tableau croisé dynamique11</c:name>
    <c:fmtId val="19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9356144917437718E-2"/>
          <c:y val="6.4589897414243452E-2"/>
          <c:w val="0.78242614096016061"/>
          <c:h val="0.84164554852386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'Pivot-Transf&gt;48H'!$H$17:$H$18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'Pivot-Transf&gt;48H'!$G$19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'Pivot-Transf&gt;48H'!$H$19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C-4E8B-A43B-1D8C983842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089856"/>
        <c:axId val="204023488"/>
      </c:barChart>
      <c:catAx>
        <c:axId val="2040898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3488"/>
        <c:crosses val="autoZero"/>
        <c:auto val="1"/>
        <c:lblAlgn val="ctr"/>
        <c:lblOffset val="100"/>
        <c:noMultiLvlLbl val="0"/>
      </c:catAx>
      <c:valAx>
        <c:axId val="20402348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4089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2018.xlsm]Pivot-Transf&gt;48H (2)!Tableau croisé dynamique6</c:name>
    <c:fmtId val="15"/>
  </c:pivotSource>
  <c:chart>
    <c:title>
      <c:tx>
        <c:rich>
          <a:bodyPr/>
          <a:lstStyle/>
          <a:p>
            <a:pPr>
              <a:defRPr sz="1800"/>
            </a:pPr>
            <a:r>
              <a:rPr lang="en-US" sz="1800"/>
              <a:t>Nb moyen de tranfusions</a:t>
            </a:r>
            <a:r>
              <a:rPr lang="en-US" sz="1800" baseline="0"/>
              <a:t> par patient transfusé &gt;24h</a:t>
            </a:r>
            <a:endParaRPr lang="en-US" sz="1800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'Pivot-Transf&gt;48H (2)'!$B$18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'Pivot-Transf&gt;48H (2)'!$A$19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 (2)'!$B$19</c:f>
              <c:numCache>
                <c:formatCode>0.0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23-44A3-B7AB-BBD676055A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3366912"/>
        <c:axId val="204025216"/>
      </c:barChart>
      <c:catAx>
        <c:axId val="2033669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5216"/>
        <c:crosses val="autoZero"/>
        <c:auto val="1"/>
        <c:lblAlgn val="ctr"/>
        <c:lblOffset val="100"/>
        <c:noMultiLvlLbl val="0"/>
      </c:catAx>
      <c:valAx>
        <c:axId val="204025216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03366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2018.xlsm]Pivot-Transf&lt;48H!Tableau croisé dynamique8</c:name>
    <c:fmtId val="15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Pourcentages de patients transfusés  &lt;24h   2016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369472"/>
        <c:axId val="204026944"/>
      </c:barChart>
      <c:catAx>
        <c:axId val="2033694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6944"/>
        <c:crosses val="autoZero"/>
        <c:auto val="1"/>
        <c:lblAlgn val="ctr"/>
        <c:lblOffset val="100"/>
        <c:noMultiLvlLbl val="0"/>
      </c:catAx>
      <c:valAx>
        <c:axId val="20402694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3369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2018.xlsm]Pivot-Transf&lt;48H!Tableau croisé dynamique7</c:name>
    <c:fmtId val="13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solidFill>
                  <a:sysClr val="windowText" lastClr="000000"/>
                </a:solidFill>
                <a:effectLst/>
              </a:rPr>
              <a:t>Répartitions des patients transfusés &lt;24h</a:t>
            </a:r>
            <a:endParaRPr lang="fr-BE">
              <a:solidFill>
                <a:sysClr val="windowText" lastClr="000000"/>
              </a:solidFill>
              <a:effectLst/>
            </a:endParaRPr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tx1"/>
                </a:gs>
                <a:gs pos="2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</c:pivotFmts>
    <c:plotArea>
      <c:layout/>
      <c:barChart>
        <c:barDir val="col"/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4434944"/>
        <c:axId val="204028096"/>
      </c:barChart>
      <c:catAx>
        <c:axId val="204434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8096"/>
        <c:crosses val="autoZero"/>
        <c:auto val="1"/>
        <c:lblAlgn val="ctr"/>
        <c:lblOffset val="100"/>
        <c:noMultiLvlLbl val="0"/>
      </c:catAx>
      <c:valAx>
        <c:axId val="204028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434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2018.xlsm]Pivot-Transf&lt;48H!Tableau croisé dynamique9</c:name>
    <c:fmtId val="15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2430211179183556E-2"/>
          <c:y val="6.6681400509997379E-2"/>
          <c:w val="0.78935207469841495"/>
          <c:h val="0.84164554852386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'Pivot-Transf&lt;48H'!$K$5:$K$6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'Pivot-Transf&lt;48H'!$J$7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'Pivot-Transf&lt;48H'!$K$7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A4-40A5-97E6-3BA8B4E744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908032"/>
        <c:axId val="203169792"/>
      </c:barChart>
      <c:catAx>
        <c:axId val="2049080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169792"/>
        <c:crosses val="autoZero"/>
        <c:auto val="1"/>
        <c:lblAlgn val="ctr"/>
        <c:lblOffset val="100"/>
        <c:noMultiLvlLbl val="0"/>
      </c:catAx>
      <c:valAx>
        <c:axId val="20316979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49080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2018.xlsm]Pivot-Transf&lt;48H (2)!Tableau croisé dynamique6</c:name>
    <c:fmtId val="16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Nb moyen de tranfusions</a:t>
            </a:r>
            <a:r>
              <a:rPr lang="en-US" baseline="0"/>
              <a:t> par patient transfusé &lt;24 h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'Pivot-Transf&lt;48H (2)'!$B$24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'Pivot-Transf&lt;48H (2)'!$A$25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'Pivot-Transf&lt;48H (2)'!$B$25</c:f>
              <c:numCache>
                <c:formatCode>0.0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3A-498F-B986-B176567B36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4910080"/>
        <c:axId val="203171520"/>
      </c:barChart>
      <c:catAx>
        <c:axId val="2049100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171520"/>
        <c:crosses val="autoZero"/>
        <c:auto val="1"/>
        <c:lblAlgn val="ctr"/>
        <c:lblOffset val="100"/>
        <c:noMultiLvlLbl val="0"/>
      </c:catAx>
      <c:valAx>
        <c:axId val="20317152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049100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2018.xlsm]Pivot-Transf&lt;48H (2)!Tableau croisé dynamique1</c:name>
    <c:fmtId val="19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%</a:t>
            </a:r>
            <a:r>
              <a:rPr lang="en-US" sz="1400" baseline="0"/>
              <a:t> Patients transfusés &lt; 48h per et post op, (Hors LVAD et HTX)</a:t>
            </a:r>
            <a:endParaRPr lang="en-US" sz="1400"/>
          </a:p>
        </c:rich>
      </c:tx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'Pivot-Transf&lt;48H (2)'!$B$7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'Pivot-Transf&lt;48H (2)'!$A$8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'Pivot-Transf&lt;48H (2)'!$B$8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E9-445E-B0DB-8D1A0738A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pivotSource>
    <c:name>[Statistiques CCA 2018.xlsm]Pivot-Transf_Tout!Tableau croisé dynamique6</c:name>
    <c:fmtId val="25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% Patients transfusés  en per et post op  (Hors LVAD et HTX)</a:t>
            </a:r>
          </a:p>
          <a:p>
            <a:pPr>
              <a:defRPr sz="1400"/>
            </a:pPr>
            <a:r>
              <a:rPr lang="en-US" sz="1400"/>
              <a:t> </a:t>
            </a:r>
            <a:endParaRPr lang="fr-BE" sz="1400"/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'Pivot-Transf_Tout'!$B$6:$B$7</c:f>
              <c:strCache>
                <c:ptCount val="1"/>
                <c:pt idx="0">
                  <c:v>Nombre de Transfu_RV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'Pivot-Transf_Tout'!$A$8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'Pivot-Transf_Tout'!$B$8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08-417C-95D8-EE06C329FE84}"/>
            </c:ext>
          </c:extLst>
        </c:ser>
        <c:ser>
          <c:idx val="1"/>
          <c:order val="1"/>
          <c:tx>
            <c:strRef>
              <c:f>'Pivot-Transf_Tout'!$C$6:$C$7</c:f>
              <c:strCache>
                <c:ptCount val="1"/>
                <c:pt idx="0">
                  <c:v>Somme de Transfu_Total_RV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'Pivot-Transf_Tout'!$A$8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'Pivot-Transf_Tout'!$C$8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08-417C-95D8-EE06C329FE8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sVisible val="1"/>
      </c14:pivotOptions>
    </c:ext>
  </c:extLst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2018.xlsm]Pivot-Transf_Tout!Tableau croisé dynamique8</c:name>
    <c:fmtId val="23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u="none" strike="noStrike" baseline="0"/>
              <a:t>Pourcentages de patients transfusés  global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'Pivot-Transf_Tout'!$B$16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'Pivot-Transf_Tout'!$A$17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'Pivot-Transf_Tout'!$B$17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05-4E43-B140-C38CE5BFA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3376"/>
        <c:axId val="203175552"/>
      </c:barChart>
      <c:catAx>
        <c:axId val="2047733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175552"/>
        <c:crosses val="autoZero"/>
        <c:auto val="1"/>
        <c:lblAlgn val="ctr"/>
        <c:lblOffset val="100"/>
        <c:noMultiLvlLbl val="0"/>
      </c:catAx>
      <c:valAx>
        <c:axId val="20317555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47733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2018.xlsm]Pivot-Transf_Tout!Tableau croisé dynamique7</c:name>
    <c:fmtId val="15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u="none" strike="noStrike" baseline="0"/>
              <a:t>Répartitions des patients transfusés global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'Pivot-Transf_Tout'!$F$5:$F$6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'Pivot-Transf_Tout'!$E$7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'Pivot-Transf_Tout'!$F$7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FB35-4C1D-ACC5-F9ED16FE11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205956096"/>
        <c:axId val="203177280"/>
      </c:barChart>
      <c:catAx>
        <c:axId val="2059560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03177280"/>
        <c:crosses val="autoZero"/>
        <c:auto val="1"/>
        <c:lblAlgn val="ctr"/>
        <c:lblOffset val="100"/>
        <c:noMultiLvlLbl val="0"/>
      </c:catAx>
      <c:valAx>
        <c:axId val="2031772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0595609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2018.xlsm]Pivot-Transf_Tout!Tableau croisé dynamique9</c:name>
    <c:fmtId val="17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u="none" strike="noStrike" baseline="0"/>
              <a:t>Pourcentage des patients transfusés  global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'Pivot-Transf_Tout'!$K$5:$K$6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'Pivot-Transf_Tout'!$J$7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'Pivot-Transf_Tout'!$K$7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F-4745-B1F1-9DEB68DB72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205958144"/>
        <c:axId val="206374016"/>
      </c:barChart>
      <c:catAx>
        <c:axId val="2059581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06374016"/>
        <c:crosses val="autoZero"/>
        <c:auto val="1"/>
        <c:lblAlgn val="ctr"/>
        <c:lblOffset val="100"/>
        <c:noMultiLvlLbl val="0"/>
      </c:catAx>
      <c:valAx>
        <c:axId val="206374016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spPr>
          <a:ln w="9525">
            <a:noFill/>
          </a:ln>
        </c:spPr>
        <c:crossAx val="20595814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2018.xlsm]Pivot-Transf_Tout (2)!Tableau croisé dynamique6</c:name>
    <c:fmtId val="18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Nb moyen de tranfusions par patient transfusé global 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'Pivot-Transf_Tout (2)'!$B$24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'Pivot-Transf_Tout (2)'!$A$25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 (2)'!$B$25</c:f>
              <c:numCache>
                <c:formatCode>#\ ##0.0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CF-4FA3-966A-50C9D9D89D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575744"/>
        <c:axId val="206375744"/>
      </c:barChart>
      <c:catAx>
        <c:axId val="2045757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6375744"/>
        <c:crosses val="autoZero"/>
        <c:auto val="1"/>
        <c:lblAlgn val="ctr"/>
        <c:lblOffset val="100"/>
        <c:noMultiLvlLbl val="0"/>
      </c:catAx>
      <c:valAx>
        <c:axId val="206375744"/>
        <c:scaling>
          <c:orientation val="minMax"/>
        </c:scaling>
        <c:delete val="0"/>
        <c:axPos val="l"/>
        <c:majorGridlines/>
        <c:numFmt formatCode="#\ ##0.0" sourceLinked="1"/>
        <c:majorTickMark val="out"/>
        <c:minorTickMark val="none"/>
        <c:tickLblPos val="nextTo"/>
        <c:crossAx val="2045757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pivotSource>
    <c:name>[Statistiques CCA 2018.xlsm]Pivot_HT!Tableau croisé dynamique9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Cas discutés en  HT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Pivot_HT!$H$23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Pivot_HT!$G$24:$G$25</c:f>
              <c:strCache>
                <c:ptCount val="1"/>
                <c:pt idx="0">
                  <c:v>NON</c:v>
                </c:pt>
              </c:strCache>
            </c:strRef>
          </c:cat>
          <c:val>
            <c:numRef>
              <c:f>Pivot_HT!$H$24:$H$25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6E-4F59-B06E-C8968636DC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2018.xlsm]Pivot &gt;80 ans!Tableau croisé dynamique12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</a:t>
            </a:r>
            <a:r>
              <a:rPr lang="en-US" baseline="0"/>
              <a:t> patients &gt;80 ans</a:t>
            </a:r>
            <a:endParaRPr lang="en-US"/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 &gt;80 ans'!$B$13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'Pivot &gt;80 ans'!$A$14:$A$16</c:f>
              <c:strCache>
                <c:ptCount val="2"/>
                <c:pt idx="0">
                  <c:v>(vide)</c:v>
                </c:pt>
                <c:pt idx="1">
                  <c:v> </c:v>
                </c:pt>
              </c:strCache>
            </c:strRef>
          </c:cat>
          <c:val>
            <c:numRef>
              <c:f>'Pivot &gt;80 ans'!$B$14:$B$16</c:f>
              <c:numCache>
                <c:formatCode>General</c:formatCode>
                <c:ptCount val="2"/>
                <c:pt idx="1">
                  <c:v>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23-43AC-BA25-DBB1C0141D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chart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chart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chart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chart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chart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chart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chart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chart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chart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chart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chart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chart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chart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chart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chart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chart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chart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chart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chart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chart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chart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chart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chart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chart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chart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chart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chart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chart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chart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12.bin"/></Relationships>
</file>

<file path=xl/chart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chart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chart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chart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chart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1">
    <tabColor rgb="FF7030A0"/>
  </sheetPr>
  <sheetViews>
    <sheetView zoomScale="9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ique12">
    <tabColor rgb="FF7030A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ique14">
    <tabColor theme="4" tint="-0.249977111117893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 codeName="Graphique15">
    <tabColor theme="4" tint="-0.249977111117893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 codeName="Graphique16">
    <tabColor rgb="FF00206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 codeName="Graphique17">
    <tabColor theme="3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 codeName="Graphique18">
    <tabColor theme="4" tint="-0.249977111117893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>
  <sheetPr codeName="Graphique20">
    <tabColor rgb="FF00B050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>
  <sheetPr codeName="Graphique21">
    <tabColor rgb="FF00B05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>
  <sheetPr codeName="Graphique23">
    <tabColor rgb="FFFF0000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>
  <sheetPr codeName="Graphique24">
    <tabColor rgb="FFFF0000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>
  <sheetPr codeName="Graphique25">
    <tabColor rgb="FFFF0000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>
  <sheetPr codeName="Graphique27">
    <tabColor theme="9" tint="-0.249977111117893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>
  <sheetPr codeName="Graphique28">
    <tabColor theme="9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>
  <sheetPr codeName="Graphique29">
    <tabColor theme="9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>
  <sheetPr codeName="Graphique32">
    <tabColor rgb="FF7030A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>
  <sheetPr codeName="Graphique33">
    <tabColor rgb="FF7030A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>
  <sheetPr codeName="Graphique34">
    <tabColor rgb="FF7030A0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19.xml><?xml version="1.0" encoding="utf-8"?>
<chartsheet xmlns="http://schemas.openxmlformats.org/spreadsheetml/2006/main" xmlns:r="http://schemas.openxmlformats.org/officeDocument/2006/relationships">
  <sheetPr codeName="Graphique35">
    <tabColor rgb="FF7030A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0.xml><?xml version="1.0" encoding="utf-8"?>
<chartsheet xmlns="http://schemas.openxmlformats.org/spreadsheetml/2006/main" xmlns:r="http://schemas.openxmlformats.org/officeDocument/2006/relationships">
  <sheetPr codeName="Graphique36">
    <tabColor rgb="FF7030A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1.xml><?xml version="1.0" encoding="utf-8"?>
<chartsheet xmlns="http://schemas.openxmlformats.org/spreadsheetml/2006/main" xmlns:r="http://schemas.openxmlformats.org/officeDocument/2006/relationships">
  <sheetPr codeName="Graphique37">
    <tabColor rgb="FF7030A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2.xml><?xml version="1.0" encoding="utf-8"?>
<chartsheet xmlns="http://schemas.openxmlformats.org/spreadsheetml/2006/main" xmlns:r="http://schemas.openxmlformats.org/officeDocument/2006/relationships">
  <sheetPr codeName="Graphique40">
    <tabColor rgb="FFFFFF00"/>
  </sheetPr>
  <sheetViews>
    <sheetView zoomScale="104" workbookViewId="0"/>
  </sheetViews>
  <pageMargins left="0.7" right="0.7" top="0.75" bottom="0.75" header="0.3" footer="0.3"/>
  <drawing r:id="rId1"/>
</chartsheet>
</file>

<file path=xl/chartsheets/sheet23.xml><?xml version="1.0" encoding="utf-8"?>
<chartsheet xmlns="http://schemas.openxmlformats.org/spreadsheetml/2006/main" xmlns:r="http://schemas.openxmlformats.org/officeDocument/2006/relationships">
  <sheetPr codeName="Graphique41">
    <tabColor rgb="FFFFFF0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4.xml><?xml version="1.0" encoding="utf-8"?>
<chartsheet xmlns="http://schemas.openxmlformats.org/spreadsheetml/2006/main" xmlns:r="http://schemas.openxmlformats.org/officeDocument/2006/relationships">
  <sheetPr codeName="Graphique42">
    <tabColor rgb="FFFFFF00"/>
  </sheetPr>
  <sheetViews>
    <sheetView zoomScale="104" workbookViewId="0"/>
  </sheetViews>
  <pageMargins left="0.7" right="0.7" top="0.75" bottom="0.75" header="0.3" footer="0.3"/>
  <drawing r:id="rId1"/>
</chartsheet>
</file>

<file path=xl/chartsheets/sheet25.xml><?xml version="1.0" encoding="utf-8"?>
<chartsheet xmlns="http://schemas.openxmlformats.org/spreadsheetml/2006/main" xmlns:r="http://schemas.openxmlformats.org/officeDocument/2006/relationships">
  <sheetPr codeName="Graphique43">
    <tabColor rgb="FFFFFF0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6.xml><?xml version="1.0" encoding="utf-8"?>
<chartsheet xmlns="http://schemas.openxmlformats.org/spreadsheetml/2006/main" xmlns:r="http://schemas.openxmlformats.org/officeDocument/2006/relationships">
  <sheetPr codeName="Graphique44">
    <tabColor rgb="FFFFFF0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7.xml><?xml version="1.0" encoding="utf-8"?>
<chartsheet xmlns="http://schemas.openxmlformats.org/spreadsheetml/2006/main" xmlns:r="http://schemas.openxmlformats.org/officeDocument/2006/relationships">
  <sheetPr codeName="Graphique45">
    <tabColor rgb="FFFFFF00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28.xml><?xml version="1.0" encoding="utf-8"?>
<chartsheet xmlns="http://schemas.openxmlformats.org/spreadsheetml/2006/main" xmlns:r="http://schemas.openxmlformats.org/officeDocument/2006/relationships">
  <sheetPr codeName="Graphique47">
    <tabColor rgb="FF99FFCC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29.xml><?xml version="1.0" encoding="utf-8"?>
<chartsheet xmlns="http://schemas.openxmlformats.org/spreadsheetml/2006/main" xmlns:r="http://schemas.openxmlformats.org/officeDocument/2006/relationships">
  <sheetPr codeName="Graphique48">
    <tabColor rgb="FF99FFCC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30.xml><?xml version="1.0" encoding="utf-8"?>
<chartsheet xmlns="http://schemas.openxmlformats.org/spreadsheetml/2006/main" xmlns:r="http://schemas.openxmlformats.org/officeDocument/2006/relationships">
  <sheetPr codeName="Graphique49">
    <tabColor rgb="FF99FFCC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31.xml><?xml version="1.0" encoding="utf-8"?>
<chartsheet xmlns="http://schemas.openxmlformats.org/spreadsheetml/2006/main" xmlns:r="http://schemas.openxmlformats.org/officeDocument/2006/relationships">
  <sheetPr codeName="Graphique52">
    <tabColor theme="8" tint="-0.249977111117893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32.xml><?xml version="1.0" encoding="utf-8"?>
<chartsheet xmlns="http://schemas.openxmlformats.org/spreadsheetml/2006/main" xmlns:r="http://schemas.openxmlformats.org/officeDocument/2006/relationships">
  <sheetPr codeName="Graphique53">
    <tabColor theme="8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33.xml><?xml version="1.0" encoding="utf-8"?>
<chartsheet xmlns="http://schemas.openxmlformats.org/spreadsheetml/2006/main" xmlns:r="http://schemas.openxmlformats.org/officeDocument/2006/relationships">
  <sheetPr codeName="Graphique54">
    <tabColor theme="8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34.xml><?xml version="1.0" encoding="utf-8"?>
<chartsheet xmlns="http://schemas.openxmlformats.org/spreadsheetml/2006/main" xmlns:r="http://schemas.openxmlformats.org/officeDocument/2006/relationships">
  <sheetPr codeName="Graphique57">
    <tabColor theme="1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35.xml><?xml version="1.0" encoding="utf-8"?>
<chartsheet xmlns="http://schemas.openxmlformats.org/spreadsheetml/2006/main" xmlns:r="http://schemas.openxmlformats.org/officeDocument/2006/relationships">
  <sheetPr codeName="Graphique58">
    <tabColor theme="1"/>
  </sheetPr>
  <sheetViews>
    <sheetView zoomScale="104" workbookViewId="0"/>
  </sheetViews>
  <pageMargins left="0.7" right="0.7" top="0.75" bottom="0.75" header="0.3" footer="0.3"/>
  <drawing r:id="rId1"/>
</chartsheet>
</file>

<file path=xl/chartsheets/sheet36.xml><?xml version="1.0" encoding="utf-8"?>
<chartsheet xmlns="http://schemas.openxmlformats.org/spreadsheetml/2006/main" xmlns:r="http://schemas.openxmlformats.org/officeDocument/2006/relationships">
  <sheetPr codeName="Graphique59">
    <tabColor theme="1"/>
  </sheetPr>
  <sheetViews>
    <sheetView zoomScale="101" workbookViewId="0" zoomToFit="1"/>
  </sheetViews>
  <pageMargins left="0.7" right="0.7" top="0.75" bottom="0.75" header="0.3" footer="0.3"/>
  <drawing r:id="rId1"/>
</chartsheet>
</file>

<file path=xl/chartsheets/sheet37.xml><?xml version="1.0" encoding="utf-8"?>
<chartsheet xmlns="http://schemas.openxmlformats.org/spreadsheetml/2006/main" xmlns:r="http://schemas.openxmlformats.org/officeDocument/2006/relationships">
  <sheetPr codeName="Graphique60">
    <tabColor theme="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38.xml><?xml version="1.0" encoding="utf-8"?>
<chartsheet xmlns="http://schemas.openxmlformats.org/spreadsheetml/2006/main" xmlns:r="http://schemas.openxmlformats.org/officeDocument/2006/relationships">
  <sheetPr codeName="Graphique64">
    <tabColor rgb="FF00B0F0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39.xml><?xml version="1.0" encoding="utf-8"?>
<chartsheet xmlns="http://schemas.openxmlformats.org/spreadsheetml/2006/main" xmlns:r="http://schemas.openxmlformats.org/officeDocument/2006/relationships">
  <sheetPr codeName="Graphique67">
    <tabColor theme="5" tint="0.39997558519241921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40.xml><?xml version="1.0" encoding="utf-8"?>
<chartsheet xmlns="http://schemas.openxmlformats.org/spreadsheetml/2006/main" xmlns:r="http://schemas.openxmlformats.org/officeDocument/2006/relationships">
  <sheetPr codeName="Graphique68">
    <tabColor theme="5" tint="0.39997558519241921"/>
  </sheetPr>
  <sheetViews>
    <sheetView zoomScale="95" workbookViewId="0" zoomToFit="1"/>
  </sheetViews>
  <pageMargins left="0.7" right="0.7" top="0.75" bottom="0.75" header="0.3" footer="0.3"/>
  <drawing r:id="rId1"/>
</chartsheet>
</file>

<file path=xl/chartsheets/sheet41.xml><?xml version="1.0" encoding="utf-8"?>
<chartsheet xmlns="http://schemas.openxmlformats.org/spreadsheetml/2006/main" xmlns:r="http://schemas.openxmlformats.org/officeDocument/2006/relationships">
  <sheetPr codeName="Graphique69">
    <tabColor theme="5" tint="0.3999755851924192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2.xml><?xml version="1.0" encoding="utf-8"?>
<chartsheet xmlns="http://schemas.openxmlformats.org/spreadsheetml/2006/main" xmlns:r="http://schemas.openxmlformats.org/officeDocument/2006/relationships">
  <sheetPr codeName="Graphique70">
    <tabColor theme="5" tint="0.59999389629810485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3.xml><?xml version="1.0" encoding="utf-8"?>
<chartsheet xmlns="http://schemas.openxmlformats.org/spreadsheetml/2006/main" xmlns:r="http://schemas.openxmlformats.org/officeDocument/2006/relationships">
  <sheetPr codeName="Graphique71">
    <tabColor theme="5" tint="0.3999755851924192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4.xml><?xml version="1.0" encoding="utf-8"?>
<chartsheet xmlns="http://schemas.openxmlformats.org/spreadsheetml/2006/main" xmlns:r="http://schemas.openxmlformats.org/officeDocument/2006/relationships">
  <sheetPr codeName="Graphique72">
    <tabColor theme="5" tint="0.59999389629810485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5.xml><?xml version="1.0" encoding="utf-8"?>
<chartsheet xmlns="http://schemas.openxmlformats.org/spreadsheetml/2006/main" xmlns:r="http://schemas.openxmlformats.org/officeDocument/2006/relationships">
  <sheetPr codeName="Graphique75">
    <tabColor theme="6" tint="0.3999755851924192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6.xml><?xml version="1.0" encoding="utf-8"?>
<chartsheet xmlns="http://schemas.openxmlformats.org/spreadsheetml/2006/main" xmlns:r="http://schemas.openxmlformats.org/officeDocument/2006/relationships">
  <sheetPr codeName="Graphique76">
    <tabColor theme="6" tint="0.3999755851924192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7.xml><?xml version="1.0" encoding="utf-8"?>
<chartsheet xmlns="http://schemas.openxmlformats.org/spreadsheetml/2006/main" xmlns:r="http://schemas.openxmlformats.org/officeDocument/2006/relationships">
  <sheetPr codeName="Graphique77">
    <tabColor theme="6" tint="0.3999755851924192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8.xml><?xml version="1.0" encoding="utf-8"?>
<chartsheet xmlns="http://schemas.openxmlformats.org/spreadsheetml/2006/main" xmlns:r="http://schemas.openxmlformats.org/officeDocument/2006/relationships">
  <sheetPr codeName="Graphique78">
    <tabColor theme="6" tint="0.39997558519241921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49.xml><?xml version="1.0" encoding="utf-8"?>
<chartsheet xmlns="http://schemas.openxmlformats.org/spreadsheetml/2006/main" xmlns:r="http://schemas.openxmlformats.org/officeDocument/2006/relationships">
  <sheetPr codeName="Graphique79">
    <tabColor theme="6" tint="0.39997558519241921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50.xml><?xml version="1.0" encoding="utf-8"?>
<chartsheet xmlns="http://schemas.openxmlformats.org/spreadsheetml/2006/main" xmlns:r="http://schemas.openxmlformats.org/officeDocument/2006/relationships">
  <sheetPr codeName="Graphique82">
    <tabColor theme="0" tint="-0.249977111117893"/>
  </sheetPr>
  <sheetViews>
    <sheetView zoomScale="126" workbookViewId="0" zoomToFit="1"/>
  </sheetViews>
  <pageMargins left="0.7" right="0.7" top="0.75" bottom="0.75" header="0.3" footer="0.3"/>
  <pageSetup paperSize="9" orientation="landscape" r:id="rId1"/>
  <drawing r:id="rId2"/>
</chartsheet>
</file>

<file path=xl/chartsheets/sheet51.xml><?xml version="1.0" encoding="utf-8"?>
<chartsheet xmlns="http://schemas.openxmlformats.org/spreadsheetml/2006/main" xmlns:r="http://schemas.openxmlformats.org/officeDocument/2006/relationships">
  <sheetPr codeName="Graphique83">
    <tabColor theme="0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52.xml><?xml version="1.0" encoding="utf-8"?>
<chartsheet xmlns="http://schemas.openxmlformats.org/spreadsheetml/2006/main" xmlns:r="http://schemas.openxmlformats.org/officeDocument/2006/relationships">
  <sheetPr codeName="Graphique84">
    <tabColor theme="0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53.xml><?xml version="1.0" encoding="utf-8"?>
<chartsheet xmlns="http://schemas.openxmlformats.org/spreadsheetml/2006/main" xmlns:r="http://schemas.openxmlformats.org/officeDocument/2006/relationships">
  <sheetPr codeName="Graphique85">
    <tabColor theme="0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54.xml><?xml version="1.0" encoding="utf-8"?>
<chartsheet xmlns="http://schemas.openxmlformats.org/spreadsheetml/2006/main" xmlns:r="http://schemas.openxmlformats.org/officeDocument/2006/relationships">
  <sheetPr codeName="Graphique86">
    <tabColor theme="0" tint="-0.249977111117893"/>
  </sheetPr>
  <sheetViews>
    <sheetView zoomScale="129" workbookViewId="0" zoomToFit="1"/>
  </sheetViews>
  <pageMargins left="0.7" right="0.7" top="0.75" bottom="0.75" header="0.3" footer="0.3"/>
  <drawing r:id="rId1"/>
</chartsheet>
</file>

<file path=xl/chartsheets/sheet55.xml><?xml version="1.0" encoding="utf-8"?>
<chartsheet xmlns="http://schemas.openxmlformats.org/spreadsheetml/2006/main" xmlns:r="http://schemas.openxmlformats.org/officeDocument/2006/relationships">
  <sheetPr codeName="Graphique91"/>
  <sheetViews>
    <sheetView tabSelected="1" zoomScale="95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2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2.xml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4.xml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5.xml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6.xml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7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0.xml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1.xml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2.xml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1009650</xdr:colOff>
      <xdr:row>56</xdr:row>
      <xdr:rowOff>85725</xdr:rowOff>
    </xdr:from>
    <xdr:to>
      <xdr:col>3</xdr:col>
      <xdr:colOff>1143000</xdr:colOff>
      <xdr:row>69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Chirurgien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irurgie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95725" y="10753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 title="Interventions 2016-2017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328612</xdr:colOff>
      <xdr:row>27</xdr:row>
      <xdr:rowOff>185737</xdr:rowOff>
    </xdr:from>
    <xdr:to>
      <xdr:col>18</xdr:col>
      <xdr:colOff>457200</xdr:colOff>
      <xdr:row>57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19</xdr:row>
      <xdr:rowOff>119062</xdr:rowOff>
    </xdr:from>
    <xdr:to>
      <xdr:col>7</xdr:col>
      <xdr:colOff>523875</xdr:colOff>
      <xdr:row>34</xdr:row>
      <xdr:rowOff>4762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8134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0.48132</cdr:x>
      <cdr:y>0.01797</cdr:y>
    </cdr:from>
    <cdr:to>
      <cdr:x>0.57968</cdr:x>
      <cdr:y>0.16856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474766" y="109141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0.39915</cdr:x>
      <cdr:y>0.02451</cdr:y>
    </cdr:from>
    <cdr:to>
      <cdr:x>0.69264</cdr:x>
      <cdr:y>0.09967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710780" y="148829"/>
          <a:ext cx="2728517" cy="4564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0.40982</cdr:x>
      <cdr:y>0.03268</cdr:y>
    </cdr:from>
    <cdr:to>
      <cdr:x>0.50818</cdr:x>
      <cdr:y>0.18327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3810000" y="19843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0.31163</cdr:x>
      <cdr:y>0.04248</cdr:y>
    </cdr:from>
    <cdr:to>
      <cdr:x>0.40999</cdr:x>
      <cdr:y>0.19307</cdr:y>
    </cdr:to>
    <cdr:sp macro="" textlink="">
      <cdr:nvSpPr>
        <cdr:cNvPr id="5" name="ZoneTexte 4"/>
        <cdr:cNvSpPr txBox="1"/>
      </cdr:nvSpPr>
      <cdr:spPr>
        <a:xfrm xmlns:a="http://schemas.openxmlformats.org/drawingml/2006/main">
          <a:off x="2897187" y="25796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Moyenne nb jours d'hospitalisation (toutes interventions)</a:t>
          </a: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8134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0.27641</cdr:x>
      <cdr:y>0.08497</cdr:y>
    </cdr:from>
    <cdr:to>
      <cdr:x>0.37477</cdr:x>
      <cdr:y>0.23556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569766" y="515937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Moyenne nb jours d'hospitalisation (Hors "LVAD"et</a:t>
          </a:r>
          <a:r>
            <a:rPr lang="fr-BE" sz="1800" b="1" baseline="0"/>
            <a:t> "TX")</a:t>
          </a:r>
          <a:endParaRPr lang="fr-BE" sz="1800" b="1"/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23</xdr:row>
      <xdr:rowOff>119062</xdr:rowOff>
    </xdr:from>
    <xdr:to>
      <xdr:col>7</xdr:col>
      <xdr:colOff>638175</xdr:colOff>
      <xdr:row>38</xdr:row>
      <xdr:rowOff>4762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0.68699</cdr:x>
      <cdr:y>0.79276</cdr:y>
    </cdr:from>
    <cdr:to>
      <cdr:x>0.93659</cdr:x>
      <cdr:y>0.94257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6387798" y="4800298"/>
          <a:ext cx="2320773" cy="907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0.6122</cdr:x>
      <cdr:y>0.73658</cdr:y>
    </cdr:from>
    <cdr:to>
      <cdr:x>0.97561</cdr:x>
      <cdr:y>0.8839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5692321" y="4460119"/>
          <a:ext cx="3379108" cy="8920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BE" sz="1100"/>
            <a:t>C : cause cardiaque</a:t>
          </a:r>
        </a:p>
        <a:p xmlns:a="http://schemas.openxmlformats.org/drawingml/2006/main">
          <a:r>
            <a:rPr lang="fr-BE" sz="1100"/>
            <a:t>NC : cause</a:t>
          </a:r>
          <a:r>
            <a:rPr lang="fr-BE" sz="1100" baseline="0"/>
            <a:t> non cardiaque</a:t>
          </a:r>
          <a:endParaRPr lang="fr-BE" sz="1100"/>
        </a:p>
      </cdr:txBody>
    </cdr:sp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0.2444</cdr:x>
      <cdr:y>0.01471</cdr:y>
    </cdr:from>
    <cdr:to>
      <cdr:x>0.34275</cdr:x>
      <cdr:y>0.16529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272109" y="89297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22</xdr:row>
      <xdr:rowOff>4762</xdr:rowOff>
    </xdr:from>
    <xdr:to>
      <xdr:col>9</xdr:col>
      <xdr:colOff>1390650</xdr:colOff>
      <xdr:row>36</xdr:row>
      <xdr:rowOff>71437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0.6561</cdr:x>
      <cdr:y>0.77903</cdr:y>
    </cdr:from>
    <cdr:to>
      <cdr:x>0.96992</cdr:x>
      <cdr:y>0.89139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6100536" y="4717143"/>
          <a:ext cx="2917976" cy="6803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0.66341</cdr:x>
      <cdr:y>0.77528</cdr:y>
    </cdr:from>
    <cdr:to>
      <cdr:x>0.97398</cdr:x>
      <cdr:y>0.93009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6168571" y="4694464"/>
          <a:ext cx="2887739" cy="9373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BE" sz="1100"/>
            <a:t>Défini par une ATB thérapie post opératoire</a:t>
          </a:r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8134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c:userShapes xmlns:c="http://schemas.openxmlformats.org/drawingml/2006/chart">
  <cdr:relSizeAnchor xmlns:cdr="http://schemas.openxmlformats.org/drawingml/2006/chartDrawing">
    <cdr:from>
      <cdr:x>0.3127</cdr:x>
      <cdr:y>0.02778</cdr:y>
    </cdr:from>
    <cdr:to>
      <cdr:x>0.41106</cdr:x>
      <cdr:y>0.17837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907109" y="168672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0.35112</cdr:x>
      <cdr:y>0</cdr:y>
    </cdr:from>
    <cdr:to>
      <cdr:x>0.44948</cdr:x>
      <cdr:y>0.15059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264297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 i="0"/>
            <a:t>Pourcentage</a:t>
          </a:r>
          <a:r>
            <a:rPr lang="fr-BE" sz="1800" b="1" i="0" baseline="0"/>
            <a:t> des patients infectés</a:t>
          </a:r>
          <a:endParaRPr lang="fr-BE" sz="1800" b="1" i="0"/>
        </a:p>
      </cdr:txBody>
    </cdr:sp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0.24546</cdr:x>
      <cdr:y>0.03922</cdr:y>
    </cdr:from>
    <cdr:to>
      <cdr:x>0.34382</cdr:x>
      <cdr:y>0.1898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282031" y="23812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0.22412</cdr:x>
      <cdr:y>0.05229</cdr:y>
    </cdr:from>
    <cdr:to>
      <cdr:x>0.32248</cdr:x>
      <cdr:y>0.20288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083594" y="317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                     Répartition</a:t>
          </a:r>
          <a:r>
            <a:rPr lang="fr-BE" sz="1800" b="1" baseline="0"/>
            <a:t> de patients infectés</a:t>
          </a:r>
          <a:endParaRPr lang="fr-BE" sz="18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16</xdr:row>
      <xdr:rowOff>123825</xdr:rowOff>
    </xdr:from>
    <xdr:to>
      <xdr:col>7</xdr:col>
      <xdr:colOff>104775</xdr:colOff>
      <xdr:row>30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4</xdr:row>
      <xdr:rowOff>57150</xdr:rowOff>
    </xdr:from>
    <xdr:to>
      <xdr:col>16</xdr:col>
      <xdr:colOff>704850</xdr:colOff>
      <xdr:row>38</xdr:row>
      <xdr:rowOff>47625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16</xdr:row>
      <xdr:rowOff>85725</xdr:rowOff>
    </xdr:from>
    <xdr:to>
      <xdr:col>6</xdr:col>
      <xdr:colOff>1447800</xdr:colOff>
      <xdr:row>30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4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5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7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8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9.xml><?xml version="1.0" encoding="utf-8"?>
<c:userShapes xmlns:c="http://schemas.openxmlformats.org/drawingml/2006/chart">
  <cdr:relSizeAnchor xmlns:cdr="http://schemas.openxmlformats.org/drawingml/2006/chartDrawing">
    <cdr:from>
      <cdr:x>0.27428</cdr:x>
      <cdr:y>0.0098</cdr:y>
    </cdr:from>
    <cdr:to>
      <cdr:x>0.3705</cdr:x>
      <cdr:y>0.18327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549922" y="59531"/>
          <a:ext cx="894556" cy="10533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Pourcentage des patients transfusés &gt;</a:t>
          </a:r>
          <a:r>
            <a:rPr lang="fr-BE" sz="1800" b="1" baseline="0"/>
            <a:t> 24 h</a:t>
          </a:r>
          <a:endParaRPr lang="fr-BE" sz="1800" b="1"/>
        </a:p>
      </cdr:txBody>
    </cdr:sp>
  </cdr:relSizeAnchor>
</c:userShapes>
</file>

<file path=xl/drawings/drawing6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2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3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0.28175</cdr:x>
      <cdr:y>0.00654</cdr:y>
    </cdr:from>
    <cdr:to>
      <cdr:x>0.38011</cdr:x>
      <cdr:y>0.15712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619375" y="39687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Pourcentage des patients transfusés &lt;24H</a:t>
          </a:r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6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7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8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295274</xdr:colOff>
      <xdr:row>6</xdr:row>
      <xdr:rowOff>104774</xdr:rowOff>
    </xdr:from>
    <xdr:to>
      <xdr:col>14</xdr:col>
      <xdr:colOff>333375</xdr:colOff>
      <xdr:row>33</xdr:row>
      <xdr:rowOff>38099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Statistiques%20CCA%202017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igaux  Karen" refreshedDate="43052.659363773149" createdVersion="4" refreshedVersion="4" minRefreshableVersion="3" recordCount="299">
  <cacheSource type="worksheet">
    <worksheetSource ref="A1:BW309" sheet="Données " r:id="rId2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Blank="1"/>
    </cacheField>
    <cacheField name="Référence" numFmtId="0">
      <sharedItems containsBlank="1"/>
    </cacheField>
    <cacheField name="D/naissance" numFmtId="164">
      <sharedItems containsNonDate="0" containsDate="1" containsString="0" containsBlank="1" minDate="1924-11-06T00:00:00" maxDate="1998-07-04T00:00:00"/>
    </cacheField>
    <cacheField name="Age" numFmtId="1">
      <sharedItems containsSemiMixedTypes="0" containsString="0" containsNumber="1" minValue="0" maxValue="92.950684931506856"/>
    </cacheField>
    <cacheField name="Cardiogéria" numFmtId="1">
      <sharedItems containsBlank="1"/>
    </cacheField>
    <cacheField name="Référant" numFmtId="0">
      <sharedItems containsBlank="1"/>
    </cacheField>
    <cacheField name="Lieu activité" numFmtId="0">
      <sharedItems containsBlank="1"/>
    </cacheField>
    <cacheField name="Lieu activité2" numFmtId="0">
      <sharedItems containsBlank="1"/>
    </cacheField>
    <cacheField name="Chirurgien" numFmtId="0">
      <sharedItems containsBlank="1"/>
    </cacheField>
    <cacheField name="Sexe" numFmtId="0">
      <sharedItems containsBlank="1"/>
    </cacheField>
    <cacheField name="D/opératoire" numFmtId="164">
      <sharedItems containsNonDate="0" containsDate="1" containsString="0" containsBlank="1" minDate="2017-01-02T00:00:00" maxDate="2017-11-09T00:00:00"/>
    </cacheField>
    <cacheField name="Disc HT" numFmtId="0">
      <sharedItems containsNonDate="0" containsDate="1" containsString="0" containsBlank="1" minDate="2016-02-07T00:00:00" maxDate="2017-11-01T00:00:00"/>
    </cacheField>
    <cacheField name="Intervention" numFmtId="0">
      <sharedItems containsBlank="1"/>
    </cacheField>
    <cacheField name="Intervention-activité" numFmtId="0">
      <sharedItems containsBlank="1" count="12">
        <s v="2 V ou plus"/>
        <s v="CABG"/>
        <s v="1 V"/>
        <s v="CABG + 1V"/>
        <s v="Autre"/>
        <s v="1 Pl"/>
        <s v="LVAD"/>
        <s v="Aorte"/>
        <s v="HTX"/>
        <s v="CABG + 2 V"/>
        <m/>
        <s v="AVR" u="1"/>
      </sharedItems>
    </cacheField>
    <cacheField name="Intervention-activité par type" numFmtId="0">
      <sharedItems containsBlank="1" count="16">
        <s v="CABG + V, &gt;1 V"/>
        <s v="CABG"/>
        <s v="1 V"/>
        <s v="Autre"/>
        <s v="1 Pl"/>
        <s v="LVAD"/>
        <s v="HTX"/>
        <s v=" "/>
        <m u="1"/>
        <s v="Valve" u="1"/>
        <s v="LVAD/HTX" u="1"/>
        <s v="Combiné" u="1"/>
        <s v="AVR" u="1"/>
        <s v="MVP" u="1"/>
        <s v="TVR" u="1"/>
        <s v="MVR" u="1"/>
      </sharedItems>
    </cacheField>
    <cacheField name="intervention-valves" numFmtId="0">
      <sharedItems containsMixedTypes="1" containsNumber="1" containsInteger="1" minValue="0" maxValue="0"/>
    </cacheField>
    <cacheField name="valves - activité" numFmtId="0">
      <sharedItems containsMixedTypes="1" containsNumber="1" containsInteger="1" minValue="0" maxValue="0"/>
    </cacheField>
    <cacheField name="Lés. cor." numFmtId="0">
      <sharedItems containsString="0" containsBlank="1" containsNumber="1" containsInteger="1" minValue="1" maxValue="5"/>
    </cacheField>
    <cacheField name="Type RC" numFmtId="0">
      <sharedItems containsBlank="1"/>
    </cacheField>
    <cacheField name="Marque V" numFmtId="0">
      <sharedItems containsBlank="1"/>
    </cacheField>
    <cacheField name="Type V" numFmtId="0">
      <sharedItems containsBlank="1"/>
    </cacheField>
    <cacheField name="Taille V" numFmtId="0">
      <sharedItems containsBlank="1" containsMixedTypes="1" containsNumber="1" containsInteger="1" minValue="19" maxValue="37"/>
    </cacheField>
    <cacheField name="Date révision" numFmtId="164">
      <sharedItems containsNonDate="0" containsDate="1" containsString="0" containsBlank="1" minDate="2017-01-14T00:00:00" maxDate="2017-07-19T00:00:00"/>
    </cacheField>
    <cacheField name="Révision &lt; 24h" numFmtId="0">
      <sharedItems containsString="0" containsBlank="1" containsNumber="1" containsInteger="1" minValue="1" maxValue="2"/>
    </cacheField>
    <cacheField name="Révision &gt;24h" numFmtId="0">
      <sharedItems containsString="0" containsBlank="1" containsNumber="1" containsInteger="1" minValue="1" maxValue="2"/>
    </cacheField>
    <cacheField name="Redo" numFmtId="0">
      <sharedItems containsString="0" containsBlank="1" containsNumber="1" containsInteger="1" minValue="1" maxValue="2"/>
    </cacheField>
    <cacheField name="AVC" numFmtId="0">
      <sharedItems containsString="0" containsBlank="1" containsNumber="1" containsInteger="1" minValue="1" maxValue="1"/>
    </cacheField>
    <cacheField name="IM" numFmtId="0">
      <sharedItems containsNonDate="0" containsString="0" containsBlank="1"/>
    </cacheField>
    <cacheField name="Inf p.op" numFmtId="0">
      <sharedItems containsString="0" containsBlank="1" containsNumber="1" containsInteger="1" minValue="1" maxValue="1"/>
    </cacheField>
    <cacheField name="Transfu &lt;24 h" numFmtId="0">
      <sharedItems containsBlank="1"/>
    </cacheField>
    <cacheField name="T &lt;24 - nb trans" numFmtId="0">
      <sharedItems containsString="0" containsBlank="1" containsNumber="1" containsInteger="1" minValue="1" maxValue="36"/>
    </cacheField>
    <cacheField name="Transfu &gt;24 h" numFmtId="0">
      <sharedItems containsBlank="1"/>
    </cacheField>
    <cacheField name="T &gt;24 h - nb trans" numFmtId="0">
      <sharedItems containsString="0" containsBlank="1" containsNumber="1" containsInteger="1" minValue="1" maxValue="16"/>
    </cacheField>
    <cacheField name="T total" numFmtId="0">
      <sharedItems containsSemiMixedTypes="0" containsString="0" containsNumber="1" containsInteger="1" minValue="0" maxValue="46"/>
    </cacheField>
    <cacheField name="Retour salle" numFmtId="164">
      <sharedItems containsNonDate="0" containsDate="1" containsString="0" containsBlank="1" minDate="2017-01-04T00:00:00" maxDate="2017-11-01T00:00:00"/>
    </cacheField>
    <cacheField name="Nbr de j USI" numFmtId="0">
      <sharedItems containsSemiMixedTypes="0" containsString="0" containsNumber="1" containsInteger="1" minValue="-43047" maxValue="35"/>
    </cacheField>
    <cacheField name="Date de sortie" numFmtId="164">
      <sharedItems containsNonDate="0" containsDate="1" containsString="0" containsBlank="1" minDate="2017-01-09T00:00:00" maxDate="2017-11-11T00:00:00"/>
    </cacheField>
    <cacheField name="Nbr de j hospi" numFmtId="2">
      <sharedItems containsSemiMixedTypes="0" containsString="0" containsNumber="1" containsInteger="1" minValue="-43047" maxValue="43017"/>
    </cacheField>
    <cacheField name="Alive" numFmtId="0">
      <sharedItems containsBlank="1" count="7">
        <s v="ALIVE"/>
        <s v="DECEASED"/>
        <m/>
        <s v="Y" u="1"/>
        <s v="D" u="1"/>
        <s v="A" u="1"/>
        <s v="N" u="1"/>
      </sharedItems>
    </cacheField>
    <cacheField name="DCD Délai d'intervention" numFmtId="0">
      <sharedItems containsString="0" containsBlank="1" containsNumber="1" containsInteger="1" minValue="1" maxValue="4"/>
    </cacheField>
    <cacheField name="Délai intervention" numFmtId="0">
      <sharedItems/>
    </cacheField>
    <cacheField name="Destination" numFmtId="0">
      <sharedItems containsBlank="1"/>
    </cacheField>
    <cacheField name="Réhosp." numFmtId="0">
      <sharedItems containsNonDate="0" containsDate="1" containsString="0" containsBlank="1" minDate="2017-04-10T00:00:00" maxDate="2017-10-06T00:00:00"/>
    </cacheField>
    <cacheField name="Réhosp.&lt; 30 j" numFmtId="0">
      <sharedItems containsString="0" containsBlank="1" containsNumber="1" containsInteger="1" minValue="1" maxValue="1"/>
    </cacheField>
    <cacheField name="Cause réhospit" numFmtId="164">
      <sharedItems containsBlank="1"/>
    </cacheField>
    <cacheField name="Nom3" numFmtId="0">
      <sharedItems containsBlank="1"/>
    </cacheField>
    <cacheField name="RDV postop" numFmtId="0">
      <sharedItems containsDate="1" containsBlank="1" containsMixedTypes="1" minDate="2017-02-02T00:00:00" maxDate="2018-02-06T00:00:00"/>
    </cacheField>
    <cacheField name="Postopt imm" numFmtId="14">
      <sharedItems containsDate="1" containsBlank="1" containsMixedTypes="1" minDate="2017-01-18T00:00:00" maxDate="2017-11-14T00:00:00"/>
    </cacheField>
    <cacheField name="Statut 1" numFmtId="0">
      <sharedItems containsBlank="1"/>
    </cacheField>
    <cacheField name="Commentaires" numFmtId="0">
      <sharedItems containsBlank="1"/>
    </cacheField>
    <cacheField name="postop loint" numFmtId="0">
      <sharedItems containsDate="1" containsBlank="1" containsMixedTypes="1" minDate="2017-04-18T00:00:00" maxDate="2017-11-14T00:00:00"/>
    </cacheField>
    <cacheField name="Statut 2" numFmtId="0">
      <sharedItems containsBlank="1"/>
    </cacheField>
    <cacheField name="Commentaires4" numFmtId="0">
      <sharedItems containsBlank="1"/>
    </cacheField>
    <cacheField name="Inf p.op_RV" numFmtId="0">
      <sharedItems containsSemiMixedTypes="0" containsString="0" containsNumber="1" containsInteger="1" minValue="0" maxValue="1"/>
    </cacheField>
    <cacheField name="Transfu &lt;24 h_RV" numFmtId="0">
      <sharedItems containsSemiMixedTypes="0" containsString="0" containsNumber="1" containsInteger="1" minValue="0" maxValue="1"/>
    </cacheField>
    <cacheField name="Transfu &gt;24 h_RV" numFmtId="0">
      <sharedItems containsSemiMixedTypes="0" containsString="0" containsNumber="1" containsInteger="1" minValue="1" maxValue="1"/>
    </cacheField>
    <cacheField name="délai intervention5" numFmtId="0">
      <sharedItems containsBlank="1" count="6">
        <s v="ELECTIVE"/>
        <s v="EMERGENCY"/>
        <s v="URGENCY"/>
        <s v="SALVAGE"/>
        <s v="ALIVE"/>
        <m u="1"/>
      </sharedItems>
    </cacheField>
    <cacheField name="Inf p.op_RV6" numFmtId="0">
      <sharedItems/>
    </cacheField>
    <cacheField name="Transfu &lt;24 h_RV7" numFmtId="0">
      <sharedItems/>
    </cacheField>
    <cacheField name="Transfu &gt;24 h_RV8" numFmtId="0">
      <sharedItems/>
    </cacheField>
    <cacheField name="Révision &lt; 24h_RV" numFmtId="0">
      <sharedItems/>
    </cacheField>
    <cacheField name="Réhosp.&lt; 30 j_RV" numFmtId="0">
      <sharedItems/>
    </cacheField>
    <cacheField name="Nbr de j hospi_RV" numFmtId="0">
      <sharedItems containsMixedTypes="1" containsNumber="1" containsInteger="1" minValue="1" maxValue="82"/>
    </cacheField>
    <cacheField name="Nbr de j hospi_Hors_RV" numFmtId="0">
      <sharedItems containsMixedTypes="1" containsNumber="1" containsInteger="1" minValue="1" maxValue="82"/>
    </cacheField>
    <cacheField name="Nbr de j hospi_LVAD-TX_RV" numFmtId="0">
      <sharedItems containsMixedTypes="1" containsNumber="1" containsInteger="1" minValue="3" maxValue="47"/>
    </cacheField>
    <cacheField name="Nbr de j USI_RV" numFmtId="0">
      <sharedItems containsMixedTypes="1" containsNumber="1" containsInteger="1" minValue="1" maxValue="35"/>
    </cacheField>
    <cacheField name="Nbr de j USI_Hors_RV" numFmtId="0">
      <sharedItems containsMixedTypes="1" containsNumber="1" containsInteger="1" minValue="1" maxValue="35"/>
    </cacheField>
    <cacheField name="Nbr de j USI_LVAD-TX_RV" numFmtId="0">
      <sharedItems containsMixedTypes="1" containsNumber="1" containsInteger="1" minValue="3" maxValue="22"/>
    </cacheField>
    <cacheField name="Transfu_RV" numFmtId="0">
      <sharedItems/>
    </cacheField>
    <cacheField name="Transfu_Total_RV" numFmtId="0">
      <sharedItems containsMixedTypes="1" containsNumber="1" containsInteger="1" minValue="0" maxValue="46"/>
    </cacheField>
    <cacheField name="Lieu activité_Groupe" numFmtId="0">
      <sharedItems/>
    </cacheField>
    <cacheField name="AVC_RV" numFmtId="0">
      <sharedItems/>
    </cacheField>
    <cacheField name="IM_RV" numFmtId="0">
      <sharedItems/>
    </cacheField>
    <cacheField name="H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3066.750511342594" createdVersion="4" refreshedVersion="6" minRefreshableVersion="3" recordCount="308">
  <cacheSource type="worksheet">
    <worksheetSource ref="A1:BW309" sheet="Données 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1">
      <sharedItems containsSemiMixedTypes="0" containsString="0" containsNumber="1" containsInteger="1" minValue="0" maxValue="0"/>
    </cacheField>
    <cacheField name="Cardiogéria" numFmtId="1">
      <sharedItems containsBlank="1"/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NonDate="0" containsString="0" containsBlank="1"/>
    </cacheField>
    <cacheField name="Intervention-activité" numFmtId="0">
      <sharedItems containsNonDate="0" containsString="0" containsBlank="1" count="1">
        <m/>
      </sharedItems>
    </cacheField>
    <cacheField name="Intervention-activité par type" numFmtId="0">
      <sharedItems count="1">
        <s v=" "/>
      </sharedItems>
    </cacheField>
    <cacheField name="intervention-valves" numFmtId="0">
      <sharedItems/>
    </cacheField>
    <cacheField name="valves - activité" numFmtId="0">
      <sharedItems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emiMixedTypes="0" containsString="0" containsNumber="1" containsInteger="1" minValue="0" maxValue="30"/>
    </cacheField>
    <cacheField name="Retour salle" numFmtId="164">
      <sharedItems containsNonDate="0" containsString="0" containsBlank="1"/>
    </cacheField>
    <cacheField name="Nbr de j USI" numFmtId="0">
      <sharedItems containsSemiMixedTypes="0" containsString="0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2">
      <sharedItems containsSemiMixedTypes="0" containsString="0" containsNumber="1" containsInteger="1" minValue="0" maxValue="0"/>
    </cacheField>
    <cacheField name="Alive" numFmtId="0">
      <sharedItems containsNonDate="0" containsBlank="1" count="3">
        <m/>
        <s v="ALIVE" u="1"/>
        <s v="DECEASED" u="1"/>
      </sharedItems>
    </cacheField>
    <cacheField name="DCD Délai d'intervention" numFmtId="0">
      <sharedItems containsNonDate="0" containsString="0" containsBlank="1"/>
    </cacheField>
    <cacheField name="Délai intervention" numFmtId="0">
      <sharedItems count="5">
        <s v=" "/>
        <s v="SALVAGE" u="1"/>
        <s v="ELECTIVE" u="1"/>
        <s v="URGENCY" u="1"/>
        <s v="EMERGENCY" u="1"/>
      </sharedItems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164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164">
      <sharedItems containsNonDate="0" containsString="0" containsBlank="1"/>
    </cacheField>
    <cacheField name="Postopt imm" numFmtId="14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NonDate="0" containsString="0" containsBlank="1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emiMixedTypes="0" containsString="0" containsNumber="1" containsInteger="1" minValue="0" maxValue="0"/>
    </cacheField>
    <cacheField name="Transfu &lt;24 h_RV" numFmtId="0">
      <sharedItems containsSemiMixedTypes="0" containsString="0" containsNumber="1" containsInteger="1" minValue="0" maxValue="1"/>
    </cacheField>
    <cacheField name="Transfu &gt;24 h_RV" numFmtId="0">
      <sharedItems containsSemiMixedTypes="0" containsString="0" containsNumber="1" containsInteger="1" minValue="1" maxValue="1"/>
    </cacheField>
    <cacheField name="délai intervention5" numFmtId="0">
      <sharedItems/>
    </cacheField>
    <cacheField name="Inf p.op_RV6" numFmtId="0">
      <sharedItems/>
    </cacheField>
    <cacheField name="Transfu &lt;24 h_RV7" numFmtId="0">
      <sharedItems/>
    </cacheField>
    <cacheField name="Transfu &gt;24 h_RV8" numFmtId="0">
      <sharedItems/>
    </cacheField>
    <cacheField name="Révision &lt; 24h_RV" numFmtId="0">
      <sharedItems/>
    </cacheField>
    <cacheField name="Réhosp.&lt; 30 j_RV" numFmtId="0">
      <sharedItems/>
    </cacheField>
    <cacheField name="Nbr de j hospi_RV" numFmtId="0">
      <sharedItems/>
    </cacheField>
    <cacheField name="Nbr de j hospi_Hors_RV" numFmtId="0">
      <sharedItems/>
    </cacheField>
    <cacheField name="Nbr de j hospi_LVAD-TX_RV" numFmtId="0">
      <sharedItems/>
    </cacheField>
    <cacheField name="Nbr de j USI_RV" numFmtId="0">
      <sharedItems/>
    </cacheField>
    <cacheField name="Nbr de j USI_Hors_RV" numFmtId="0">
      <sharedItems/>
    </cacheField>
    <cacheField name="Nbr de j USI_LVAD-TX_RV" numFmtId="0">
      <sharedItems/>
    </cacheField>
    <cacheField name="Transfu_RV" numFmtId="0">
      <sharedItems/>
    </cacheField>
    <cacheField name="Transfu_Total_RV" numFmtId="0">
      <sharedItems containsMixedTypes="1" containsNumber="1" containsInteger="1" minValue="0" maxValue="30"/>
    </cacheField>
    <cacheField name="Lieu activité_Groupe" numFmtId="0">
      <sharedItems/>
    </cacheField>
    <cacheField name="AVC_RV" numFmtId="0">
      <sharedItems/>
    </cacheField>
    <cacheField name="IM_RV" numFmtId="0">
      <sharedItems count="1">
        <s v="Aucun"/>
      </sharedItems>
    </cacheField>
    <cacheField name="H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ean-Eric Pelouas" refreshedDate="43066.750512615741" createdVersion="4" refreshedVersion="6" minRefreshableVersion="3" recordCount="325">
  <cacheSource type="worksheet">
    <worksheetSource ref="A1:BW326" sheet="Données 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/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Blank="1"/>
    </cacheField>
    <cacheField name="Intervention-activité" numFmtId="0">
      <sharedItems containsBlank="1"/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String="0" containsBlank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String="0" containsBlank="1"/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String="0" containsBlank="1" containsNumber="1" containsInteger="1" minValue="0" maxValue="0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/>
    </cacheField>
    <cacheField name="Transfu &lt;24 h_RV7" numFmtId="0">
      <sharedItems containsBlank="1"/>
    </cacheField>
    <cacheField name="Transfu &gt;24 h_RV8" numFmtId="0">
      <sharedItems containsBlank="1"/>
    </cacheField>
    <cacheField name="Révision &lt; 24h_RV" numFmtId="0">
      <sharedItems containsBlank="1"/>
    </cacheField>
    <cacheField name="Réhosp.&lt; 30 j_RV" numFmtId="0">
      <sharedItems containsBlank="1"/>
    </cacheField>
    <cacheField name="Nbr de j hospi_RV" numFmtId="0">
      <sharedItems containsBlank="1"/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/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/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/>
    </cacheField>
    <cacheField name="AVC_RV" numFmtId="0">
      <sharedItems containsBlank="1"/>
    </cacheField>
    <cacheField name="IM_RV" numFmtId="0">
      <sharedItems containsBlank="1"/>
    </cacheField>
    <cacheField name="H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Jean-Eric Pelouas" refreshedDate="43066.750512615741" createdVersion="4" refreshedVersion="6" minRefreshableVersion="3" recordCount="314">
  <cacheSource type="worksheet">
    <worksheetSource ref="A1:BW315" sheet="Données 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/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Blank="1"/>
    </cacheField>
    <cacheField name="Intervention-activité" numFmtId="0">
      <sharedItems containsBlank="1" count="12">
        <m/>
        <s v="1 V"/>
        <s v="1 Pl"/>
        <s v="Aorte" u="1"/>
        <s v="CABG" u="1"/>
        <s v="LVAD" u="1"/>
        <s v="CABG + 2 V" u="1"/>
        <s v="Autre" u="1"/>
        <s v="CABG + 1V" u="1"/>
        <s v="2 V ou plus" u="1"/>
        <s v="AVR" u="1"/>
        <s v="HTX" u="1"/>
      </sharedItems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String="0" containsBlank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String="0" containsBlank="1"/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NonDate="0" containsString="0" containsBlank="1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/>
    </cacheField>
    <cacheField name="Transfu &lt;24 h_RV7" numFmtId="0">
      <sharedItems containsBlank="1"/>
    </cacheField>
    <cacheField name="Transfu &gt;24 h_RV8" numFmtId="0">
      <sharedItems containsBlank="1"/>
    </cacheField>
    <cacheField name="Révision &lt; 24h_RV" numFmtId="0">
      <sharedItems containsBlank="1"/>
    </cacheField>
    <cacheField name="Réhosp.&lt; 30 j_RV" numFmtId="0">
      <sharedItems containsBlank="1"/>
    </cacheField>
    <cacheField name="Nbr de j hospi_RV" numFmtId="0">
      <sharedItems containsBlank="1"/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/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/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/>
    </cacheField>
    <cacheField name="AVC_RV" numFmtId="0">
      <sharedItems containsBlank="1" count="4">
        <s v="Aucun"/>
        <m/>
        <s v="Aucune" u="1"/>
        <s v="AVC" u="1"/>
      </sharedItems>
    </cacheField>
    <cacheField name="IM_RV" numFmtId="0">
      <sharedItems containsBlank="1"/>
    </cacheField>
    <cacheField name="HT" numFmtId="0">
      <sharedItems containsBlank="1" count="3">
        <s v="NON"/>
        <m/>
        <s v="OUI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Jean-Eric Pelouas" refreshedDate="43066.750513194442" createdVersion="4" refreshedVersion="6" minRefreshableVersion="3" recordCount="309">
  <cacheSource type="worksheet">
    <worksheetSource ref="A1:BW310" sheet="Données 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 count="4">
        <s v=" "/>
        <m/>
        <s v="" u="1"/>
        <s v="1" u="1"/>
      </sharedItems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NonDate="0" containsString="0" containsBlank="1"/>
    </cacheField>
    <cacheField name="Intervention-activité" numFmtId="0">
      <sharedItems containsNonDate="0" containsString="0" containsBlank="1"/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String="0" containsBlank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String="0" containsBlank="1"/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NonDate="0" containsString="0" containsBlank="1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/>
    </cacheField>
    <cacheField name="Transfu &lt;24 h_RV7" numFmtId="0">
      <sharedItems containsBlank="1"/>
    </cacheField>
    <cacheField name="Transfu &gt;24 h_RV8" numFmtId="0">
      <sharedItems containsBlank="1"/>
    </cacheField>
    <cacheField name="Révision &lt; 24h_RV" numFmtId="0">
      <sharedItems containsBlank="1"/>
    </cacheField>
    <cacheField name="Réhosp.&lt; 30 j_RV" numFmtId="0">
      <sharedItems containsBlank="1"/>
    </cacheField>
    <cacheField name="Nbr de j hospi_RV" numFmtId="0">
      <sharedItems containsBlank="1"/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/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/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/>
    </cacheField>
    <cacheField name="AVC_RV" numFmtId="0">
      <sharedItems containsBlank="1" count="4">
        <s v="Aucun"/>
        <m/>
        <s v="Aucune" u="1"/>
        <s v="AVC" u="1"/>
      </sharedItems>
    </cacheField>
    <cacheField name="IM_RV" numFmtId="0">
      <sharedItems containsBlank="1"/>
    </cacheField>
    <cacheField name="H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Jean-Eric Pelouas" refreshedDate="43066.750513541665" createdVersion="4" refreshedVersion="6" minRefreshableVersion="3" recordCount="12">
  <cacheSource type="worksheet">
    <worksheetSource ref="H24:J36" sheet="Pivotr-Type Int"/>
  </cacheSource>
  <cacheFields count="3">
    <cacheField name="Nbre d'intervention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2017" numFmtId="0">
      <sharedItems containsString="0" containsBlank="1" containsNumber="1" containsInteger="1" minValue="13" maxValue="32"/>
    </cacheField>
    <cacheField name="2018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Jean-Eric Pelouas" refreshedDate="43066.75051377315" createdVersion="4" refreshedVersion="6" minRefreshableVersion="3" recordCount="313">
  <cacheSource type="worksheet">
    <worksheetSource ref="A1:BW314" sheet="Données 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/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Blank="1"/>
    </cacheField>
    <cacheField name="Intervention-activité" numFmtId="0">
      <sharedItems containsBlank="1"/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String="0" containsBlank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String="0" containsBlank="1"/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NonDate="0" containsString="0" containsBlank="1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/>
    </cacheField>
    <cacheField name="Transfu &lt;24 h_RV7" numFmtId="0">
      <sharedItems containsBlank="1"/>
    </cacheField>
    <cacheField name="Transfu &gt;24 h_RV8" numFmtId="0">
      <sharedItems containsBlank="1"/>
    </cacheField>
    <cacheField name="Révision &lt; 24h_RV" numFmtId="0">
      <sharedItems containsBlank="1"/>
    </cacheField>
    <cacheField name="Réhosp.&lt; 30 j_RV" numFmtId="0">
      <sharedItems containsBlank="1"/>
    </cacheField>
    <cacheField name="Nbr de j hospi_RV" numFmtId="0">
      <sharedItems containsBlank="1"/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/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/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/>
    </cacheField>
    <cacheField name="AVC_RV" numFmtId="0">
      <sharedItems containsBlank="1"/>
    </cacheField>
    <cacheField name="IM_RV" numFmtId="0">
      <sharedItems containsBlank="1"/>
    </cacheField>
    <cacheField name="HT" numFmtId="0">
      <sharedItems containsBlank="1" count="3">
        <s v="NON"/>
        <m/>
        <s v="OUI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Jean-Eric Pelouas" refreshedDate="43066.750514120373" createdVersion="4" refreshedVersion="6" minRefreshableVersion="3" recordCount="317">
  <cacheSource type="worksheet">
    <worksheetSource ref="A1:BW318" sheet="Données "/>
  </cacheSource>
  <cacheFields count="75">
    <cacheField name="Mois" numFmtId="14">
      <sharedItems containsBlank="1" count="14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 count="4">
        <s v=" "/>
        <m/>
        <s v="" u="1"/>
        <s v="1" u="1"/>
      </sharedItems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Blank="1"/>
    </cacheField>
    <cacheField name="Intervention-activité" numFmtId="0">
      <sharedItems containsBlank="1"/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String="0" containsBlank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String="0" containsBlank="1"/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NonDate="0" containsString="0" containsBlank="1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/>
    </cacheField>
    <cacheField name="Transfu &lt;24 h_RV7" numFmtId="0">
      <sharedItems containsBlank="1"/>
    </cacheField>
    <cacheField name="Transfu &gt;24 h_RV8" numFmtId="0">
      <sharedItems containsBlank="1"/>
    </cacheField>
    <cacheField name="Révision &lt; 24h_RV" numFmtId="0">
      <sharedItems containsBlank="1"/>
    </cacheField>
    <cacheField name="Réhosp.&lt; 30 j_RV" numFmtId="0">
      <sharedItems containsBlank="1"/>
    </cacheField>
    <cacheField name="Nbr de j hospi_RV" numFmtId="0">
      <sharedItems containsBlank="1"/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/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/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/>
    </cacheField>
    <cacheField name="AVC_RV" numFmtId="0">
      <sharedItems containsBlank="1"/>
    </cacheField>
    <cacheField name="IM_RV" numFmtId="0">
      <sharedItems containsBlank="1"/>
    </cacheField>
    <cacheField name="H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Jean-Eric Pelouas" refreshedDate="43066.750514236111" createdVersion="4" refreshedVersion="6" minRefreshableVersion="3" recordCount="311">
  <cacheSource type="worksheet">
    <worksheetSource ref="A1:BW312" sheet="Données "/>
  </cacheSource>
  <cacheFields count="75">
    <cacheField name="Mois" numFmtId="14">
      <sharedItems containsBlank="1" count="15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  <s v="AOUT " u="1"/>
      </sharedItems>
    </cacheField>
    <cacheField name="Nom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/>
    </cacheField>
    <cacheField name="Référant" numFmtId="0">
      <sharedItems containsNonDate="0" containsString="0" containsBlank="1"/>
    </cacheField>
    <cacheField name="Lieu activité" numFmtId="0">
      <sharedItems containsNonDate="0" containsString="0" containsBlank="1"/>
    </cacheField>
    <cacheField name="Lieu activité2" numFmtId="0">
      <sharedItems containsNonDate="0" containsString="0" containsBlank="1"/>
    </cacheField>
    <cacheField name="Chirurgien" numFmtId="0">
      <sharedItems containsNonDate="0" containsString="0" containsBlank="1"/>
    </cacheField>
    <cacheField name="Sexe" numFmtId="0">
      <sharedItems containsNonDate="0" containsString="0" containsBlank="1"/>
    </cacheField>
    <cacheField name="D/opératoire" numFmtId="164">
      <sharedItems containsNonDate="0" containsString="0" containsBlank="1"/>
    </cacheField>
    <cacheField name="Disc HT" numFmtId="0">
      <sharedItems containsNonDate="0" containsString="0" containsBlank="1"/>
    </cacheField>
    <cacheField name="Intervention" numFmtId="0">
      <sharedItems containsBlank="1"/>
    </cacheField>
    <cacheField name="Intervention-activité" numFmtId="0">
      <sharedItems containsBlank="1" count="12">
        <m/>
        <s v="1 V"/>
        <s v="Aorte" u="1"/>
        <s v="CABG" u="1"/>
        <s v="LVAD" u="1"/>
        <s v="1 Pl" u="1"/>
        <s v="CABG + 2 V" u="1"/>
        <s v="Autre" u="1"/>
        <s v="CABG + 1V" u="1"/>
        <s v="2 V ou plus" u="1"/>
        <s v="AVR" u="1"/>
        <s v="HTX" u="1"/>
      </sharedItems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/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String="0" containsBlank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String="0" containsBlank="1"/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String="0" containsBlank="1"/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NonDate="0" containsString="0" containsBlank="1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/>
    </cacheField>
    <cacheField name="Transfu &lt;24 h_RV7" numFmtId="0">
      <sharedItems containsBlank="1"/>
    </cacheField>
    <cacheField name="Transfu &gt;24 h_RV8" numFmtId="0">
      <sharedItems containsBlank="1"/>
    </cacheField>
    <cacheField name="Révision &lt; 24h_RV" numFmtId="0">
      <sharedItems containsBlank="1"/>
    </cacheField>
    <cacheField name="Réhosp.&lt; 30 j_RV" numFmtId="0">
      <sharedItems containsBlank="1"/>
    </cacheField>
    <cacheField name="Nbr de j hospi_RV" numFmtId="0">
      <sharedItems containsBlank="1"/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/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/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/>
    </cacheField>
    <cacheField name="AVC_RV" numFmtId="0">
      <sharedItems containsBlank="1"/>
    </cacheField>
    <cacheField name="IM_RV" numFmtId="0">
      <sharedItems containsBlank="1" count="3">
        <s v="Aucun"/>
        <m/>
        <s v="Aucune" u="1"/>
      </sharedItems>
    </cacheField>
    <cacheField name="H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OnLoad="1" refreshedBy="Jean-Eric Pelouas" refreshedDate="43066.750514699073" createdVersion="3" refreshedVersion="6" minRefreshableVersion="3" recordCount="755">
  <cacheSource type="worksheet">
    <worksheetSource ref="A1:BT1048576" sheet="Données "/>
  </cacheSource>
  <cacheFields count="75">
    <cacheField name="Mois" numFmtId="14">
      <sharedItems containsDate="1" containsBlank="1" containsMixedTypes="1" minDate="2016-01-01T00:00:00" maxDate="2016-11-02T00:00:00" count="33">
        <s v="JANVIER"/>
        <s v="FEVRIER"/>
        <s v="MARS"/>
        <s v="AVRIL"/>
        <s v="MAI"/>
        <s v="JUIN"/>
        <s v="JUILLET"/>
        <s v="AOUT"/>
        <s v="SEPTEMBRE"/>
        <s v="OCTOBRE"/>
        <s v="NOVEMBRE"/>
        <s v="DECEMBRE"/>
        <s v="DÉCEMBRE"/>
        <m/>
        <s v="OCT 2016" u="1"/>
        <s v="MARS 2016" u="1"/>
        <s v="AOUT 2016" u="1"/>
        <s v="AOUT16" u="1"/>
        <s v="JUIN 2016" u="1"/>
        <s v=" " u="1"/>
        <s v="SEPT 2016" u="1"/>
        <s v="JUIL 2016" u="1"/>
        <d v="2016-01-01T00:00:00" u="1"/>
        <s v="JANVIER 2016" u="1"/>
        <d v="2016-11-01T00:00:00" u="1"/>
        <s v="FEVRIER 2016" u="1"/>
        <s v="MAI 2016" u="1"/>
        <d v="2016-10-01T00:00:00" u="1"/>
        <s v="AVRIL 2016" u="1"/>
        <s v="AOUT " u="1"/>
        <s v="NOV 2016" u="1"/>
        <s v="DEC 2016" u="1"/>
        <s v="FÉVRIER" u="1"/>
      </sharedItems>
    </cacheField>
    <cacheField name="Nom" numFmtId="0">
      <sharedItems containsNonDate="0" containsString="0" containsBlank="1"/>
    </cacheField>
    <cacheField name="Référence" numFmtId="0">
      <sharedItems containsNonDate="0" containsBlank="1" count="556">
        <m/>
        <s v="390308MD01" u="1"/>
        <s v="450701FC09" u="1"/>
        <s v="650701MA03" u="1"/>
        <s v="450309FT02" u="1"/>
        <s v="430304MC01" u="1"/>
        <s v="491221MC01" u="1"/>
        <s v="591107FM02" u="1"/>
        <s v="930515MMAA" u="1"/>
        <s v="300822MT03" u="1"/>
        <s v="480712FM01" u="1"/>
        <s v="460526MBAA" u="1"/>
        <s v="710224MC02" u="1"/>
        <s v="630905MH01" u="1"/>
        <s v="490214FL01" u="1"/>
        <s v="740129FB07" u="1"/>
        <s v="360521MV03" u="1"/>
        <s v="460606MV01" u="1"/>
        <s v="380830MD01" u="1"/>
        <s v="430303MGAA" u="1"/>
        <s v="300410MF01" u="1"/>
        <s v="820518MBAA" u="1"/>
        <s v="371128MM02" u="1"/>
        <s v="490315MD02" u="1"/>
        <s v="430216MD01" u="1"/>
        <s v="650425FC02" u="1"/>
        <s v="300314FSAA" u="1"/>
        <s v="561108MB04" u="1"/>
        <s v="710607FFAA" u="1"/>
        <s v="340818FF02" u="1"/>
        <s v="361213MH01" u="1"/>
        <s v="221030MH01" u="1"/>
        <s v="650125MT01" u="1"/>
        <s v="350708MC03" u="1"/>
        <s v="550318MD01" u="1"/>
        <s v="511205ML01" u="1"/>
        <s v="380102FEAA" u="1"/>
        <s v="520615MV02" u="1"/>
        <s v="460801MM01" u="1"/>
        <s v="630112FPAA" u="1"/>
        <s v="430603FVAA" u="1"/>
        <s v="461017FR02" u="1"/>
        <s v="530909MB03" u="1"/>
        <s v="570613MR01" u="1"/>
        <s v="331231MD03" u="1"/>
        <s v="471028FV02" u="1"/>
        <s v="711202MD02" u="1"/>
        <s v="460927MM01" u="1"/>
        <s v="920507MG02" u="1"/>
        <s v="650504FGAA" u="1"/>
        <s v="470128MD03 " u="1"/>
        <s v="710205MM04" u="1"/>
        <s v="471031MM02" u="1"/>
        <s v="570403MD02" u="1"/>
        <s v="330711FB01" u="1"/>
        <s v="500222MV03 " u="1"/>
        <s v="640720MM01" u="1"/>
        <s v="381106MJ01" u="1"/>
        <s v="661227FA01" u="1"/>
        <s v="330513MD04" u="1"/>
        <s v="490413MD01" u="1"/>
        <s v="591126FV03" u="1"/>
        <s v="521019FVAA" u="1"/>
        <s v="480801MV02" u="1"/>
        <s v="421221MP01" u="1"/>
        <s v="570918MJ01" u="1"/>
        <s v="901227MA03" u="1"/>
        <s v="441231MV01 " u="1"/>
        <s v="480615FF02 " u="1"/>
        <s v="441012MB01" u="1"/>
        <s v="680813MBAA" u="1"/>
        <s v="490203MV03" u="1"/>
        <s v="450224MM01" u="1"/>
        <s v="571007MW02" u="1"/>
        <s v="340812MBAA" u="1"/>
        <s v="240730ML01 " u="1"/>
        <s v="461215FB01" u="1"/>
        <s v="720323MDAA" u="1"/>
        <s v="491105MG02" u="1"/>
        <s v="510101MM11" u="1"/>
        <s v="510720MB01" u="1"/>
        <s v="501122MCAA " u="1"/>
        <s v="390202FV01" u="1"/>
        <s v="410406FM01" u="1"/>
        <s v="380409MR02" u="1"/>
        <s v="580525MP01" u="1"/>
        <s v="361018MD03" u="1"/>
        <s v="501007MC01" u="1"/>
        <s v="361215MH01 " u="1"/>
        <s v="470630MC01" u="1"/>
        <s v="510701MK02" u="1"/>
        <s v="511120MU01" u="1"/>
        <s v="640829MG01" u="1"/>
        <s v="360326MB02" u="1"/>
        <s v="501229MB01" u="1"/>
        <s v="601006MA01 " u="1"/>
        <s v="521124FP01 " u="1"/>
        <s v="400806MKAA" u="1"/>
        <s v="540220MEAA" u="1"/>
        <s v="590224MD01 " u="1"/>
        <s v="351220MV04" u="1"/>
        <s v="470503MM02" u="1"/>
        <s v="510514MT01" u="1"/>
        <s v="550302MF03" u="1"/>
        <s v="430214MF01" u="1"/>
        <s v="451122MN01" u="1"/>
        <s v="291113ME01 " u="1"/>
        <s v="470408MBAA" u="1"/>
        <s v="800116FS04" u="1"/>
        <s v="510606MD07 " u="1"/>
        <s v="490623MT01" u="1"/>
        <s v="330629FE01" u="1"/>
        <s v="471206MG01" u="1"/>
        <s v="311012MG01" u="1"/>
        <s v="490311FF01" u="1"/>
        <s v="520329MH01 " u="1"/>
        <s v="560418FC04" u="1"/>
        <s v="620105MC01" u="1"/>
        <s v="660703FP01" u="1"/>
        <s v="440220FB01" u="1"/>
        <s v="421001FD03" u="1"/>
        <s v="480109MHAA" u="1"/>
        <s v="530821MA02 " u="1"/>
        <s v="580505MR03" u="1"/>
        <s v="520927MG01" u="1"/>
        <s v="420225FS03" u="1"/>
        <s v="541217FD04" u="1"/>
        <s v="561202MC02" u="1"/>
        <s v="450717MV07" u="1"/>
        <s v="350701MM16" u="1"/>
        <s v="470613MM02" u="1"/>
        <s v="511220MV03" u="1"/>
        <s v="560923FCAA" u="1"/>
        <s v="411222MN01" u="1"/>
        <s v="420225MS03" u="1"/>
        <s v="320816MP01" u="1"/>
        <s v="520104FB02 " u="1"/>
        <s v="520713MDAA" u="1"/>
        <s v="550203FP04" u="1"/>
        <s v="360706MB03" u="1"/>
        <s v="400417MZ01" u="1"/>
        <s v="400106MT02" u="1"/>
        <s v="441108FD06 " u="1"/>
        <s v="361110MD03" u="1"/>
        <s v="501017MPAA" u="1"/>
        <s v="531225FW01" u="1"/>
        <s v="300411MD09" u="1"/>
        <s v="540126ML02" u="1"/>
        <s v="360222MD04" u="1"/>
        <s v="580907MA02" u="1"/>
        <s v="660920MG01" u="1"/>
        <s v="620611MA02" u="1"/>
        <s v="321214MD03" u="1"/>
        <s v="361216MD01" u="1"/>
        <s v="370819MT04 " u="1"/>
        <s v="490728ML03 " u="1"/>
        <s v="371214FP01" u="1"/>
        <s v="680517ML07" u="1"/>
        <s v="380923MP01" u="1"/>
        <s v="520616MB02" u="1"/>
        <s v="460205MT01" u="1"/>
        <s v="481229FM03" u="1"/>
        <s v="560902MP01" u="1"/>
        <s v="460215MB01 " u="1"/>
        <s v="641210MC01" u="1"/>
        <s v="450701ME24" u="1"/>
        <s v="930313MG03" u="1"/>
        <s v="540606MFAA" u="1"/>
        <s v="450717FV02" u="1"/>
        <s v="590702FV03" u="1"/>
        <s v="390901FM02" u="1"/>
        <s v="511119FA01" u="1"/>
        <s v="530820FL01" u="1"/>
        <s v="410831FB01 " u="1"/>
        <s v="320324MD04" u="1"/>
        <s v="480317ML01" u="1"/>
        <s v="580629FC02" u="1"/>
        <s v="620328FL03" u="1"/>
        <s v="660305MD02" u="1"/>
        <s v="400406MS01" u="1"/>
        <s v="600714MA01" u="1"/>
        <s v="320203ML01" u="1"/>
        <s v="520102FE03" u="1"/>
        <s v="580101FE02" u="1"/>
        <s v="440831MDAA" u="1"/>
        <s v="380801MMAA" u="1"/>
        <s v="350602MV01" u="1"/>
        <s v="360101MM02" u="1"/>
        <s v="680720FQ01" u="1"/>
        <s v="300903FA01" u="1"/>
        <s v="350629FO01" u="1"/>
        <s v="420917MB04" u="1"/>
        <s v="380120MM03" u="1"/>
        <s v="420701MA22" u="1"/>
        <s v="801118ME02" u="1"/>
        <s v="360816MB01" u="1"/>
        <s v="520000FE08 " u="1"/>
        <s v="500927FA01" u="1"/>
        <s v="370924MM01" u="1"/>
        <s v="630516MG01" u="1"/>
        <s v="600321FGAA" u="1"/>
        <s v="280719ML04" u="1"/>
        <s v="520916MB04" u="1"/>
        <s v="460302MM04" u="1"/>
        <s v="480902MB03" u="1"/>
        <s v="741120ML01" u="1"/>
        <s v="520524FC01" u="1"/>
        <s v="600330FC01" u="1"/>
        <s v="480114MV03" u="1"/>
        <s v="500608ML04" u="1"/>
        <s v="380701MA30" u="1"/>
        <s v="581021MV04" u="1"/>
        <s v="480806MC02" u="1"/>
        <s v="560402MD01" u="1"/>
        <s v="420214FM01" u="1"/>
        <s v="290302MB04" u="1"/>
        <s v="390701MO02" u="1"/>
        <s v="510104MH03 " u="1"/>
        <s v="460807MS02" u="1"/>
        <s v="480906FS03" u="1"/>
        <s v="380715FD03" u="1"/>
        <s v="340308FN02" u="1"/>
        <s v="400401ML02" u="1"/>
        <s v="430117MC04" u="1"/>
        <s v="490701MH05" u="1"/>
        <s v="571126FR01" u="1"/>
        <s v="470804FG01" u="1"/>
        <s v="720916MR03" u="1"/>
        <s v="420309MV03" u="1"/>
        <s v="640928MB01" u="1"/>
        <s v="320526MD01" u="1"/>
        <s v="380323ME01" u="1"/>
        <s v="340829FS01" u="1"/>
        <s v="441116MV01" u="1"/>
        <s v="360522FD01" u="1"/>
        <s v="441103ML01 " u="1"/>
        <s v="510207MC05" u="1"/>
        <s v="631229MB02" u="1"/>
        <s v="350924MF01" u="1"/>
        <s v="410811MF01" u="1"/>
        <s v="510218FJ01" u="1"/>
        <s v="870331FLAA" u="1"/>
        <s v="460709MR01 " u="1"/>
        <s v="460615MD01" u="1"/>
        <s v="580701FB31" u="1"/>
        <s v="261031MV01" u="1"/>
        <s v="670325MB04" u="1"/>
        <s v="510000MK04" u="1"/>
        <s v="440718MT02" u="1"/>
        <s v="700128MN01" u="1"/>
        <s v="440704FD01" u="1"/>
        <s v="390727MP01" u="1"/>
        <s v="390701FB08" u="1"/>
        <s v="490109FL01" u="1"/>
        <s v="371010MS02" u="1"/>
        <s v="311003MS01" u="1"/>
        <s v="600609MM03" u="1"/>
        <s v="600113MN01" u="1"/>
        <s v="471031MD06" u="1"/>
        <s v="391127MD03" u="1"/>
        <s v="611126MC03" u="1"/>
        <s v="690426FB02" u="1"/>
        <s v="500101MRAA" u="1"/>
        <s v="651106MS01" u="1"/>
        <s v="351205MC01" u="1"/>
        <s v="630908MSAA" u="1"/>
        <s v="600530MD03" u="1"/>
        <s v="701017MW01" u="1"/>
        <s v="400629MM02" u="1"/>
        <s v="460518MN02" u="1"/>
        <s v="600619MM02" u="1"/>
        <s v="380408MO02" u="1"/>
        <s v="440926MS01" u="1"/>
        <s v="611015MWAA" u="1"/>
        <s v="350101MOAA" u="1"/>
        <s v="410606FMAA" u="1"/>
        <s v="241106MH01" u="1"/>
        <s v="470329MD05" u="1"/>
        <s v="470815MP01" u="1"/>
        <s v="571119ML01" u="1"/>
        <s v="450508FC03" u="1"/>
        <s v="350903FP02" u="1"/>
        <s v="300802MM06" u="1"/>
        <s v="381128MP01" u="1"/>
        <s v="480302MG02" u="1"/>
        <s v="380622FM01" u="1"/>
        <s v="430701MA27" u="1"/>
        <s v="610406MC04" u="1"/>
        <s v="590614MW01 " u="1"/>
        <s v="620817MR01 " u="1"/>
        <s v="670625MQ01" u="1"/>
        <s v="431114ML02" u="1"/>
        <s v="341103MDAA" u="1"/>
        <s v="631211MC02" u="1"/>
        <s v="700929MT03" u="1"/>
        <s v="520327FO01" u="1"/>
        <s v="550204MM06" u="1"/>
        <s v="510929MP01" u="1"/>
        <s v="590223MD03" u="1"/>
        <s v="660812MHAA" u="1"/>
        <s v="690108ME01" u="1"/>
        <s v="550309MPAB" u="1"/>
        <s v="540828MM02" u="1"/>
        <s v="660108MA01" u="1"/>
        <s v="420921MD03" u="1"/>
        <s v="980806FM01" u="1"/>
        <s v="661026FA01" u="1"/>
        <s v="340413FG01" u="1"/>
        <s v="590809MR02" u="1"/>
        <s v="510623MB04" u="1"/>
        <s v="350923MP01" u="1"/>
        <s v="530614MB02" u="1"/>
        <s v="490904MA01" u="1"/>
        <s v="571107MM01" u="1"/>
        <s v="591213MD01" u="1"/>
        <s v="390411MA01 " u="1"/>
        <s v="470628MVAA" u="1"/>
        <s v="690106MAAA" u="1"/>
        <s v="360101FC09" u="1"/>
        <s v="600812MT01" u="1"/>
        <s v="520804MS02 " u="1"/>
        <s v="650306MT02" u="1"/>
        <s v="390228FM01" u="1"/>
        <s v="630703FB02" u="1"/>
        <s v="600919MM02" u="1"/>
        <s v="380503FH03" u="1"/>
        <s v="440224FV01 " u="1"/>
        <s v="390428ML01" u="1"/>
        <s v="410129MM01" u="1"/>
        <s v="560402MSAA" u="1"/>
        <s v="410225ML01" u="1"/>
        <s v="430621MB02" u="1"/>
        <s v="430108FL02 " u="1"/>
        <s v="480804MV02" u="1"/>
        <s v="480816FV01" u="1"/>
        <s v="561002MJ03" u="1"/>
        <s v="580719FE01 " u="1"/>
        <s v="440514FW01" u="1"/>
        <s v="481024FJ02" u="1"/>
        <s v="381024FB01" u="1"/>
        <s v="470715MD07" u="1"/>
        <s v="500101MEAC" u="1"/>
        <s v="610302FD01" u="1"/>
        <s v="520923MM03" u="1"/>
        <s v="440724MF01" u="1"/>
        <s v="401017MB01" u="1"/>
        <s v="421016MB01" u="1"/>
        <s v="461104FB01" u="1"/>
        <s v="550829MR01" u="1"/>
        <s v="491128MF01" u="1"/>
        <s v="470217FV03" u="1"/>
        <s v="350623FD05" u="1"/>
        <s v="350613MC01" u="1"/>
        <s v="310613FS02" u="1"/>
        <s v="460901MV04" u="1"/>
        <s v="520923MM02" u="1"/>
        <s v="420630ML02 " u="1"/>
        <s v="600811MM01" u="1"/>
        <s v="500915FD03 " u="1"/>
        <s v="460329MCAA " u="1"/>
        <s v="330908MS04" u="1"/>
        <s v="490906FD06" u="1"/>
        <s v="560213FMAA" u="1"/>
        <s v="331222FC01 " u="1"/>
        <s v="360115MC04" u="1"/>
        <s v="340901MV03" u="1"/>
        <s v="380605MH01" u="1"/>
        <s v="460406MA01" u="1"/>
        <s v="541008FS01" u="1"/>
        <s v="790727MS02" u="1"/>
        <s v="520215MMAA" u="1"/>
        <s v="571130ME01" u="1"/>
        <s v="411218FD01 " u="1"/>
        <s v="490530MOAA" u="1"/>
        <s v="460725MG01" u="1"/>
        <s v="520330MH02" u="1"/>
        <s v="600111MB04" u="1"/>
        <s v="601129MB01" u="1"/>
        <s v="621118MR01" u="1"/>
        <s v="540819FW01" u="1"/>
        <s v="490906MD05" u="1"/>
        <s v="370809ML02" u="1"/>
        <s v="310807MS01" u="1"/>
        <s v="411207ML01 " u="1"/>
        <s v="710317MAAA" u="1"/>
        <s v="980703MG01" u="1"/>
        <s v="461108MS01" u="1"/>
        <s v="880830FF02" u="1"/>
        <s v="600328MEAA" u="1"/>
        <s v="570515MM03" u="1"/>
        <s v="511009MH03" u="1"/>
        <s v="471009MH01" u="1"/>
        <s v="550624FL02" u="1"/>
        <s v="430603MD01" u="1"/>
        <s v="540522MP02" u="1"/>
        <s v="421012MS03" u="1"/>
        <s v="601016FK01" u="1"/>
        <s v="410520MD02" u="1"/>
        <s v="430721MC01" u="1"/>
        <s v="591205FG01" u="1"/>
        <s v="540104MS02" u="1"/>
        <s v="710718ML02" u="1"/>
        <s v="570702MD01" u="1"/>
        <s v="330411MM01" u="1"/>
        <s v="511111MV01" u="1"/>
        <s v="800107MS02" u="1"/>
        <s v="530917MEAA " u="1"/>
        <s v="641101MD06" u="1"/>
        <s v="460616FB04" u="1"/>
        <s v="641201MC04" u="1"/>
        <s v="490215MO01" u="1"/>
        <s v="711008MP02" u="1"/>
        <s v="390425MD01 " u="1"/>
        <s v="370220MV01" u="1"/>
        <s v="330910MC02" u="1"/>
        <s v="430401FV03" u="1"/>
        <s v="470107MDAA" u="1"/>
        <s v="560908MH01" u="1"/>
        <s v="501204MD06" u="1"/>
        <s v="380527FJ01" u="1"/>
        <s v="560517FB01" u="1"/>
        <s v="501010MS02" u="1"/>
        <s v="631002MP03" u="1"/>
        <s v="480807MB05" u="1"/>
        <s v="410701MFAA " u="1"/>
        <s v="410404FRAA" u="1"/>
        <s v="401129FD01" u="1"/>
        <s v="381020FD01" u="1"/>
        <s v="570727MM02" u="1"/>
        <s v="570120MG01" u="1"/>
        <s v="460503FFAA" u="1"/>
        <s v="580424MR01" u="1"/>
        <s v="400613MA01" u="1"/>
        <s v="420124FD02" u="1"/>
        <s v="501012MD02" u="1"/>
        <s v="590221MG01" u="1"/>
        <s v="451126MH01" u="1"/>
        <s v="411011MP02" u="1"/>
        <s v="480331MC03" u="1"/>
        <s v="660224MS01" u="1"/>
        <s v="441116MM04" u="1"/>
        <s v="621208MB01 " u="1"/>
        <s v="301227FL02" u="1"/>
        <s v="390208MA01" u="1"/>
        <s v="811219FP02" u="1"/>
        <s v="590318FLAA" u="1"/>
        <s v="560307MD01" u="1"/>
        <s v="571005MMAA" u="1"/>
        <s v="600213MS01" u="1"/>
        <s v="470121FDAA" u="1"/>
        <s v="910201FCAA" u="1"/>
        <s v="630101FDAA" u="1"/>
        <s v="421120FD02" u="1"/>
        <s v="571017MB03" u="1"/>
        <s v="490214MV01 " u="1"/>
        <s v="300101MHAA" u="1"/>
        <s v="351110MP01" u="1"/>
        <s v="410120FV03 " u="1"/>
        <s v="660909MY01" u="1"/>
        <s v="580402MD04" u="1"/>
        <s v="501015MM02" u="1"/>
        <s v="430226MP01" u="1"/>
        <s v="370914ME01" u="1"/>
        <s v="490701MM10" u="1"/>
        <s v="441203MPAA" u="1"/>
        <s v="580424MD04" u="1"/>
        <s v="430315FDAA" u="1"/>
        <s v="380214FE01" u="1"/>
        <s v="430611FBAA" u="1"/>
        <s v="281214FM01" u="1"/>
        <s v="340413MWAA" u="1"/>
        <s v="530331MM02 " u="1"/>
        <s v="490603FP05" u="1"/>
        <s v="340728MC03" u="1"/>
        <s v="580426MD02" u="1"/>
        <s v="460324MD01" u="1"/>
        <s v="640513MC02" u="1"/>
        <s v="680503MS01" u="1"/>
        <s v="540420MC02" u="1"/>
        <s v="420822MA01" u="1"/>
        <s v="360516FL02" u="1"/>
        <s v="540322FD02" u="1"/>
        <s v="590701ME20" u="1"/>
        <s v="520621FD08" u="1"/>
        <s v="410101FA11" u="1"/>
        <s v="351006FC01" u="1"/>
        <s v="610716MRAA" u="1"/>
        <s v="440117MT02 " u="1"/>
        <s v="561209MF01" u="1"/>
        <s v="400511MC01" u="1"/>
        <s v="590819MG01" u="1"/>
        <s v="790517MH01" u="1"/>
        <s v="661202MAAA" u="1"/>
        <s v="610630FV02" u="1"/>
        <s v="680304MK01 " u="1"/>
        <s v="511112MMAA" u="1"/>
        <s v="641201ME01" u="1"/>
        <s v="470618MP01" u="1"/>
        <s v="560505MPAA" u="1"/>
        <s v="530101MC06" u="1"/>
        <s v="430425MV01 " u="1"/>
        <s v="490507FB04" u="1"/>
        <s v="341228FBAA" u="1"/>
        <s v="440205FBAA" u="1"/>
        <s v="650522MSAA" u="1"/>
        <s v="520613MD04" u="1"/>
        <s v="620301MM03" u="1"/>
        <s v="450111FD08" u="1"/>
        <s v="370922MT02 " u="1"/>
        <s v="530612MW01" u="1"/>
        <s v="630808MKAA" u="1"/>
        <s v="570420MDAA" u="1"/>
        <s v="610305MMAA" u="1"/>
        <s v="690223MB02" u="1"/>
        <s v="530203MB01" u="1"/>
        <s v="411106FK01" u="1"/>
        <s v="510402FA01" u="1"/>
        <s v="360628MM03" u="1"/>
        <s v="320329MV02" u="1"/>
        <s v="450804MSAA" u="1"/>
        <s v="460122MV01" u="1"/>
        <s v="460515FM01" u="1"/>
        <s v="400401FE01" u="1"/>
        <s v="390122MD06" u="1"/>
        <s v="890517MA01" u="1"/>
        <s v="370818MH01" u="1"/>
        <s v="540118FSAA" u="1"/>
        <s v="451014FL03" u="1"/>
        <s v="550626MLAA" u="1"/>
        <s v="420824MD05" u="1"/>
        <s v="600511MT02" u="1"/>
        <s v="720123MBAA" u="1"/>
        <s v="351026MD02" u="1"/>
        <s v="670811MG01" u="1"/>
        <s v="360615FAAA" u="1"/>
        <s v="390116FD01" u="1"/>
        <s v="720315MF02" u="1"/>
        <s v="430219FWAA" u="1"/>
        <s v="401029FDAA" u="1"/>
        <s v="351106MD01" u="1"/>
        <s v="330215FS01" u="1"/>
        <s v="500606MV06" u="1"/>
        <s v="380129MP01" u="1"/>
        <s v="440329MG02" u="1"/>
        <s v="440616MM01" u="1"/>
        <s v="330226FGAA" u="1"/>
        <s v="561201MG02" u="1"/>
        <s v="530211MS04" u="1"/>
        <s v="710418MB01" u="1"/>
        <s v="630324MP02 " u="1"/>
        <s v="541005MLAA" u="1"/>
        <s v="311027ML01" u="1"/>
        <s v="490825MLAA" u="1"/>
        <s v="430323MFAA" u="1"/>
        <s v="430425FDAA " u="1"/>
        <s v="400609FF01" u="1"/>
      </sharedItems>
    </cacheField>
    <cacheField name="D/naissance" numFmtId="164">
      <sharedItems containsNonDate="0" containsString="0" containsBlank="1"/>
    </cacheField>
    <cacheField name="Age" numFmtId="0">
      <sharedItems containsString="0" containsBlank="1" containsNumber="1" containsInteger="1" minValue="0" maxValue="0"/>
    </cacheField>
    <cacheField name="Cardiogéria" numFmtId="0">
      <sharedItems containsBlank="1"/>
    </cacheField>
    <cacheField name="Référant" numFmtId="0">
      <sharedItems containsNonDate="0" containsBlank="1" count="99">
        <m/>
        <s v="CASADO" u="1"/>
        <s v="GASSAVELIS" u="1"/>
        <s v="VANDERAUWERA" u="1"/>
        <s v="NEURO" u="1"/>
        <s v="BAROUD" u="1"/>
        <s v="CREPLET" u="1"/>
        <s v="MED INT" u="1"/>
        <s v="FERREIRA" u="1"/>
        <s v="CHAPELLE" u="1"/>
        <s v="BAR" u="1"/>
        <s v="PIRSON" u="1"/>
        <s v="DEDOBBELEER" u="1"/>
        <s v="PLEIN" u="1"/>
        <s v="WEBER" u="1"/>
        <s v="MIRICA" u="1"/>
        <s v="VAD" u="1"/>
        <s v="DEREPPE" u="1"/>
        <s v="KERSTEN" u="1"/>
        <s v="KEFER" u="1"/>
        <s v="KHALDI" u="1"/>
        <s v="GASSEVALIS" u="1"/>
        <s v="ADAM" u="1"/>
        <s v="EWALENKO" u="1"/>
        <s v="MISSOUNI" u="1"/>
        <s v="DEPAEPE" u="1"/>
        <s v="PONSART" u="1"/>
        <s v="DAYEH" u="1"/>
        <s v="MAHIEU" u="1"/>
        <s v="URGENCES" u="1"/>
        <s v="DETHY" u="1"/>
        <s v="NAJEM" u="1"/>
        <s v="DE WILDE" u="1"/>
        <s v="???" u="1"/>
        <s v="USI" u="1"/>
        <s v="PATIENT" u="1"/>
        <s v="EL MOURAD" u="1"/>
        <s v="VANDENBERGH" u="1"/>
        <s v="CONTU" u="1"/>
        <s v="VISEUR" u="1"/>
        <s v="KHOUZAM" u="1"/>
        <s v="KHODADADI" u="1"/>
        <s v="ROUSSOULIERES" u="1"/>
        <s v="CARLIER" u="1"/>
        <s v="MT" u="1"/>
        <s v="SARTIEAUX" u="1"/>
        <s v="GHUYS" u="1"/>
        <s v="SHITA" u="1"/>
        <s v="BONDUE" u="1"/>
        <s v="MEDECINE INTERNE" u="1"/>
        <s v="KOUZHAM" u="1"/>
        <s v="LENAERS" u="1"/>
        <s v="ABDESSATER" u="1"/>
        <s v="KNOOP" u="1"/>
        <s v="RISOS" u="1"/>
        <s v="PREUMONT" u="1"/>
        <s v="LOMMEL" u="1"/>
        <s v="PULBERE" u="1"/>
        <s v="LEMOGOUM" u="1"/>
        <s v="GERIATRIE" u="1"/>
        <s v="HAGE" u="1"/>
        <s v="ZENAGUI" u="1"/>
        <s v="BLANKOFF" u="1"/>
        <s v="VAN DE BORNE" u="1"/>
        <s v="GASTRO" u="1"/>
        <s v="RENARD" u="1"/>
        <s v="DEGAUTE" u="1"/>
        <s v="GREGOIRE" u="1"/>
        <s v="VANDERGOTEN" u="1"/>
        <s v="ABRAMOWICZ" u="1"/>
        <s v="ONGA" u="1"/>
        <s v="RIVIERE" u="1"/>
        <s v="BERKENBOOM" u="1"/>
        <s v="PARENT" u="1"/>
        <s v="VAN NOOTEN" u="1"/>
        <s v="VELEZ" u="1"/>
        <s v="MERVEILLE" u="1"/>
        <s v="LIPSKI" u="1"/>
        <s v="KANKWENDA" u="1"/>
        <s v="VACHIERY" u="1"/>
        <s v="BRAD" u="1"/>
        <s v="MARCHAND" u="1"/>
        <s v="JAMART" u="1"/>
        <s v="MANTIA" u="1"/>
        <s v="ROGOWSKY" u="1"/>
        <s v="DROOGMANS" u="1"/>
        <s v="UC" u="1"/>
        <s v="DESCAMPS" u="1"/>
        <s v="CATEZ" u="1"/>
        <s v="HEDESHI" u="1"/>
        <s v="CARDIO" u="1"/>
        <s v="CAILLEAU" u="1"/>
        <s v="MARCHAND " u="1"/>
        <s v="SCHOLLIERS" u="1"/>
        <s v="GERAIN" u="1"/>
        <s v="PAUCAR" u="1"/>
        <s v="DELATTE" u="1"/>
        <s v="MENASSEL" u="1"/>
        <s v="DE WACHTER" u="1"/>
      </sharedItems>
    </cacheField>
    <cacheField name="Lieu activité" numFmtId="0">
      <sharedItems containsNonDate="0" containsBlank="1" count="63">
        <m/>
        <s v="ERASME NEURO" u="1"/>
        <s v="ERASME CARDIO" u="1"/>
        <s v="ST-PIERRE" u="1"/>
        <s v="GASSAVELIS" u="1"/>
        <s v="????" u="1"/>
        <s v="CREPLET" u="1"/>
        <s v="ST-MICHEL" u="1"/>
        <s v="CHIREC PARC LEOPOLD" u="1"/>
        <s v="CHAPELLE" u="1"/>
        <s v="CT" u="1"/>
        <s v="ERASME VAD" u="1"/>
        <s v="BHC OTTIGNIES" u="1"/>
        <s v="ERASME USI" u="1"/>
        <s v="EPICURA ATH" u="1"/>
        <s v="DEPAEPE" u="1"/>
        <s v="ERASME URGENCES" u="1"/>
        <s v="CHWAPI TOURNAI" u="1"/>
        <s v="NAJEM" u="1"/>
        <s v="CHIREC EDITH CAVELL" u="1"/>
        <s v="???" u="1"/>
        <s v="PATIENT" u="1"/>
        <s v="VISEUR" u="1"/>
        <s v="KHOUZAM" u="1"/>
        <s v="EPICURA HORNU" u="1"/>
        <s v="CHIREC BASILIQUE" u="1"/>
        <s v="MT" u="1"/>
        <s v="SARTIEAUX" u="1"/>
        <s v="ST-LUC" u="1"/>
        <s v="CHR Citadelle" u="1"/>
        <s v="ERASME MED INT" u="1"/>
        <s v="CHU Liège" u="1"/>
        <s v="ABDESSATER" u="1"/>
        <s v="VALIDA" u="1"/>
        <s v="CHIREC PARC" u="1"/>
        <s v="LIEGE" u="1"/>
        <s v="CHIREC EDITH" u="1"/>
        <s v="UZ JETTE" u="1"/>
        <s v="CHR HUY" u="1"/>
        <s v="AMBROISE PARE" u="1"/>
        <s v="CHU CHARLEROI" u="1"/>
        <s v="ERASME ETRANGER" u="1"/>
        <s v="HAGE" u="1"/>
        <s v="ERASME GASTRO" u="1"/>
        <s v="ZENAGUI" u="1"/>
        <s v="GREGOIRE" u="1"/>
        <s v="ERASME MI" u="1"/>
        <s v="ERASME PNEUMO" u="1"/>
        <s v="NIVELLES" u="1"/>
        <s v="CHIREC BRAINE" u="1"/>
        <s v="POLY ENGHIEN" u="1"/>
        <s v="ERASME GERIATRIE" u="1"/>
        <s v="ERASME CHIR CAR" u="1"/>
        <s v="BRACOPS" u="1"/>
        <s v="CHIREC STE ANNE" u="1"/>
        <s v="BRAD" u="1"/>
        <s v="ERASME VASCULAIRE" u="1"/>
        <s v="JAMART" u="1"/>
        <s v="EPICURA BAUDOUR" u="1"/>
        <s v="LOTHIER" u="1"/>
        <s v="CHR HAUTE SENNE" u="1"/>
        <s v="CAILLEAU" u="1"/>
        <s v="MENASSEL" u="1"/>
      </sharedItems>
      <fieldGroup par="72"/>
    </cacheField>
    <cacheField name="Lieu activité2" numFmtId="0">
      <sharedItems containsNonDate="0" containsString="0" containsBlank="1"/>
    </cacheField>
    <cacheField name="Chirurgien" numFmtId="0">
      <sharedItems containsNonDate="0" containsBlank="1" count="6">
        <m/>
        <s v="GVN" u="1"/>
        <s v="MLC" u="1"/>
        <s v="FV" u="1"/>
        <s v="MA" u="1"/>
        <s v="BE" u="1"/>
      </sharedItems>
    </cacheField>
    <cacheField name="Sexe" numFmtId="0">
      <sharedItems containsNonDate="0" containsString="0" containsBlank="1"/>
    </cacheField>
    <cacheField name="D/opératoire" numFmtId="164">
      <sharedItems containsNonDate="0" containsDate="1" containsString="0" containsBlank="1" minDate="1905-01-01T00:00:00" maxDate="1905-01-01T00:00:00" count="1">
        <m/>
      </sharedItems>
      <fieldGroup par="73" base="11">
        <rangePr groupBy="months" startDate="1905-01-01T00:00:00" endDate="1905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1905"/>
        </groupItems>
      </fieldGroup>
    </cacheField>
    <cacheField name="Disc HT" numFmtId="0">
      <sharedItems containsNonDate="0" containsString="0" containsBlank="1"/>
    </cacheField>
    <cacheField name="Intervention" numFmtId="0">
      <sharedItems containsBlank="1"/>
    </cacheField>
    <cacheField name="Intervention-activité" numFmtId="0">
      <sharedItems containsBlank="1" count="17">
        <m/>
        <s v="1 V"/>
        <s v="1 Pl"/>
        <s v="Aorte" u="1"/>
        <s v="CABG" u="1"/>
        <s v="LVAD" u="1"/>
        <s v="CABG + 2V" u="1"/>
        <s v="CABG + 2 V" u="1"/>
        <s v="TX" u="1"/>
        <s v="Autre" u="1"/>
        <s v="CABG + 1V" u="1"/>
        <s v="CABG + 1 V" u="1"/>
        <s v="RVAO" u="1"/>
        <s v="2 V ou plus" u="1"/>
        <s v="AVR" u="1"/>
        <s v="RVAD" u="1"/>
        <s v="HTX" u="1"/>
      </sharedItems>
    </cacheField>
    <cacheField name="Intervention-activité par type" numFmtId="0">
      <sharedItems containsBlank="1"/>
    </cacheField>
    <cacheField name="intervention-valves" numFmtId="0">
      <sharedItems containsBlank="1"/>
    </cacheField>
    <cacheField name="valves - activité" numFmtId="0">
      <sharedItems containsBlank="1" containsMixedTypes="1" containsNumber="1" containsInteger="1" minValue="0" maxValue="0" count="3">
        <s v=" "/>
        <m/>
        <n v="0" u="1"/>
      </sharedItems>
    </cacheField>
    <cacheField name="Lés. cor." numFmtId="0">
      <sharedItems containsNonDate="0" containsString="0" containsBlank="1"/>
    </cacheField>
    <cacheField name="Type RC" numFmtId="0">
      <sharedItems containsNonDate="0" containsString="0" containsBlank="1"/>
    </cacheField>
    <cacheField name="Marque V" numFmtId="0">
      <sharedItems containsNonDate="0" containsString="0" containsBlank="1"/>
    </cacheField>
    <cacheField name="Type V" numFmtId="0">
      <sharedItems containsNonDate="0" containsString="0" containsBlank="1"/>
    </cacheField>
    <cacheField name="Taille V" numFmtId="0">
      <sharedItems containsNonDate="0" containsString="0" containsBlank="1"/>
    </cacheField>
    <cacheField name="Date révision" numFmtId="164">
      <sharedItems containsNonDate="0" containsString="0" containsBlank="1"/>
    </cacheField>
    <cacheField name="Révision &lt; 24h" numFmtId="0">
      <sharedItems containsString="0" containsBlank="1" containsNumber="1" containsInteger="1" minValue="1" maxValue="1"/>
    </cacheField>
    <cacheField name="Révision &gt;24h" numFmtId="0">
      <sharedItems containsNonDate="0" containsString="0" containsBlank="1"/>
    </cacheField>
    <cacheField name="Redo" numFmtId="0">
      <sharedItems containsNonDate="0" containsString="0" containsBlank="1"/>
    </cacheField>
    <cacheField name="AVC" numFmtId="0">
      <sharedItems containsNonDate="0" containsString="0" containsBlank="1"/>
    </cacheField>
    <cacheField name="IM" numFmtId="0">
      <sharedItems containsNonDate="0" containsString="0" containsBlank="1"/>
    </cacheField>
    <cacheField name="Inf p.op" numFmtId="0">
      <sharedItems containsNonDate="0" containsString="0" containsBlank="1"/>
    </cacheField>
    <cacheField name="Transfu &lt;24 h" numFmtId="0">
      <sharedItems containsNonDate="0" containsString="0" containsBlank="1"/>
    </cacheField>
    <cacheField name="T &lt;24 - nb trans" numFmtId="0">
      <sharedItems containsString="0" containsBlank="1" containsNumber="1" containsInteger="1" minValue="8" maxValue="15"/>
    </cacheField>
    <cacheField name="Transfu &gt;24 h" numFmtId="0">
      <sharedItems containsNonDate="0" containsString="0" containsBlank="1"/>
    </cacheField>
    <cacheField name="T &gt;24 h - nb trans" numFmtId="0">
      <sharedItems containsString="0" containsBlank="1" containsNumber="1" containsInteger="1" minValue="15" maxValue="15"/>
    </cacheField>
    <cacheField name="T total" numFmtId="0">
      <sharedItems containsString="0" containsBlank="1" containsNumber="1" containsInteger="1" minValue="0" maxValue="30"/>
    </cacheField>
    <cacheField name="Retour salle" numFmtId="0">
      <sharedItems containsNonDate="0" containsString="0" containsBlank="1"/>
    </cacheField>
    <cacheField name="Nbr de j USI" numFmtId="0">
      <sharedItems containsBlank="1" containsMixedTypes="1" containsNumber="1" containsInteger="1" minValue="0" maxValue="0"/>
    </cacheField>
    <cacheField name="Date de sortie" numFmtId="164">
      <sharedItems containsNonDate="0" containsString="0" containsBlank="1"/>
    </cacheField>
    <cacheField name="Nbr de j hospi" numFmtId="0">
      <sharedItems containsString="0" containsBlank="1" containsNumber="1" containsInteger="1" minValue="0" maxValue="0"/>
    </cacheField>
    <cacheField name="Alive" numFmtId="0">
      <sharedItems containsNonDate="0" containsBlank="1" count="7">
        <m/>
        <s v="ALIVE" u="1"/>
        <s v="A" u="1"/>
        <s v="Y" u="1"/>
        <s v="D" u="1"/>
        <s v="DECEASED" u="1"/>
        <s v="N" u="1"/>
      </sharedItems>
    </cacheField>
    <cacheField name="DCD Délai d'intervention" numFmtId="0">
      <sharedItems containsNonDate="0" containsString="0" containsBlank="1"/>
    </cacheField>
    <cacheField name="Délai intervention" numFmtId="0">
      <sharedItems containsBlank="1"/>
    </cacheField>
    <cacheField name="Destination" numFmtId="0">
      <sharedItems containsNonDate="0" containsString="0" containsBlank="1"/>
    </cacheField>
    <cacheField name="Réhosp." numFmtId="0">
      <sharedItems containsNonDate="0" containsString="0" containsBlank="1"/>
    </cacheField>
    <cacheField name="Réhosp.&lt; 30 j" numFmtId="0">
      <sharedItems containsNonDate="0" containsString="0" containsBlank="1"/>
    </cacheField>
    <cacheField name="Cause réhospit" numFmtId="0">
      <sharedItems containsNonDate="0" containsDate="1" containsString="0" containsBlank="1" minDate="2016-06-24T00:00:00" maxDate="2016-07-07T00:00:00" count="5">
        <m/>
        <d v="2016-07-06T00:00:00" u="1"/>
        <d v="2016-06-28T00:00:00" u="1"/>
        <d v="2016-07-05T00:00:00" u="1"/>
        <d v="2016-06-24T00:00:00" u="1"/>
      </sharedItems>
    </cacheField>
    <cacheField name="Nom3" numFmtId="0">
      <sharedItems containsNonDate="0" containsString="0" containsBlank="1"/>
    </cacheField>
    <cacheField name="RDV postop" numFmtId="0">
      <sharedItems containsNonDate="0" containsString="0" containsBlank="1"/>
    </cacheField>
    <cacheField name="Postopt imm" numFmtId="0">
      <sharedItems containsNonDate="0" containsString="0" containsBlank="1"/>
    </cacheField>
    <cacheField name="Statut 1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postop loint" numFmtId="0">
      <sharedItems containsString="0" containsBlank="1" containsNumber="1" containsInteger="1" minValue="0" maxValue="0"/>
    </cacheField>
    <cacheField name="Statut 2" numFmtId="0">
      <sharedItems containsBlank="1"/>
    </cacheField>
    <cacheField name="Commentaires4" numFmtId="0">
      <sharedItems containsNonDate="0" containsString="0" containsBlank="1"/>
    </cacheField>
    <cacheField name="Inf p.op_RV" numFmtId="0">
      <sharedItems containsString="0" containsBlank="1" containsNumber="1" containsInteger="1" minValue="0" maxValue="0"/>
    </cacheField>
    <cacheField name="Transfu &lt;24 h_RV" numFmtId="0">
      <sharedItems containsString="0" containsBlank="1" containsNumber="1" containsInteger="1" minValue="0" maxValue="1"/>
    </cacheField>
    <cacheField name="Transfu &gt;24 h_RV" numFmtId="0">
      <sharedItems containsString="0" containsBlank="1" containsNumber="1" containsInteger="1" minValue="1" maxValue="1"/>
    </cacheField>
    <cacheField name="délai intervention5" numFmtId="0">
      <sharedItems containsBlank="1"/>
    </cacheField>
    <cacheField name="Inf p.op_RV6" numFmtId="0">
      <sharedItems containsBlank="1" count="3">
        <s v="Aucune"/>
        <m/>
        <s v="Infection" u="1"/>
      </sharedItems>
    </cacheField>
    <cacheField name="Transfu &lt;24 h_RV7" numFmtId="0">
      <sharedItems containsBlank="1" count="3">
        <s v="Transfusion"/>
        <s v="Aucune"/>
        <m/>
      </sharedItems>
    </cacheField>
    <cacheField name="Transfu &gt;24 h_RV8" numFmtId="0">
      <sharedItems containsBlank="1" count="3">
        <s v="Aucune"/>
        <m/>
        <s v="Transfusé" u="1"/>
      </sharedItems>
    </cacheField>
    <cacheField name="Révision &lt; 24h_RV" numFmtId="0">
      <sharedItems containsBlank="1" count="3">
        <s v="NON"/>
        <m/>
        <s v="OUI" u="1"/>
      </sharedItems>
    </cacheField>
    <cacheField name="Réhosp.&lt; 30 j_RV" numFmtId="0">
      <sharedItems containsBlank="1" count="3">
        <s v="NON"/>
        <m/>
        <s v="OUI" u="1"/>
      </sharedItems>
    </cacheField>
    <cacheField name="Nbr de j hospi_RV" numFmtId="0">
      <sharedItems containsBlank="1" containsMixedTypes="1" containsNumber="1" containsInteger="1" minValue="1" maxValue="43059" count="81">
        <s v="Inconnu"/>
        <m/>
        <n v="42500" u="1"/>
        <n v="57" u="1"/>
        <n v="34" u="1"/>
        <n v="13" u="1"/>
        <n v="59" u="1"/>
        <n v="36" u="1"/>
        <n v="38" u="1"/>
        <n v="42802" u="1"/>
        <n v="5" u="1"/>
        <n v="14" u="1"/>
        <n v="40" u="1"/>
        <n v="42436" u="1"/>
        <n v="42" u="1"/>
        <n v="15" u="1"/>
        <n v="70" u="1"/>
        <n v="42982" u="1"/>
        <n v="2" u="1"/>
        <n v="6" u="1"/>
        <n v="16" u="1"/>
        <n v="48" u="1"/>
        <n v="42412" u="1"/>
        <n v="17" u="1"/>
        <n v="82" u="1"/>
        <n v="50" u="1"/>
        <n v="42472" u="1"/>
        <n v="18" u="1"/>
        <n v="19" u="1"/>
        <n v="42410" u="1"/>
        <n v="42836" u="1"/>
        <n v="42501" u="1"/>
        <n v="7" u="1"/>
        <n v="20" u="1"/>
        <n v="56" u="1"/>
        <n v="21" u="1"/>
        <n v="42408" u="1"/>
        <n v="35" u="1"/>
        <n v="22" u="1"/>
        <n v="42468" u="1"/>
        <n v="37" u="1"/>
        <n v="1" u="1"/>
        <n v="23" u="1"/>
        <n v="42437" u="1"/>
        <n v="42863" u="1"/>
        <n v="3" u="1"/>
        <n v="8" u="1"/>
        <n v="39" u="1"/>
        <n v="24" u="1"/>
        <n v="41" u="1"/>
        <n v="25" u="1"/>
        <n v="42983" u="1"/>
        <n v="68" u="1"/>
        <n v="42506" u="1"/>
        <n v="9" u="1"/>
        <n v="43" u="1"/>
        <n v="42384" u="1"/>
        <n v="26" u="1"/>
        <n v="45" u="1"/>
        <n v="42444" u="1"/>
        <n v="42870" u="1"/>
        <n v="27" u="1"/>
        <n v="10" u="1"/>
        <n v="47" u="1"/>
        <n v="28" u="1"/>
        <n v="42808" u="1"/>
        <n v="49" u="1"/>
        <n v="42777" u="1"/>
        <n v="29" u="1"/>
        <n v="11" u="1"/>
        <n v="30" u="1"/>
        <n v="140" u="1"/>
        <n v="42380" u="1"/>
        <n v="53" u="1"/>
        <n v="31" u="1"/>
        <n v="67" u="1"/>
        <n v="42562" u="1"/>
        <n v="43059" u="1"/>
        <n v="4" u="1"/>
        <n v="12" u="1"/>
        <n v="42480" u="1"/>
      </sharedItems>
    </cacheField>
    <cacheField name="Nbr de j hospi_Hors_RV" numFmtId="0">
      <sharedItems containsBlank="1"/>
    </cacheField>
    <cacheField name="Nbr de j hospi_LVAD-TX_RV" numFmtId="0">
      <sharedItems containsBlank="1"/>
    </cacheField>
    <cacheField name="Nbr de j USI_RV" numFmtId="0">
      <sharedItems containsBlank="1" containsMixedTypes="1" containsNumber="1" containsInteger="1" minValue="1" maxValue="42521" count="43">
        <s v="Inconnu"/>
        <m/>
        <n v="34" u="1"/>
        <n v="13" u="1"/>
        <n v="5" u="1"/>
        <n v="14" u="1"/>
        <n v="42405" u="1"/>
        <n v="42374" u="1"/>
        <n v="15" u="1"/>
        <n v="2" u="1"/>
        <n v="6" u="1"/>
        <n v="42494" u="1"/>
        <n v="16" u="1"/>
        <n v="17" u="1"/>
        <n v="50" u="1"/>
        <n v="19" u="1"/>
        <n v="7" u="1"/>
        <n v="42521" u="1"/>
        <n v="21" u="1"/>
        <n v="35" u="1"/>
        <n v="22" u="1"/>
        <n v="42377" u="1"/>
        <n v="1" u="1"/>
        <n v="23" u="1"/>
        <n v="3" u="1"/>
        <n v="8" u="1"/>
        <n v="39" u="1"/>
        <n v="24" u="1"/>
        <n v="42466" u="1"/>
        <n v="9" u="1"/>
        <n v="42404" u="1"/>
        <n v="27" u="1"/>
        <n v="10" u="1"/>
        <n v="28" u="1"/>
        <n v="42473" u="1"/>
        <n v="42493" u="1"/>
        <n v="29" u="1"/>
        <n v="42462" u="1"/>
        <n v="11" u="1"/>
        <n v="42431" u="1"/>
        <n v="4" u="1"/>
        <n v="12" u="1"/>
        <n v="32" u="1"/>
      </sharedItems>
    </cacheField>
    <cacheField name="Nbr de j USI_Hors_RV" numFmtId="0">
      <sharedItems containsBlank="1"/>
    </cacheField>
    <cacheField name="Nbr de j USI_LVAD-TX_RV" numFmtId="0">
      <sharedItems containsBlank="1"/>
    </cacheField>
    <cacheField name="Transfu_RV" numFmtId="0">
      <sharedItems containsBlank="1" count="4">
        <s v="Transfusé"/>
        <s v="Aucune"/>
        <m/>
        <e v="#REF!" u="1"/>
      </sharedItems>
    </cacheField>
    <cacheField name="Transfu_Total_RV" numFmtId="0">
      <sharedItems containsBlank="1" containsMixedTypes="1" containsNumber="1" containsInteger="1" minValue="0" maxValue="30"/>
    </cacheField>
    <cacheField name="Lieu activité_Groupe" numFmtId="0">
      <sharedItems containsBlank="1" count="21">
        <e v="#N/A"/>
        <m/>
        <s v="CHIREC" u="1"/>
        <s v="ST-MICHEL" u="1"/>
        <s v="CT" u="1"/>
        <s v="BHC OTTIGNIES" u="1"/>
        <s v="CHWAPI TOURNAI" u="1"/>
        <s v="PATIENT" u="1"/>
        <s v="MT" u="1"/>
        <s v="EPICURA" u="1"/>
        <s v="ST-LUC" u="1"/>
        <s v="VALIDA" u="1"/>
        <s v="UZ JETTE" u="1"/>
        <s v="AMBROISE PARE" u="1"/>
        <s v="CHU CHARLEROI" u="1"/>
        <s v="ERASME" u="1"/>
        <s v="ST PIERRE" u="1"/>
        <s v="NIVELLES" u="1"/>
        <s v="POLY ENGHIEN" u="1"/>
        <s v="BRACOPS" u="1"/>
        <s v="CHR HAUTE SENNE" u="1"/>
      </sharedItems>
    </cacheField>
    <cacheField name="Lieu activité2_2" numFmtId="0" databaseField="0">
      <fieldGroup base="7">
        <discretePr count="63">
          <x v="8"/>
          <x v="15"/>
          <x v="11"/>
          <x v="26"/>
          <x v="35"/>
          <x v="17"/>
          <x v="42"/>
          <x v="46"/>
          <x v="9"/>
          <x v="49"/>
          <x v="0"/>
          <x v="29"/>
          <x v="2"/>
          <x v="11"/>
          <x v="10"/>
          <x v="39"/>
          <x v="11"/>
          <x v="4"/>
          <x v="43"/>
          <x v="9"/>
          <x v="28"/>
          <x v="5"/>
          <x v="45"/>
          <x v="37"/>
          <x v="10"/>
          <x v="9"/>
          <x v="6"/>
          <x v="51"/>
          <x v="31"/>
          <x v="14"/>
          <x v="27"/>
          <x v="13"/>
          <x v="40"/>
          <x v="32"/>
          <x v="25"/>
          <x v="19"/>
          <x v="24"/>
          <x v="33"/>
          <x v="12"/>
          <x v="22"/>
          <x v="23"/>
          <x v="11"/>
          <x v="48"/>
          <x v="21"/>
          <x v="34"/>
          <x v="41"/>
          <x v="11"/>
          <x v="11"/>
          <x v="7"/>
          <x v="9"/>
          <x v="50"/>
          <x v="30"/>
          <x v="11"/>
          <x v="3"/>
          <x v="20"/>
          <x v="36"/>
          <x v="11"/>
          <x v="44"/>
          <x v="18"/>
          <x v="16"/>
          <x v="1"/>
          <x v="47"/>
          <x v="38"/>
        </discretePr>
        <groupItems count="52">
          <s v="CT"/>
          <s v="CHR HAUTE SENNE"/>
          <s v="BHC OTTIGNIES"/>
          <s v="BRACOPS"/>
          <s v="CHWAPI TOURNAI"/>
          <s v="PATIENT"/>
          <s v="MT"/>
          <s v="NIVELLES"/>
          <m/>
          <s v="Group1"/>
          <s v="Group2"/>
          <s v="Group3"/>
          <s v="CHR HUY"/>
          <s v="CHU Liège"/>
          <s v="CHR Citadelle"/>
          <s v="ERASME NEURO"/>
          <s v="LOTHIER"/>
          <s v="????"/>
          <s v="EPICURA BAUDOUR"/>
          <s v="LIEGE"/>
          <s v="CHIREC STE ANNE"/>
          <s v="ERASME GASTRO"/>
          <s v="AMBROISE PARE"/>
          <s v="CHU CHARLEROI"/>
          <s v="CHIREC EDITH"/>
          <s v="CHIREC PARC"/>
          <s v="ST-PIERRE"/>
          <s v="ERASME MED INT"/>
          <s v="???"/>
          <s v="ERASME VAD"/>
          <s v="ERASME GERIATRIE"/>
          <s v="ST-LUC"/>
          <s v="VALIDA"/>
          <s v="UZ JETTE"/>
          <s v="ZENAGUI"/>
          <s v="GASSAVELIS"/>
          <s v="BRAD"/>
          <s v="KHOUZAM"/>
          <s v="MENASSEL"/>
          <s v="DEPAEPE"/>
          <s v="ABDESSATER"/>
          <s v="GREGOIRE"/>
          <s v="CREPLET"/>
          <s v="NAJEM"/>
          <s v="JAMART"/>
          <s v="VISEUR"/>
          <s v="ST-MICHEL"/>
          <s v="CAILLEAU"/>
          <s v="HAGE"/>
          <s v="CHAPELLE"/>
          <s v="POLY ENGHIEN"/>
          <s v="SARTIEAUX"/>
        </groupItems>
      </fieldGroup>
    </cacheField>
    <cacheField name="Years" numFmtId="0" databaseField="0">
      <fieldGroup base="11">
        <rangePr groupBy="years" startDate="1905-01-01T00:00:00" endDate="1905-01-01T00:00:00"/>
        <groupItems count="3">
          <s v="&lt;01/01/1905"/>
          <s v="1905"/>
          <s v="&gt;01/01/1905"/>
        </groupItems>
      </fieldGroup>
    </cacheField>
    <cacheField name="Nb Tranfu par tranfusé &gt;24h" numFmtId="0" formula="'T &gt;24 h - nb trans'/'Transfu &gt;24 h_RV'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9">
  <r>
    <x v="0"/>
    <s v="PLATEAUX "/>
    <s v="490603FP05"/>
    <d v="1949-06-03T00:00:00"/>
    <n v="67.630136986301366"/>
    <s v=" "/>
    <s v="ZENAGUI"/>
    <s v="ZENAGUI"/>
    <s v="CT"/>
    <s v="FV"/>
    <s v="F"/>
    <d v="2017-01-02T00:00:00"/>
    <d v="2016-11-29T00:00:00"/>
    <s v="AVR + MVR"/>
    <x v="0"/>
    <x v="0"/>
    <n v="0"/>
    <s v="2 V ou plus"/>
    <m/>
    <m/>
    <s v="Perceval/CE"/>
    <s v="B/B"/>
    <s v="19/25"/>
    <m/>
    <m/>
    <m/>
    <m/>
    <m/>
    <m/>
    <n v="1"/>
    <s v="5R/2Plaq/4Plas"/>
    <n v="11"/>
    <s v="4R"/>
    <n v="4"/>
    <n v="15"/>
    <d v="2017-01-19T00:00:00"/>
    <n v="17"/>
    <d v="2017-02-13T00:00:00"/>
    <n v="42"/>
    <x v="0"/>
    <n v="1"/>
    <s v="ELECTIVE"/>
    <s v="R"/>
    <m/>
    <m/>
    <m/>
    <s v="PLATEAUX "/>
    <d v="2017-03-21T00:00:00"/>
    <d v="2017-02-20T00:00:00"/>
    <s v="Y"/>
    <s v="lumbago en revali"/>
    <d v="2017-05-15T00:00:00"/>
    <s v="Y"/>
    <m/>
    <n v="1"/>
    <n v="1"/>
    <n v="1"/>
    <x v="0"/>
    <s v="Infection"/>
    <s v="Transfusion"/>
    <s v="Transfusé"/>
    <s v="NON"/>
    <s v="NON"/>
    <n v="42"/>
    <n v="42"/>
    <s v="Inconnu"/>
    <n v="17"/>
    <n v="17"/>
    <s v="Inconnu"/>
    <s v="Transfusé"/>
    <n v="15"/>
    <s v="CT"/>
    <s v="Aucun"/>
    <s v="Aucun"/>
    <s v="OUI"/>
  </r>
  <r>
    <x v="0"/>
    <s v="DECHAMPS"/>
    <s v="450111FD08"/>
    <d v="1945-01-11T00:00:00"/>
    <n v="72.027397260273972"/>
    <s v=" "/>
    <s v="GASSAVELIS"/>
    <s v="GASSAVELIS"/>
    <s v="CT"/>
    <s v="BE"/>
    <s v="F"/>
    <d v="2017-01-03T00:00:00"/>
    <d v="2016-12-13T00:00:00"/>
    <s v="CABG"/>
    <x v="1"/>
    <x v="1"/>
    <n v="0"/>
    <n v="0"/>
    <n v="1"/>
    <s v="OPCAB"/>
    <m/>
    <m/>
    <m/>
    <m/>
    <m/>
    <m/>
    <m/>
    <m/>
    <m/>
    <m/>
    <m/>
    <m/>
    <m/>
    <m/>
    <n v="0"/>
    <d v="2017-01-04T00:00:00"/>
    <n v="1"/>
    <d v="2017-01-09T00:00:00"/>
    <n v="6"/>
    <x v="0"/>
    <n v="1"/>
    <s v="ELECTIVE"/>
    <s v="D"/>
    <m/>
    <m/>
    <m/>
    <s v="DECHAMPS"/>
    <d v="2017-02-02T00:00:00"/>
    <d v="2017-01-18T00:00:00"/>
    <s v="Y"/>
    <m/>
    <d v="2017-05-10T00:00:00"/>
    <s v="Y"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T"/>
    <s v="Aucun"/>
    <s v="Aucun"/>
    <s v="OUI"/>
  </r>
  <r>
    <x v="0"/>
    <s v="NYS"/>
    <s v="340308FN02"/>
    <d v="1934-03-08T00:00:00"/>
    <n v="82.884931506849313"/>
    <s v="1"/>
    <s v="MENASSEL"/>
    <s v="CHIREC BRAINE"/>
    <s v="CHIREC BRAINE"/>
    <s v="FV"/>
    <s v="F"/>
    <d v="2017-01-04T00:00:00"/>
    <d v="2017-01-03T00:00:00"/>
    <s v="AVR + Myomectomie "/>
    <x v="2"/>
    <x v="2"/>
    <s v="AVR"/>
    <s v="AVR"/>
    <m/>
    <m/>
    <s v="CE"/>
    <s v="B "/>
    <n v="21"/>
    <m/>
    <m/>
    <m/>
    <m/>
    <m/>
    <m/>
    <m/>
    <s v="1R"/>
    <n v="1"/>
    <m/>
    <m/>
    <n v="1"/>
    <d v="2017-01-05T00:00:00"/>
    <n v="1"/>
    <d v="2017-01-11T00:00:00"/>
    <n v="7"/>
    <x v="0"/>
    <n v="1"/>
    <s v="ELECTIVE"/>
    <s v="D"/>
    <m/>
    <m/>
    <m/>
    <s v="NYS"/>
    <d v="2017-03-07T00:00:00"/>
    <d v="2017-01-18T00:00:00"/>
    <s v="Y"/>
    <m/>
    <d v="2017-05-08T00:00:00"/>
    <s v="Y"/>
    <s v="Message"/>
    <n v="0"/>
    <n v="1"/>
    <n v="1"/>
    <x v="0"/>
    <s v="Aucune"/>
    <s v="Transfusion"/>
    <s v="Aucune"/>
    <s v="NON"/>
    <s v="NON"/>
    <n v="7"/>
    <n v="7"/>
    <s v="Inconnu"/>
    <n v="1"/>
    <n v="1"/>
    <s v="Inconnu"/>
    <s v="Transfusé"/>
    <n v="1"/>
    <s v="CHIREC"/>
    <s v="Aucun"/>
    <s v="Aucun"/>
    <s v="OUI"/>
  </r>
  <r>
    <x v="0"/>
    <s v="CHARLIER"/>
    <s v="641210MC01"/>
    <d v="1964-12-10T00:00:00"/>
    <n v="52.104109589041094"/>
    <s v=" "/>
    <s v="BRAD"/>
    <s v="BRAD"/>
    <s v="CT"/>
    <s v="BE"/>
    <s v="M"/>
    <d v="2017-01-04T00:00:00"/>
    <m/>
    <s v="CABG"/>
    <x v="1"/>
    <x v="1"/>
    <n v="0"/>
    <n v="0"/>
    <n v="1"/>
    <s v="OPCAB"/>
    <m/>
    <m/>
    <m/>
    <m/>
    <m/>
    <m/>
    <m/>
    <m/>
    <m/>
    <m/>
    <m/>
    <m/>
    <m/>
    <m/>
    <n v="0"/>
    <d v="2017-01-07T00:00:00"/>
    <n v="3"/>
    <d v="2017-01-11T00:00:00"/>
    <n v="7"/>
    <x v="0"/>
    <n v="3"/>
    <s v="EMERGENCY"/>
    <s v="D"/>
    <m/>
    <m/>
    <m/>
    <s v="CHARLIER"/>
    <d v="2017-02-02T00:00:00"/>
    <d v="2017-01-18T00:00:00"/>
    <s v="Y"/>
    <m/>
    <d v="2017-05-10T00:00:00"/>
    <s v="Y"/>
    <s v="Message"/>
    <n v="0"/>
    <n v="0"/>
    <n v="1"/>
    <x v="1"/>
    <s v="Aucune"/>
    <s v="Aucune"/>
    <s v="Aucune"/>
    <s v="NON"/>
    <s v="NON"/>
    <n v="7"/>
    <n v="7"/>
    <s v="Inconnu"/>
    <n v="3"/>
    <n v="3"/>
    <s v="Inconnu"/>
    <s v="Aucune"/>
    <n v="0"/>
    <s v="CT"/>
    <s v="Aucun"/>
    <s v="Aucun"/>
    <s v="NON"/>
  </r>
  <r>
    <x v="0"/>
    <s v="ATHANASOPOULOS"/>
    <s v="500927FA01"/>
    <d v="1950-09-27T00:00:00"/>
    <n v="66.320547945205476"/>
    <s v=" "/>
    <s v="DE WILDE"/>
    <s v="ERASME VASCULAIRE"/>
    <s v="ERASME VASCULAIRE"/>
    <s v="FV"/>
    <s v="F"/>
    <d v="2017-01-05T00:00:00"/>
    <d v="2016-12-27T00:00:00"/>
    <s v="AVR + Debranching"/>
    <x v="2"/>
    <x v="2"/>
    <s v="AVR"/>
    <s v="AVR"/>
    <m/>
    <m/>
    <s v="CE"/>
    <s v="B"/>
    <n v="23"/>
    <m/>
    <m/>
    <m/>
    <m/>
    <m/>
    <m/>
    <m/>
    <s v="1R"/>
    <n v="1"/>
    <m/>
    <m/>
    <n v="1"/>
    <d v="2017-01-06T00:00:00"/>
    <n v="1"/>
    <d v="2017-01-13T00:00:00"/>
    <n v="8"/>
    <x v="0"/>
    <n v="1"/>
    <s v="ELECTIVE"/>
    <s v="D"/>
    <m/>
    <m/>
    <m/>
    <s v="ATHANASOPOULOS"/>
    <d v="2017-03-07T00:00:00"/>
    <d v="2017-02-03T00:00:00"/>
    <s v="Y"/>
    <m/>
    <d v="2017-04-18T00:00:00"/>
    <s v="Y"/>
    <m/>
    <n v="0"/>
    <n v="1"/>
    <n v="1"/>
    <x v="0"/>
    <s v="Aucune"/>
    <s v="Transfusion"/>
    <s v="Aucune"/>
    <s v="NON"/>
    <s v="NON"/>
    <n v="8"/>
    <n v="8"/>
    <s v="Inconnu"/>
    <n v="1"/>
    <n v="1"/>
    <s v="Inconnu"/>
    <s v="Transfusé"/>
    <n v="1"/>
    <s v="ERASME"/>
    <s v="Aucun"/>
    <s v="Aucun"/>
    <s v="OUI"/>
  </r>
  <r>
    <x v="0"/>
    <s v="PELLETIER"/>
    <s v="441203MPAA"/>
    <d v="1944-12-03T00:00:00"/>
    <n v="72.142465753424659"/>
    <s v=" "/>
    <s v="ABDESSATER"/>
    <s v="CHR HAUTE SENNE"/>
    <s v="CHR HAUTE SENNE"/>
    <s v="BE"/>
    <s v="M"/>
    <d v="2017-01-06T00:00:00"/>
    <d v="2016-12-20T00:00:00"/>
    <s v="CABG"/>
    <x v="1"/>
    <x v="1"/>
    <n v="0"/>
    <n v="0"/>
    <n v="3"/>
    <s v="PC"/>
    <m/>
    <m/>
    <m/>
    <m/>
    <m/>
    <n v="1"/>
    <m/>
    <m/>
    <m/>
    <n v="1"/>
    <m/>
    <m/>
    <s v="3R"/>
    <n v="3"/>
    <n v="3"/>
    <d v="2017-01-07T00:00:00"/>
    <n v="1"/>
    <d v="2017-02-16T00:00:00"/>
    <n v="41"/>
    <x v="0"/>
    <n v="1"/>
    <s v="ELECTIVE"/>
    <s v="Soignies"/>
    <m/>
    <m/>
    <m/>
    <s v="PELLETIER"/>
    <d v="2017-03-17T00:00:00"/>
    <d v="2017-02-27T00:00:00"/>
    <s v="Y"/>
    <m/>
    <d v="2017-05-22T00:00:00"/>
    <s v="Y"/>
    <m/>
    <n v="1"/>
    <n v="1"/>
    <n v="1"/>
    <x v="0"/>
    <s v="Infection"/>
    <s v="Transfusion"/>
    <s v="Transfusé"/>
    <s v="NON"/>
    <s v="NON"/>
    <n v="41"/>
    <n v="41"/>
    <s v="Inconnu"/>
    <n v="1"/>
    <n v="1"/>
    <s v="Inconnu"/>
    <s v="Transfusé"/>
    <n v="3"/>
    <s v="CHR HAUTE SENNE"/>
    <s v="Aucun"/>
    <s v="Aucun"/>
    <s v="OUI"/>
  </r>
  <r>
    <x v="0"/>
    <s v="DEBONGNIE"/>
    <s v="330513MD04"/>
    <d v="1933-05-13T00:00:00"/>
    <n v="83.717808219178082"/>
    <s v="1"/>
    <s v="EL MOURAD"/>
    <s v="ERASME CARDIO"/>
    <s v="ERASME CARDIO"/>
    <s v="MLC"/>
    <s v="M"/>
    <d v="2017-01-09T00:00:00"/>
    <m/>
    <s v="CABG"/>
    <x v="1"/>
    <x v="1"/>
    <n v="0"/>
    <n v="0"/>
    <n v="2"/>
    <s v="PC"/>
    <m/>
    <m/>
    <m/>
    <m/>
    <m/>
    <m/>
    <m/>
    <m/>
    <m/>
    <n v="1"/>
    <m/>
    <m/>
    <s v="2R"/>
    <n v="2"/>
    <n v="2"/>
    <d v="2017-01-10T00:00:00"/>
    <n v="1"/>
    <d v="2017-02-15T00:00:00"/>
    <n v="37"/>
    <x v="0"/>
    <n v="2"/>
    <s v="URGENCY"/>
    <s v="R"/>
    <m/>
    <m/>
    <m/>
    <s v="DEBONGNIE"/>
    <d v="2017-03-16T00:00:00"/>
    <d v="2017-03-17T00:00:00"/>
    <s v="Y"/>
    <s v="Message"/>
    <d v="2017-05-22T00:00:00"/>
    <s v="Y"/>
    <s v="Message"/>
    <n v="1"/>
    <n v="1"/>
    <n v="1"/>
    <x v="2"/>
    <s v="Infection"/>
    <s v="Transfusion"/>
    <s v="Transfusé"/>
    <s v="NON"/>
    <s v="NON"/>
    <n v="37"/>
    <n v="37"/>
    <s v="Inconnu"/>
    <n v="1"/>
    <n v="1"/>
    <s v="Inconnu"/>
    <s v="Transfusé"/>
    <n v="2"/>
    <s v="ERASME"/>
    <s v="Aucun"/>
    <s v="Aucun"/>
    <s v="NON"/>
  </r>
  <r>
    <x v="0"/>
    <s v="SCHOONHEYT"/>
    <s v="330908MS04"/>
    <d v="1933-09-08T00:00:00"/>
    <n v="83.397260273972606"/>
    <s v="1"/>
    <s v="NAJEM"/>
    <s v="CHIREC BRAINE"/>
    <s v="CHIREC BRAINE"/>
    <s v="FV"/>
    <s v="M"/>
    <d v="2017-01-10T00:00:00"/>
    <d v="2017-01-03T00:00:00"/>
    <s v="AVR + CABG"/>
    <x v="3"/>
    <x v="0"/>
    <s v="CABG + V"/>
    <n v="0"/>
    <n v="2"/>
    <s v="PC"/>
    <s v="Perceval"/>
    <s v="B"/>
    <s v="XL"/>
    <m/>
    <m/>
    <m/>
    <m/>
    <m/>
    <m/>
    <m/>
    <m/>
    <m/>
    <s v="2R"/>
    <n v="2"/>
    <n v="2"/>
    <d v="2017-01-12T00:00:00"/>
    <n v="2"/>
    <d v="2017-01-18T00:00:00"/>
    <n v="8"/>
    <x v="0"/>
    <n v="1"/>
    <s v="ELECTIVE"/>
    <s v="D"/>
    <m/>
    <m/>
    <m/>
    <s v="SCHOONHEYT"/>
    <d v="2017-03-14T00:00:00"/>
    <d v="2017-01-25T00:00:00"/>
    <s v="Y"/>
    <m/>
    <d v="2017-05-10T00:00:00"/>
    <s v="Y"/>
    <m/>
    <n v="0"/>
    <n v="1"/>
    <n v="1"/>
    <x v="0"/>
    <s v="Aucune"/>
    <s v="Transfusion"/>
    <s v="Transfusé"/>
    <s v="NON"/>
    <s v="NON"/>
    <n v="8"/>
    <n v="8"/>
    <s v="Inconnu"/>
    <n v="2"/>
    <n v="2"/>
    <s v="Inconnu"/>
    <s v="Transfusé"/>
    <n v="2"/>
    <s v="CHIREC"/>
    <s v="Aucun"/>
    <s v="Aucun"/>
    <s v="OUI"/>
  </r>
  <r>
    <x v="0"/>
    <s v="DIAMANTIS"/>
    <s v="490315MD02"/>
    <d v="1949-03-15T00:00:00"/>
    <n v="67.873972602739727"/>
    <s v=" "/>
    <s v="GASSAVELIS"/>
    <s v="GASSAVELIS"/>
    <s v="CT"/>
    <s v="BE"/>
    <s v="M"/>
    <d v="2017-01-11T00:00:00"/>
    <m/>
    <s v="CABG"/>
    <x v="1"/>
    <x v="1"/>
    <n v="0"/>
    <n v="0"/>
    <n v="1"/>
    <s v="PC"/>
    <m/>
    <m/>
    <m/>
    <m/>
    <m/>
    <m/>
    <n v="1"/>
    <m/>
    <m/>
    <m/>
    <m/>
    <m/>
    <m/>
    <m/>
    <n v="0"/>
    <d v="2017-01-12T00:00:00"/>
    <n v="1"/>
    <d v="2017-01-20T00:00:00"/>
    <n v="9"/>
    <x v="0"/>
    <n v="3"/>
    <s v="EMERGENCY"/>
    <s v="D"/>
    <m/>
    <m/>
    <m/>
    <s v="DIAMANTIS"/>
    <d v="2017-02-10T00:00:00"/>
    <d v="2017-01-31T00:00:00"/>
    <s v="Y"/>
    <s v="Message"/>
    <d v="2017-05-03T00:00:00"/>
    <s v="Y"/>
    <s v="Message"/>
    <n v="0"/>
    <n v="0"/>
    <n v="1"/>
    <x v="1"/>
    <s v="Aucune"/>
    <s v="Aucune"/>
    <s v="Aucune"/>
    <s v="NON"/>
    <s v="NON"/>
    <n v="9"/>
    <n v="9"/>
    <s v="Inconnu"/>
    <n v="1"/>
    <n v="1"/>
    <s v="Inconnu"/>
    <s v="Aucune"/>
    <n v="0"/>
    <s v="CT"/>
    <s v="Aucun"/>
    <s v="Aucun"/>
    <s v="NON"/>
  </r>
  <r>
    <x v="0"/>
    <s v="LAGGOUNE"/>
    <s v="870331FLAA"/>
    <d v="1987-03-31T00:00:00"/>
    <n v="29.80821917808219"/>
    <s v=" "/>
    <s v="MISSOUNI"/>
    <s v="ERASME ETRANGER"/>
    <s v="ERASME ETRANGER"/>
    <s v="FV"/>
    <s v="F"/>
    <d v="2017-01-12T00:00:00"/>
    <m/>
    <s v="CIV"/>
    <x v="4"/>
    <x v="3"/>
    <n v="0"/>
    <n v="0"/>
    <m/>
    <m/>
    <m/>
    <m/>
    <m/>
    <m/>
    <m/>
    <m/>
    <n v="1"/>
    <m/>
    <m/>
    <m/>
    <m/>
    <m/>
    <m/>
    <m/>
    <n v="0"/>
    <d v="2017-01-17T00:00:00"/>
    <n v="5"/>
    <d v="2017-01-27T00:00:00"/>
    <n v="15"/>
    <x v="0"/>
    <n v="1"/>
    <s v="ELECTIVE"/>
    <s v="D"/>
    <m/>
    <m/>
    <m/>
    <s v="LAGGOUNE"/>
    <d v="2018-02-05T00:00:00"/>
    <s v="/"/>
    <s v="Y"/>
    <s v="Pas en Belgique"/>
    <s v="/"/>
    <s v="Y"/>
    <s v="Pas en Belgique"/>
    <n v="0"/>
    <n v="0"/>
    <n v="1"/>
    <x v="0"/>
    <s v="Aucune"/>
    <s v="Aucune"/>
    <s v="Aucune"/>
    <s v="NON"/>
    <s v="NON"/>
    <n v="15"/>
    <n v="15"/>
    <s v="Inconnu"/>
    <n v="5"/>
    <n v="5"/>
    <s v="Inconnu"/>
    <s v="Aucune"/>
    <n v="0"/>
    <s v="ERASME"/>
    <s v="Aucun"/>
    <s v="Aucun"/>
    <s v="NON"/>
  </r>
  <r>
    <x v="0"/>
    <s v="DEMEYER"/>
    <s v="541217FD04"/>
    <d v="1954-12-17T00:00:00"/>
    <n v="62.11780821917808"/>
    <s v=" "/>
    <s v="CATEZ"/>
    <s v="CHIREC BRAINE"/>
    <s v="CHIREC BRAINE"/>
    <s v="FV"/>
    <s v="F"/>
    <d v="2017-01-13T00:00:00"/>
    <d v="2017-01-03T00:00:00"/>
    <s v="MVP"/>
    <x v="5"/>
    <x v="4"/>
    <s v="MVP"/>
    <s v="MVP"/>
    <m/>
    <m/>
    <s v="Sorin"/>
    <m/>
    <n v="36"/>
    <m/>
    <m/>
    <m/>
    <m/>
    <m/>
    <m/>
    <m/>
    <s v="3R"/>
    <n v="3"/>
    <m/>
    <m/>
    <n v="3"/>
    <d v="2017-01-14T00:00:00"/>
    <n v="1"/>
    <d v="2017-01-19T00:00:00"/>
    <n v="6"/>
    <x v="0"/>
    <n v="1"/>
    <s v="ELECTIVE"/>
    <s v="D"/>
    <m/>
    <m/>
    <m/>
    <s v="DEMEYER"/>
    <d v="2017-03-07T00:00:00"/>
    <d v="2017-07-31T00:00:00"/>
    <s v="Y"/>
    <m/>
    <d v="2017-05-08T00:00:00"/>
    <s v="Y"/>
    <s v="Pas de messagerie gsm"/>
    <n v="0"/>
    <n v="1"/>
    <n v="1"/>
    <x v="0"/>
    <s v="Aucune"/>
    <s v="Transfusion"/>
    <s v="Aucune"/>
    <s v="NON"/>
    <s v="NON"/>
    <n v="6"/>
    <n v="6"/>
    <s v="Inconnu"/>
    <n v="1"/>
    <n v="1"/>
    <s v="Inconnu"/>
    <s v="Transfusé"/>
    <n v="3"/>
    <s v="CHIREC"/>
    <s v="Aucun"/>
    <s v="Aucun"/>
    <s v="OUI"/>
  </r>
  <r>
    <x v="0"/>
    <s v="VANDENBOSSCHE"/>
    <s v="490203MV03"/>
    <d v="1949-02-03T00:00:00"/>
    <n v="67.989041095890414"/>
    <s v=" "/>
    <s v="KHOUZAM"/>
    <s v="CHR HAUTE SENNE"/>
    <s v="CHR HAUTE SENNE"/>
    <s v="MLC"/>
    <s v="M"/>
    <d v="2017-01-13T00:00:00"/>
    <m/>
    <s v="CABG + ECMO"/>
    <x v="1"/>
    <x v="1"/>
    <n v="0"/>
    <n v="0"/>
    <n v="3"/>
    <s v="PC"/>
    <m/>
    <m/>
    <m/>
    <d v="2017-01-14T00:00:00"/>
    <n v="1"/>
    <m/>
    <m/>
    <m/>
    <m/>
    <n v="1"/>
    <s v="14R/4Plaq/18Plas"/>
    <n v="36"/>
    <s v="8R/2Plas"/>
    <n v="10"/>
    <n v="46"/>
    <d v="2017-02-06T00:00:00"/>
    <n v="24"/>
    <d v="2017-02-21T00:00:00"/>
    <n v="39"/>
    <x v="0"/>
    <n v="3"/>
    <s v="EMERGENCY"/>
    <s v="D"/>
    <m/>
    <m/>
    <m/>
    <s v="VANDENBOSSCHE"/>
    <d v="2017-03-23T00:00:00"/>
    <d v="2017-03-17T00:00:00"/>
    <s v="Y"/>
    <s v="tel invalide"/>
    <d v="2017-05-22T00:00:00"/>
    <s v="Y"/>
    <s v="tel invalide"/>
    <n v="1"/>
    <n v="1"/>
    <n v="1"/>
    <x v="1"/>
    <s v="Infection"/>
    <s v="Transfusion"/>
    <s v="Transfusé"/>
    <s v="OUI"/>
    <s v="NON"/>
    <n v="39"/>
    <n v="39"/>
    <s v="Inconnu"/>
    <n v="24"/>
    <n v="24"/>
    <s v="Inconnu"/>
    <s v="Transfusé"/>
    <n v="46"/>
    <s v="CHR HAUTE SENNE"/>
    <s v="Aucun"/>
    <s v="Aucun"/>
    <s v="NON"/>
  </r>
  <r>
    <x v="0"/>
    <s v="AJERAR M'SAOURI"/>
    <s v="511119FA01"/>
    <d v="1951-11-19T00:00:00"/>
    <n v="65.205479452054789"/>
    <s v=" "/>
    <s v="EL MOURAD"/>
    <s v="ERASME CARDIO"/>
    <s v="ERASME CARDIO"/>
    <s v="FV"/>
    <s v="F"/>
    <d v="2017-01-16T00:00:00"/>
    <d v="2016-10-11T00:00:00"/>
    <s v="CABG"/>
    <x v="1"/>
    <x v="1"/>
    <n v="0"/>
    <n v="0"/>
    <n v="4"/>
    <s v="PC"/>
    <m/>
    <m/>
    <m/>
    <m/>
    <m/>
    <m/>
    <m/>
    <m/>
    <m/>
    <m/>
    <s v="1R"/>
    <n v="1"/>
    <m/>
    <m/>
    <n v="1"/>
    <d v="2017-01-17T00:00:00"/>
    <n v="1"/>
    <d v="2017-02-04T00:00:00"/>
    <n v="19"/>
    <x v="0"/>
    <n v="1"/>
    <s v="ELECTIVE"/>
    <s v="D"/>
    <m/>
    <m/>
    <m/>
    <s v="AJERAR M'SAOURI"/>
    <d v="2017-03-21T00:00:00"/>
    <d v="2017-02-13T00:00:00"/>
    <s v="Y"/>
    <m/>
    <d v="2017-05-08T00:00:00"/>
    <s v="Y"/>
    <m/>
    <n v="0"/>
    <n v="1"/>
    <n v="1"/>
    <x v="0"/>
    <s v="Aucune"/>
    <s v="Transfusion"/>
    <s v="Aucune"/>
    <s v="NON"/>
    <s v="NON"/>
    <n v="19"/>
    <n v="19"/>
    <s v="Inconnu"/>
    <n v="1"/>
    <n v="1"/>
    <s v="Inconnu"/>
    <s v="Transfusé"/>
    <n v="1"/>
    <s v="ERASME"/>
    <s v="Aucun"/>
    <s v="Aucun"/>
    <s v="OUI"/>
  </r>
  <r>
    <x v="0"/>
    <s v="VAN CANG"/>
    <s v="390202FV01"/>
    <d v="1939-02-02T00:00:00"/>
    <n v="78.013698630136986"/>
    <s v=" "/>
    <s v="ZENAGUI"/>
    <s v="BRACOPS"/>
    <s v="BRACOPS"/>
    <s v="FV"/>
    <s v="F"/>
    <d v="2017-01-18T00:00:00"/>
    <d v="2016-12-13T00:00:00"/>
    <s v="CABG"/>
    <x v="1"/>
    <x v="1"/>
    <n v="0"/>
    <n v="0"/>
    <n v="2"/>
    <s v="OPCAB"/>
    <m/>
    <m/>
    <m/>
    <m/>
    <m/>
    <m/>
    <m/>
    <m/>
    <m/>
    <n v="1"/>
    <m/>
    <m/>
    <m/>
    <m/>
    <n v="0"/>
    <d v="2017-01-19T00:00:00"/>
    <n v="1"/>
    <d v="2017-01-31T00:00:00"/>
    <n v="13"/>
    <x v="0"/>
    <n v="1"/>
    <s v="ELECTIVE"/>
    <s v="R"/>
    <m/>
    <m/>
    <m/>
    <s v="VAN CANG"/>
    <d v="2017-03-14T00:00:00"/>
    <d v="2017-02-07T00:00:00"/>
    <s v="Y"/>
    <s v="Message"/>
    <d v="2017-05-10T00:00:00"/>
    <s v="Y"/>
    <m/>
    <n v="1"/>
    <n v="0"/>
    <n v="1"/>
    <x v="0"/>
    <s v="Infection"/>
    <s v="Aucune"/>
    <s v="Aucune"/>
    <s v="NON"/>
    <s v="NON"/>
    <n v="13"/>
    <n v="13"/>
    <s v="Inconnu"/>
    <n v="1"/>
    <n v="1"/>
    <s v="Inconnu"/>
    <s v="Aucune"/>
    <n v="0"/>
    <s v="BRACOPS"/>
    <s v="Aucun"/>
    <s v="Aucun"/>
    <s v="OUI"/>
  </r>
  <r>
    <x v="0"/>
    <s v="DOMBIER"/>
    <s v="520621FD08"/>
    <d v="1952-06-21T00:00:00"/>
    <n v="64.62465753424658"/>
    <s v=" "/>
    <s v="USI"/>
    <s v="CHU CHARLEROI"/>
    <s v="CHU CHARLEROI"/>
    <s v="GVN"/>
    <s v="F"/>
    <d v="2017-01-19T00:00:00"/>
    <m/>
    <s v="LVAD"/>
    <x v="6"/>
    <x v="5"/>
    <s v="LVAD/HTX"/>
    <n v="0"/>
    <m/>
    <m/>
    <m/>
    <m/>
    <m/>
    <m/>
    <m/>
    <m/>
    <m/>
    <m/>
    <m/>
    <m/>
    <m/>
    <m/>
    <m/>
    <m/>
    <n v="0"/>
    <d v="2017-02-04T00:00:00"/>
    <n v="16"/>
    <d v="2017-03-07T00:00:00"/>
    <n v="47"/>
    <x v="0"/>
    <n v="2"/>
    <s v="URGENCY"/>
    <s v="D"/>
    <m/>
    <m/>
    <m/>
    <s v="DOMBIER"/>
    <s v="/"/>
    <s v="/"/>
    <m/>
    <s v="LVAD"/>
    <s v="/"/>
    <m/>
    <s v="LVAD"/>
    <n v="0"/>
    <n v="0"/>
    <n v="1"/>
    <x v="2"/>
    <s v="Aucune"/>
    <s v="Aucune"/>
    <s v="Aucune"/>
    <s v="NON"/>
    <s v="NON"/>
    <n v="47"/>
    <s v="Inconnu"/>
    <n v="47"/>
    <n v="16"/>
    <s v="Inconnu"/>
    <n v="16"/>
    <s v="Aucune"/>
    <n v="0"/>
    <s v="CHU CHARLEROI"/>
    <s v="Aucun"/>
    <s v="Aucun"/>
    <s v="NON"/>
  </r>
  <r>
    <x v="0"/>
    <s v="RAVICINI"/>
    <s v="621118MR01"/>
    <d v="1962-11-18T00:00:00"/>
    <n v="54.208219178082189"/>
    <s v=" "/>
    <s v="GASSAVELIS"/>
    <s v="GASSAVELIS"/>
    <s v="CT"/>
    <s v="MLC"/>
    <s v="M"/>
    <d v="2017-01-19T00:00:00"/>
    <d v="2016-12-13T00:00:00"/>
    <s v="CABG"/>
    <x v="1"/>
    <x v="1"/>
    <n v="0"/>
    <n v="0"/>
    <n v="1"/>
    <s v="OPCAB"/>
    <m/>
    <m/>
    <m/>
    <m/>
    <m/>
    <m/>
    <m/>
    <m/>
    <m/>
    <m/>
    <m/>
    <m/>
    <m/>
    <m/>
    <n v="0"/>
    <d v="2017-01-22T00:00:00"/>
    <n v="3"/>
    <d v="2017-01-27T00:00:00"/>
    <n v="8"/>
    <x v="0"/>
    <n v="1"/>
    <s v="ELECTIVE"/>
    <s v="D"/>
    <m/>
    <m/>
    <m/>
    <s v="RAVICINI"/>
    <d v="2017-03-09T00:00:00"/>
    <d v="2017-02-03T00:00:00"/>
    <s v="Y"/>
    <m/>
    <d v="2017-05-02T00:00:00"/>
    <s v="Y"/>
    <m/>
    <n v="0"/>
    <n v="0"/>
    <n v="1"/>
    <x v="0"/>
    <s v="Aucune"/>
    <s v="Aucune"/>
    <s v="Aucune"/>
    <s v="NON"/>
    <s v="NON"/>
    <n v="8"/>
    <n v="8"/>
    <s v="Inconnu"/>
    <n v="3"/>
    <n v="3"/>
    <s v="Inconnu"/>
    <s v="Aucune"/>
    <n v="0"/>
    <s v="CT"/>
    <s v="Aucun"/>
    <s v="Aucun"/>
    <s v="OUI"/>
  </r>
  <r>
    <x v="0"/>
    <s v="MANZINI"/>
    <s v="360628MM03"/>
    <d v="1936-06-28T00:00:00"/>
    <n v="80.61917808219178"/>
    <s v="1"/>
    <s v="HEDESHI"/>
    <s v="CHR HAUTE SENNE"/>
    <s v="CHR HAUTE SENNE"/>
    <s v="FV"/>
    <s v="M"/>
    <d v="2017-01-20T00:00:00"/>
    <d v="2017-01-10T00:00:00"/>
    <s v="CABG"/>
    <x v="1"/>
    <x v="1"/>
    <n v="0"/>
    <n v="0"/>
    <n v="3"/>
    <s v="MIDCAB"/>
    <m/>
    <m/>
    <m/>
    <m/>
    <m/>
    <m/>
    <m/>
    <m/>
    <m/>
    <n v="1"/>
    <m/>
    <m/>
    <m/>
    <m/>
    <n v="0"/>
    <d v="2017-01-24T00:00:00"/>
    <n v="4"/>
    <d v="2017-02-03T00:00:00"/>
    <n v="14"/>
    <x v="0"/>
    <n v="1"/>
    <s v="ELECTIVE"/>
    <s v="R"/>
    <m/>
    <m/>
    <m/>
    <s v="MANZINI"/>
    <d v="2017-03-14T00:00:00"/>
    <d v="2017-02-13T00:00:00"/>
    <s v="Y"/>
    <s v="infection plaie jambe"/>
    <d v="2017-05-03T00:00:00"/>
    <s v="Y"/>
    <s v="injoignable"/>
    <n v="1"/>
    <n v="0"/>
    <n v="1"/>
    <x v="0"/>
    <s v="Infection"/>
    <s v="Aucune"/>
    <s v="Aucune"/>
    <s v="NON"/>
    <s v="NON"/>
    <n v="14"/>
    <n v="14"/>
    <s v="Inconnu"/>
    <n v="4"/>
    <n v="4"/>
    <s v="Inconnu"/>
    <s v="Aucune"/>
    <n v="0"/>
    <s v="CHR HAUTE SENNE"/>
    <s v="Aucun"/>
    <s v="Aucun"/>
    <s v="OUI"/>
  </r>
  <r>
    <x v="0"/>
    <s v="SEMAL"/>
    <s v="340829FS01"/>
    <d v="1934-08-29T00:00:00"/>
    <n v="82.460273972602735"/>
    <s v="1"/>
    <s v="ZENAGUI"/>
    <s v="BRACOPS"/>
    <s v="BRACOPS"/>
    <s v="FV"/>
    <s v="F"/>
    <d v="2017-01-23T00:00:00"/>
    <m/>
    <s v="CABG"/>
    <x v="1"/>
    <x v="1"/>
    <n v="0"/>
    <n v="0"/>
    <n v="3"/>
    <s v="OPCAB"/>
    <m/>
    <m/>
    <m/>
    <m/>
    <m/>
    <m/>
    <m/>
    <m/>
    <m/>
    <n v="1"/>
    <s v="1R/2Plas"/>
    <n v="3"/>
    <m/>
    <m/>
    <n v="3"/>
    <d v="2017-01-26T00:00:00"/>
    <n v="3"/>
    <d v="2017-02-03T00:00:00"/>
    <n v="11"/>
    <x v="0"/>
    <n v="1"/>
    <s v="ELECTIVE"/>
    <s v="D"/>
    <m/>
    <m/>
    <m/>
    <s v="SEMAL"/>
    <d v="2017-03-14T00:00:00"/>
    <d v="2017-02-13T00:00:00"/>
    <s v="Y"/>
    <m/>
    <d v="2017-05-08T00:00:00"/>
    <s v="Y"/>
    <m/>
    <n v="1"/>
    <n v="1"/>
    <n v="1"/>
    <x v="0"/>
    <s v="Infection"/>
    <s v="Transfusion"/>
    <s v="Aucune"/>
    <s v="NON"/>
    <s v="NON"/>
    <n v="11"/>
    <n v="11"/>
    <s v="Inconnu"/>
    <n v="3"/>
    <n v="3"/>
    <s v="Inconnu"/>
    <s v="Transfusé"/>
    <n v="3"/>
    <s v="BRACOPS"/>
    <s v="Aucun"/>
    <s v="Aucun"/>
    <s v="NON"/>
  </r>
  <r>
    <x v="0"/>
    <s v="REMY"/>
    <s v="460709MR01 "/>
    <d v="1946-07-09T00:00:00"/>
    <n v="70.594520547945208"/>
    <s v=" "/>
    <s v="NAJEM"/>
    <s v="CHIREC BRAINE"/>
    <s v="CHIREC BRAINE"/>
    <s v="FV"/>
    <s v="M"/>
    <d v="2017-01-24T00:00:00"/>
    <d v="2017-01-17T00:00:00"/>
    <s v="? (CABG)"/>
    <x v="1"/>
    <x v="1"/>
    <n v="0"/>
    <n v="0"/>
    <m/>
    <m/>
    <m/>
    <m/>
    <m/>
    <m/>
    <m/>
    <n v="1"/>
    <m/>
    <m/>
    <m/>
    <n v="1"/>
    <m/>
    <m/>
    <s v="1R"/>
    <n v="1"/>
    <n v="1"/>
    <d v="2017-01-25T00:00:00"/>
    <n v="1"/>
    <d v="2017-03-01T00:00:00"/>
    <n v="36"/>
    <x v="0"/>
    <n v="1"/>
    <s v="ELECTIVE"/>
    <s v="D"/>
    <m/>
    <m/>
    <m/>
    <s v="REMY"/>
    <d v="2017-03-28T00:00:00"/>
    <d v="2017-03-13T00:00:00"/>
    <s v="Y"/>
    <s v="très essoufflé- épenchement pulm"/>
    <d v="2017-06-09T00:00:00"/>
    <s v="Y"/>
    <s v="Message"/>
    <n v="1"/>
    <n v="1"/>
    <n v="1"/>
    <x v="0"/>
    <s v="Infection"/>
    <s v="Transfusion"/>
    <s v="Transfusé"/>
    <s v="NON"/>
    <s v="NON"/>
    <n v="36"/>
    <n v="36"/>
    <s v="Inconnu"/>
    <n v="1"/>
    <n v="1"/>
    <s v="Inconnu"/>
    <s v="Transfusé"/>
    <n v="1"/>
    <s v="CHIREC"/>
    <s v="Aucun"/>
    <s v="Aucun"/>
    <s v="OUI"/>
  </r>
  <r>
    <x v="0"/>
    <s v="TAVERNA"/>
    <s v="460205MT01"/>
    <d v="1946-02-05T00:00:00"/>
    <n v="71.019178082191786"/>
    <s v=" "/>
    <s v="KHOUZAM"/>
    <s v="KHOUZAM"/>
    <s v="CT"/>
    <s v="BE"/>
    <s v="M"/>
    <d v="2017-01-25T00:00:00"/>
    <d v="2017-01-24T00:00:00"/>
    <s v="AVR + CABG"/>
    <x v="3"/>
    <x v="0"/>
    <s v="CABG + V"/>
    <n v="0"/>
    <n v="2"/>
    <s v="PC"/>
    <s v="CE"/>
    <s v="B"/>
    <n v="27"/>
    <m/>
    <m/>
    <m/>
    <m/>
    <m/>
    <m/>
    <m/>
    <m/>
    <m/>
    <m/>
    <m/>
    <n v="0"/>
    <d v="2017-01-26T00:00:00"/>
    <n v="1"/>
    <d v="2017-02-01T00:00:00"/>
    <n v="7"/>
    <x v="0"/>
    <n v="1"/>
    <s v="ELECTIVE"/>
    <s v="D"/>
    <m/>
    <m/>
    <m/>
    <s v="TAVERNA"/>
    <d v="2017-03-03T00:00:00"/>
    <d v="2017-02-08T00:00:00"/>
    <s v="Y"/>
    <m/>
    <d v="2017-05-10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T"/>
    <s v="Aucun"/>
    <s v="Aucun"/>
    <s v="OUI"/>
  </r>
  <r>
    <x v="0"/>
    <s v="SCHOLLAERT"/>
    <s v="560402MSAA"/>
    <d v="1956-04-02T00:00:00"/>
    <n v="60.860273972602741"/>
    <s v=" "/>
    <s v="USI"/>
    <s v="CHU CHARLEROI"/>
    <s v="CHU CHARLEROI"/>
    <s v="FV"/>
    <s v="M"/>
    <d v="2017-01-26T00:00:00"/>
    <m/>
    <s v="CABG"/>
    <x v="1"/>
    <x v="1"/>
    <n v="0"/>
    <n v="0"/>
    <n v="4"/>
    <s v="PC"/>
    <m/>
    <m/>
    <m/>
    <m/>
    <m/>
    <m/>
    <m/>
    <m/>
    <m/>
    <n v="1"/>
    <s v="4R/4Plas/1Plaq"/>
    <n v="9"/>
    <m/>
    <m/>
    <n v="9"/>
    <d v="2017-02-03T00:00:00"/>
    <n v="8"/>
    <d v="2017-02-21T00:00:00"/>
    <n v="26"/>
    <x v="1"/>
    <n v="2"/>
    <s v="URGENCY"/>
    <s v="/"/>
    <m/>
    <m/>
    <m/>
    <s v="SCHOLLAERT"/>
    <s v="/"/>
    <d v="2017-02-21T00:00:00"/>
    <s v="N"/>
    <s v="DCD "/>
    <s v="/"/>
    <s v="N"/>
    <s v="DCD"/>
    <n v="1"/>
    <n v="1"/>
    <n v="1"/>
    <x v="2"/>
    <s v="Infection"/>
    <s v="Transfusion"/>
    <s v="Aucune"/>
    <s v="NON"/>
    <s v="NON"/>
    <n v="26"/>
    <n v="26"/>
    <s v="Inconnu"/>
    <n v="8"/>
    <n v="8"/>
    <s v="Inconnu"/>
    <s v="Transfusé"/>
    <n v="9"/>
    <s v="CHU CHARLEROI"/>
    <s v="Aucun"/>
    <s v="Aucun"/>
    <s v="NON"/>
  </r>
  <r>
    <x v="0"/>
    <s v="EL YOUSFI"/>
    <s v="380102FEAA"/>
    <d v="1938-01-02T00:00:00"/>
    <n v="79"/>
    <s v=" "/>
    <s v="MENASSEL"/>
    <s v="MENASSEL"/>
    <s v="CT"/>
    <s v="BE"/>
    <s v="F"/>
    <d v="2017-01-26T00:00:00"/>
    <d v="2017-01-10T00:00:00"/>
    <s v="CABG"/>
    <x v="1"/>
    <x v="1"/>
    <n v="0"/>
    <n v="0"/>
    <n v="3"/>
    <s v="OPCAB"/>
    <m/>
    <m/>
    <m/>
    <m/>
    <m/>
    <m/>
    <m/>
    <m/>
    <m/>
    <m/>
    <s v="1R"/>
    <n v="1"/>
    <m/>
    <m/>
    <n v="1"/>
    <d v="2017-01-27T00:00:00"/>
    <n v="1"/>
    <d v="2017-02-07T00:00:00"/>
    <n v="12"/>
    <x v="0"/>
    <n v="1"/>
    <s v="ELECTIVE"/>
    <s v="D"/>
    <m/>
    <m/>
    <m/>
    <s v="EL YOUSSI"/>
    <d v="2017-03-03T00:00:00"/>
    <d v="2017-02-13T00:00:00"/>
    <s v="Y"/>
    <m/>
    <d v="2017-06-09T00:00:00"/>
    <s v="Y"/>
    <s v="Message"/>
    <n v="0"/>
    <n v="1"/>
    <n v="1"/>
    <x v="0"/>
    <s v="Aucune"/>
    <s v="Transfusion"/>
    <s v="Aucune"/>
    <s v="NON"/>
    <s v="NON"/>
    <n v="12"/>
    <n v="12"/>
    <s v="Inconnu"/>
    <n v="1"/>
    <n v="1"/>
    <s v="Inconnu"/>
    <s v="Transfusé"/>
    <n v="1"/>
    <s v="CT"/>
    <s v="Aucun"/>
    <s v="Aucun"/>
    <s v="OUI"/>
  </r>
  <r>
    <x v="0"/>
    <s v="MUS"/>
    <s v="450224MM01"/>
    <d v="1945-02-24T00:00:00"/>
    <n v="71.972602739726028"/>
    <s v=" "/>
    <s v="ONGA"/>
    <s v="BRACOPS"/>
    <s v="BRACOPS"/>
    <s v="BE"/>
    <s v="M"/>
    <d v="2017-01-27T00:00:00"/>
    <d v="2017-01-24T00:00:00"/>
    <s v="CABG"/>
    <x v="1"/>
    <x v="1"/>
    <n v="0"/>
    <n v="0"/>
    <n v="3"/>
    <s v="PC"/>
    <m/>
    <m/>
    <m/>
    <m/>
    <m/>
    <m/>
    <m/>
    <m/>
    <m/>
    <m/>
    <s v="1R"/>
    <n v="1"/>
    <s v="2R"/>
    <n v="2"/>
    <n v="3"/>
    <d v="2017-01-28T00:00:00"/>
    <n v="1"/>
    <d v="2017-02-03T00:00:00"/>
    <n v="7"/>
    <x v="0"/>
    <n v="1"/>
    <s v="ELECTIVE"/>
    <s v="D"/>
    <m/>
    <m/>
    <m/>
    <s v="MUS"/>
    <d v="2017-03-03T00:00:00"/>
    <d v="2017-02-13T00:00:00"/>
    <s v="Y"/>
    <m/>
    <d v="2017-05-08T00:00:00"/>
    <s v="Y"/>
    <m/>
    <n v="0"/>
    <n v="1"/>
    <n v="1"/>
    <x v="0"/>
    <s v="Aucune"/>
    <s v="Transfusion"/>
    <s v="Transfusé"/>
    <s v="NON"/>
    <s v="NON"/>
    <n v="7"/>
    <n v="7"/>
    <s v="Inconnu"/>
    <n v="1"/>
    <n v="1"/>
    <s v="Inconnu"/>
    <s v="Transfusé"/>
    <n v="3"/>
    <s v="BRACOPS"/>
    <s v="Aucun"/>
    <s v="Aucun"/>
    <s v="OUI"/>
  </r>
  <r>
    <x v="0"/>
    <s v="VROMANT"/>
    <s v="350602MV01"/>
    <d v="1935-06-02T00:00:00"/>
    <n v="81.712328767123282"/>
    <s v="1"/>
    <s v="BONDUE"/>
    <s v="ERASME CARDIO"/>
    <s v="ERASME CARDIO"/>
    <s v="FV"/>
    <s v="M"/>
    <d v="2017-01-27T00:00:00"/>
    <d v="2016-12-20T00:00:00"/>
    <s v="CABG"/>
    <x v="1"/>
    <x v="1"/>
    <n v="0"/>
    <n v="0"/>
    <n v="3"/>
    <s v="PC"/>
    <m/>
    <m/>
    <m/>
    <m/>
    <m/>
    <m/>
    <m/>
    <m/>
    <m/>
    <n v="1"/>
    <m/>
    <m/>
    <m/>
    <m/>
    <n v="0"/>
    <d v="2017-01-28T00:00:00"/>
    <n v="1"/>
    <d v="2017-02-13T00:00:00"/>
    <n v="17"/>
    <x v="0"/>
    <n v="1"/>
    <s v="ELECTIVE"/>
    <s v="R?"/>
    <m/>
    <m/>
    <m/>
    <s v="VROMANT"/>
    <d v="2017-03-21T00:00:00"/>
    <d v="2017-02-20T00:00:00"/>
    <s v="Y"/>
    <m/>
    <d v="2017-05-17T00:00:00"/>
    <s v="Y"/>
    <s v="Message -annulé géria?"/>
    <n v="1"/>
    <n v="0"/>
    <n v="1"/>
    <x v="0"/>
    <s v="Infection"/>
    <s v="Aucune"/>
    <s v="Aucune"/>
    <s v="NON"/>
    <s v="NON"/>
    <n v="17"/>
    <n v="17"/>
    <s v="Inconnu"/>
    <n v="1"/>
    <n v="1"/>
    <s v="Inconnu"/>
    <s v="Aucune"/>
    <n v="0"/>
    <s v="ERASME"/>
    <s v="Aucun"/>
    <s v="Aucun"/>
    <s v="OUI"/>
  </r>
  <r>
    <x v="0"/>
    <s v="BOUCQ"/>
    <s v="740129FB07"/>
    <d v="1974-01-29T00:00:00"/>
    <n v="43.032876712328765"/>
    <s v=" "/>
    <s v="DESCAMPS"/>
    <s v="CHWAPI TOURNAI"/>
    <s v="CHWAPI TOURNAI"/>
    <s v="FV"/>
    <s v="F"/>
    <d v="2017-01-30T00:00:00"/>
    <d v="2017-01-24T00:00:00"/>
    <s v="EAP"/>
    <x v="4"/>
    <x v="3"/>
    <n v="0"/>
    <n v="0"/>
    <m/>
    <m/>
    <m/>
    <m/>
    <m/>
    <m/>
    <m/>
    <m/>
    <m/>
    <m/>
    <m/>
    <m/>
    <s v="1R"/>
    <n v="1"/>
    <m/>
    <m/>
    <n v="1"/>
    <d v="2017-01-31T00:00:00"/>
    <n v="1"/>
    <d v="2017-02-14T00:00:00"/>
    <n v="15"/>
    <x v="0"/>
    <n v="1"/>
    <s v="ELECTIVE"/>
    <s v="D"/>
    <m/>
    <m/>
    <m/>
    <s v="BOUCQ"/>
    <d v="2017-03-21T00:00:00"/>
    <d v="2017-02-27T00:00:00"/>
    <s v="Y"/>
    <m/>
    <m/>
    <m/>
    <m/>
    <n v="0"/>
    <n v="1"/>
    <n v="1"/>
    <x v="0"/>
    <s v="Aucune"/>
    <s v="Transfusion"/>
    <s v="Aucune"/>
    <s v="NON"/>
    <s v="NON"/>
    <n v="15"/>
    <n v="15"/>
    <s v="Inconnu"/>
    <n v="1"/>
    <n v="1"/>
    <s v="Inconnu"/>
    <s v="Transfusé"/>
    <n v="1"/>
    <s v="CHWAPI TOURNAI"/>
    <s v="Aucun"/>
    <s v="Aucun"/>
    <s v="OUI"/>
  </r>
  <r>
    <x v="0"/>
    <s v="SCHAYER"/>
    <s v="680503MS01"/>
    <d v="1968-05-03T00:00:00"/>
    <n v="48.780821917808218"/>
    <s v=" "/>
    <s v="LIPSKI"/>
    <s v="CHIREC EDITH CAVELL"/>
    <s v="CHIREC EDITH CAVELL"/>
    <s v="FV"/>
    <s v="M"/>
    <d v="2017-01-31T00:00:00"/>
    <d v="2017-01-31T00:00:00"/>
    <s v="CABG"/>
    <x v="1"/>
    <x v="1"/>
    <n v="0"/>
    <n v="0"/>
    <n v="3"/>
    <s v="PC"/>
    <m/>
    <m/>
    <m/>
    <m/>
    <m/>
    <m/>
    <m/>
    <m/>
    <m/>
    <m/>
    <m/>
    <m/>
    <m/>
    <m/>
    <n v="0"/>
    <d v="2017-02-01T00:00:00"/>
    <n v="1"/>
    <d v="2017-02-06T00:00:00"/>
    <n v="6"/>
    <x v="0"/>
    <n v="1"/>
    <s v="ELECTIVE"/>
    <s v="D"/>
    <m/>
    <m/>
    <m/>
    <s v="SCHAYER"/>
    <d v="2017-03-14T00:00:00"/>
    <d v="2017-02-14T00:00:00"/>
    <s v="Y"/>
    <m/>
    <d v="2017-05-08T00:00:00"/>
    <s v="Y"/>
    <s v="Message"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HIREC"/>
    <s v="Aucun"/>
    <s v="Aucun"/>
    <s v="OUI"/>
  </r>
  <r>
    <x v="0"/>
    <s v="BAHEUX"/>
    <s v="401017MB01"/>
    <d v="1940-10-17T00:00:00"/>
    <n v="76.342465753424662"/>
    <s v=" "/>
    <s v="USI"/>
    <s v="ERASME USI"/>
    <s v="ERASME USI"/>
    <s v="BE"/>
    <s v="M"/>
    <d v="2017-01-31T00:00:00"/>
    <m/>
    <s v="CABG + ECMO"/>
    <x v="1"/>
    <x v="1"/>
    <n v="0"/>
    <n v="0"/>
    <n v="2"/>
    <s v="PC"/>
    <m/>
    <m/>
    <m/>
    <d v="2017-01-31T00:00:00"/>
    <n v="1"/>
    <m/>
    <m/>
    <m/>
    <m/>
    <n v="1"/>
    <s v="20R/13Plas/3Plaq"/>
    <n v="36"/>
    <s v="4R"/>
    <n v="4"/>
    <n v="40"/>
    <d v="2017-03-07T00:00:00"/>
    <n v="35"/>
    <d v="2017-03-07T00:00:00"/>
    <n v="35"/>
    <x v="0"/>
    <n v="2"/>
    <s v="URGENCY"/>
    <s v="R"/>
    <m/>
    <m/>
    <m/>
    <s v="BAHEUX"/>
    <s v="/"/>
    <d v="2017-04-11T00:00:00"/>
    <s v="Y"/>
    <m/>
    <d v="2017-07-12T00:00:00"/>
    <s v="Y"/>
    <m/>
    <n v="1"/>
    <n v="1"/>
    <n v="1"/>
    <x v="2"/>
    <s v="Infection"/>
    <s v="Transfusion"/>
    <s v="Transfusé"/>
    <s v="OUI"/>
    <s v="NON"/>
    <n v="35"/>
    <n v="35"/>
    <s v="Inconnu"/>
    <n v="35"/>
    <n v="35"/>
    <s v="Inconnu"/>
    <s v="Transfusé"/>
    <n v="40"/>
    <s v="ERASME"/>
    <s v="Aucun"/>
    <s v="Aucun"/>
    <s v="NON"/>
  </r>
  <r>
    <x v="1"/>
    <s v="MBU NE LETANG"/>
    <s v="380801MMAA"/>
    <d v="1938-08-01T00:00:00"/>
    <n v="78.558904109589037"/>
    <s v=" "/>
    <s v="ROGOWSKY"/>
    <s v="CHIREC PARC LEOPOLD"/>
    <s v="CHIREC PARC LEOPOLD"/>
    <s v="MA"/>
    <s v="M"/>
    <d v="2017-02-01T00:00:00"/>
    <d v="2017-01-24T00:00:00"/>
    <s v="AVR + CABG"/>
    <x v="3"/>
    <x v="0"/>
    <s v="CABG + V"/>
    <n v="0"/>
    <n v="3"/>
    <s v="PC"/>
    <s v="CE"/>
    <s v="B"/>
    <n v="23"/>
    <m/>
    <m/>
    <m/>
    <m/>
    <m/>
    <m/>
    <n v="1"/>
    <s v="2R/1Plaq/3Plas"/>
    <n v="6"/>
    <m/>
    <m/>
    <n v="6"/>
    <d v="2017-02-05T00:00:00"/>
    <n v="4"/>
    <d v="2017-02-14T00:00:00"/>
    <n v="13"/>
    <x v="0"/>
    <n v="1"/>
    <s v="ELECTIVE"/>
    <s v="D"/>
    <m/>
    <m/>
    <m/>
    <s v="MBU NE LETANG"/>
    <d v="2017-03-08T00:00:00"/>
    <d v="2017-02-27T00:00:00"/>
    <s v="Y"/>
    <s v="Message"/>
    <d v="2017-05-22T00:00:00"/>
    <s v="Y"/>
    <m/>
    <n v="1"/>
    <n v="1"/>
    <n v="1"/>
    <x v="0"/>
    <s v="Infection"/>
    <s v="Transfusion"/>
    <s v="Aucune"/>
    <s v="NON"/>
    <s v="NON"/>
    <n v="13"/>
    <n v="13"/>
    <s v="Inconnu"/>
    <n v="4"/>
    <n v="4"/>
    <s v="Inconnu"/>
    <s v="Transfusé"/>
    <n v="6"/>
    <s v="CHIREC"/>
    <s v="Aucun"/>
    <s v="Aucun"/>
    <s v="OUI"/>
  </r>
  <r>
    <x v="1"/>
    <s v="POLLAK"/>
    <s v="411011MP02"/>
    <d v="1941-10-11T00:00:00"/>
    <n v="75.364383561643834"/>
    <s v=" "/>
    <s v="DEPAEPE"/>
    <s v="DEPAEPE"/>
    <s v="CT"/>
    <s v="BE"/>
    <s v="M"/>
    <d v="2017-02-02T00:00:00"/>
    <d v="2017-01-17T00:00:00"/>
    <s v="CABG"/>
    <x v="1"/>
    <x v="1"/>
    <n v="0"/>
    <n v="0"/>
    <n v="3"/>
    <s v="PC"/>
    <m/>
    <m/>
    <m/>
    <m/>
    <m/>
    <m/>
    <m/>
    <m/>
    <m/>
    <m/>
    <s v="3R/2Plas"/>
    <n v="5"/>
    <m/>
    <m/>
    <n v="5"/>
    <d v="2017-02-03T00:00:00"/>
    <n v="1"/>
    <d v="2017-02-08T00:00:00"/>
    <n v="6"/>
    <x v="0"/>
    <n v="1"/>
    <s v="ELECTIVE"/>
    <s v="D"/>
    <m/>
    <m/>
    <m/>
    <s v="POLLAK"/>
    <d v="2017-03-03T00:00:00"/>
    <d v="2017-02-20T00:00:00"/>
    <s v="Y"/>
    <s v="Message"/>
    <d v="2017-05-15T00:00:00"/>
    <s v="Y"/>
    <m/>
    <n v="0"/>
    <n v="1"/>
    <n v="1"/>
    <x v="0"/>
    <s v="Aucune"/>
    <s v="Transfusion"/>
    <s v="Aucune"/>
    <s v="NON"/>
    <s v="NON"/>
    <n v="6"/>
    <n v="6"/>
    <s v="Inconnu"/>
    <n v="1"/>
    <n v="1"/>
    <s v="Inconnu"/>
    <s v="Transfusé"/>
    <n v="5"/>
    <s v="CT"/>
    <s v="Aucun"/>
    <s v="Aucun"/>
    <s v="OUI"/>
  </r>
  <r>
    <x v="1"/>
    <s v="ENGELS"/>
    <s v="571130ME01"/>
    <d v="1957-11-30T00:00:00"/>
    <n v="59.219178082191782"/>
    <s v=" "/>
    <s v="EL MOURAD"/>
    <s v="ERASME CARDIO"/>
    <s v="ERASME CARDIO"/>
    <s v="BE"/>
    <s v="M"/>
    <d v="2017-02-03T00:00:00"/>
    <d v="2016-10-25T00:00:00"/>
    <s v="CABG"/>
    <x v="1"/>
    <x v="1"/>
    <n v="0"/>
    <n v="0"/>
    <n v="1"/>
    <s v="MIDCAB"/>
    <m/>
    <m/>
    <m/>
    <m/>
    <m/>
    <m/>
    <m/>
    <m/>
    <m/>
    <m/>
    <s v="4R/1Plaq"/>
    <n v="5"/>
    <m/>
    <m/>
    <n v="5"/>
    <d v="2017-02-04T00:00:00"/>
    <n v="1"/>
    <d v="2017-02-08T00:00:00"/>
    <n v="5"/>
    <x v="0"/>
    <n v="1"/>
    <s v="ELECTIVE"/>
    <s v="D"/>
    <m/>
    <m/>
    <m/>
    <s v="ENGELS"/>
    <d v="2017-03-03T00:00:00"/>
    <d v="2017-02-20T00:00:00"/>
    <s v="Y"/>
    <m/>
    <d v="2017-05-15T00:00:00"/>
    <s v="Y"/>
    <m/>
    <n v="0"/>
    <n v="1"/>
    <n v="1"/>
    <x v="0"/>
    <s v="Aucune"/>
    <s v="Transfusion"/>
    <s v="Aucune"/>
    <s v="NON"/>
    <s v="NON"/>
    <n v="5"/>
    <n v="5"/>
    <s v="Inconnu"/>
    <n v="1"/>
    <n v="1"/>
    <s v="Inconnu"/>
    <s v="Transfusé"/>
    <n v="5"/>
    <s v="ERASME"/>
    <s v="Aucun"/>
    <s v="Aucun"/>
    <s v="OUI"/>
  </r>
  <r>
    <x v="1"/>
    <s v="AMRI"/>
    <s v="650701MA03"/>
    <d v="1965-07-01T00:00:00"/>
    <n v="51.632876712328766"/>
    <s v=" "/>
    <s v="URGENCES"/>
    <s v="ERASME URGENCES"/>
    <s v="ERASME URGENCES"/>
    <s v="MLC"/>
    <s v="M"/>
    <d v="2017-02-04T00:00:00"/>
    <m/>
    <s v="CABG"/>
    <x v="1"/>
    <x v="1"/>
    <n v="0"/>
    <n v="0"/>
    <n v="3"/>
    <s v="PC"/>
    <m/>
    <m/>
    <m/>
    <m/>
    <m/>
    <m/>
    <m/>
    <m/>
    <m/>
    <n v="1"/>
    <s v="1R"/>
    <n v="1"/>
    <s v="2R"/>
    <n v="2"/>
    <n v="3"/>
    <d v="2017-02-13T00:00:00"/>
    <n v="9"/>
    <d v="2017-02-21T00:00:00"/>
    <n v="17"/>
    <x v="0"/>
    <n v="3"/>
    <s v="EMERGENCY"/>
    <s v="D"/>
    <m/>
    <m/>
    <m/>
    <s v="AMRI"/>
    <d v="2017-03-16T00:00:00"/>
    <d v="2017-02-27T00:00:00"/>
    <s v="Y"/>
    <m/>
    <d v="2017-05-22T00:00:00"/>
    <s v="Y"/>
    <m/>
    <n v="1"/>
    <n v="1"/>
    <n v="1"/>
    <x v="1"/>
    <s v="Infection"/>
    <s v="Transfusion"/>
    <s v="Transfusé"/>
    <s v="NON"/>
    <s v="NON"/>
    <n v="17"/>
    <n v="17"/>
    <s v="Inconnu"/>
    <n v="9"/>
    <n v="9"/>
    <s v="Inconnu"/>
    <s v="Transfusé"/>
    <n v="3"/>
    <s v="ERASME"/>
    <s v="Aucun"/>
    <s v="Aucun"/>
    <s v="NON"/>
  </r>
  <r>
    <x v="1"/>
    <s v="VAN CUTSEM"/>
    <s v="470628MVAA"/>
    <d v="1947-06-28T00:00:00"/>
    <n v="69.660273972602738"/>
    <s v=" "/>
    <s v="DROOGMANS"/>
    <s v="UZ JETTE"/>
    <s v="UZ JETTE"/>
    <s v="MLC"/>
    <s v="M"/>
    <d v="2017-02-06T00:00:00"/>
    <m/>
    <s v="CABG"/>
    <x v="1"/>
    <x v="1"/>
    <n v="0"/>
    <n v="0"/>
    <n v="2"/>
    <s v="PC"/>
    <m/>
    <m/>
    <m/>
    <m/>
    <m/>
    <m/>
    <m/>
    <m/>
    <m/>
    <m/>
    <m/>
    <m/>
    <m/>
    <m/>
    <n v="0"/>
    <d v="2017-02-07T00:00:00"/>
    <n v="1"/>
    <d v="2017-02-13T00:00:00"/>
    <n v="7"/>
    <x v="0"/>
    <n v="2"/>
    <s v="URGENCY"/>
    <s v="D"/>
    <m/>
    <m/>
    <m/>
    <s v="VAN CUTSEM"/>
    <d v="2017-03-09T00:00:00"/>
    <d v="2017-02-20T00:00:00"/>
    <s v="Y"/>
    <m/>
    <d v="2017-05-22T00:00:00"/>
    <s v="Y"/>
    <m/>
    <n v="0"/>
    <n v="0"/>
    <n v="1"/>
    <x v="2"/>
    <s v="Aucune"/>
    <s v="Aucune"/>
    <s v="Aucune"/>
    <s v="NON"/>
    <s v="NON"/>
    <n v="7"/>
    <n v="7"/>
    <s v="Inconnu"/>
    <n v="1"/>
    <n v="1"/>
    <s v="Inconnu"/>
    <s v="Aucune"/>
    <n v="0"/>
    <s v="UZ JETTE"/>
    <s v="Aucun"/>
    <s v="Aucun"/>
    <s v="NON"/>
  </r>
  <r>
    <x v="1"/>
    <s v="BAOUI"/>
    <s v="690426FB02"/>
    <d v="1969-04-26T00:00:00"/>
    <n v="47.819178082191783"/>
    <s v=" "/>
    <s v="HEDESHI"/>
    <s v="CHR HAUTE SENNE"/>
    <s v="CHR HAUTE SENNE"/>
    <s v="BE"/>
    <s v="F"/>
    <d v="2017-02-07T00:00:00"/>
    <d v="2017-02-07T00:00:00"/>
    <s v="MYXOME"/>
    <x v="4"/>
    <x v="3"/>
    <n v="0"/>
    <n v="0"/>
    <m/>
    <m/>
    <m/>
    <m/>
    <m/>
    <m/>
    <m/>
    <m/>
    <m/>
    <m/>
    <m/>
    <n v="1"/>
    <m/>
    <m/>
    <m/>
    <m/>
    <n v="0"/>
    <d v="2017-02-08T00:00:00"/>
    <n v="1"/>
    <d v="2017-02-14T00:00:00"/>
    <n v="7"/>
    <x v="0"/>
    <n v="1"/>
    <s v="ELECTIVE"/>
    <s v="D"/>
    <m/>
    <m/>
    <m/>
    <s v="BAOUI"/>
    <d v="2017-03-17T00:00:00"/>
    <d v="2017-02-27T00:00:00"/>
    <s v="Y"/>
    <m/>
    <d v="2017-05-15T00:00:00"/>
    <s v="Y"/>
    <s v="Message"/>
    <n v="1"/>
    <n v="0"/>
    <n v="1"/>
    <x v="0"/>
    <s v="Infection"/>
    <s v="Aucune"/>
    <s v="Aucune"/>
    <s v="NON"/>
    <s v="NON"/>
    <n v="7"/>
    <n v="7"/>
    <s v="Inconnu"/>
    <n v="1"/>
    <n v="1"/>
    <s v="Inconnu"/>
    <s v="Aucune"/>
    <n v="0"/>
    <s v="CHR HAUTE SENNE"/>
    <s v="Aucun"/>
    <s v="Aucun"/>
    <s v="OUI"/>
  </r>
  <r>
    <x v="1"/>
    <s v="KROPEK"/>
    <s v="411106FK01"/>
    <d v="1941-11-06T00:00:00"/>
    <n v="75.30958904109589"/>
    <s v=" "/>
    <s v="LENAERS"/>
    <s v="ERASME CARDIO"/>
    <s v="ERASME CARDIO"/>
    <s v="BE"/>
    <s v="F"/>
    <d v="2017-02-08T00:00:00"/>
    <d v="2016-12-13T00:00:00"/>
    <s v="CABG"/>
    <x v="1"/>
    <x v="1"/>
    <n v="0"/>
    <n v="0"/>
    <n v="2"/>
    <s v="OPCAB"/>
    <m/>
    <m/>
    <m/>
    <m/>
    <m/>
    <m/>
    <m/>
    <m/>
    <m/>
    <m/>
    <s v="1R"/>
    <n v="1"/>
    <m/>
    <m/>
    <n v="1"/>
    <d v="2017-02-09T00:00:00"/>
    <n v="1"/>
    <d v="2017-02-17T00:00:00"/>
    <n v="9"/>
    <x v="0"/>
    <n v="1"/>
    <s v="ELECTIVE"/>
    <s v="D"/>
    <m/>
    <m/>
    <m/>
    <s v="KROPEK"/>
    <d v="2017-03-10T00:00:00"/>
    <d v="2017-02-27T00:00:00"/>
    <s v="Y"/>
    <m/>
    <d v="2017-05-17T00:00:00"/>
    <s v="Y"/>
    <m/>
    <n v="0"/>
    <n v="1"/>
    <n v="1"/>
    <x v="0"/>
    <s v="Aucune"/>
    <s v="Transfusion"/>
    <s v="Aucune"/>
    <s v="NON"/>
    <s v="NON"/>
    <n v="9"/>
    <n v="9"/>
    <s v="Inconnu"/>
    <n v="1"/>
    <n v="1"/>
    <s v="Inconnu"/>
    <s v="Transfusé"/>
    <n v="1"/>
    <s v="ERASME"/>
    <s v="Aucun"/>
    <s v="Aucun"/>
    <s v="OUI"/>
  </r>
  <r>
    <x v="1"/>
    <s v="ATMANI"/>
    <s v="661026FA01"/>
    <d v="1966-10-26T00:00:00"/>
    <n v="50.323287671232876"/>
    <s v=" "/>
    <s v="URGENCES"/>
    <s v="ST-PIERRE"/>
    <s v="ST-PIERRE"/>
    <s v="BE"/>
    <s v="F"/>
    <d v="2017-02-08T00:00:00"/>
    <d v="2016-02-07T00:00:00"/>
    <s v="CABG"/>
    <x v="1"/>
    <x v="1"/>
    <n v="0"/>
    <n v="0"/>
    <n v="2"/>
    <s v="PC"/>
    <m/>
    <m/>
    <m/>
    <m/>
    <m/>
    <m/>
    <m/>
    <m/>
    <m/>
    <m/>
    <m/>
    <m/>
    <m/>
    <m/>
    <n v="0"/>
    <d v="2017-02-10T00:00:00"/>
    <n v="2"/>
    <d v="2017-02-15T00:00:00"/>
    <n v="7"/>
    <x v="0"/>
    <n v="2"/>
    <s v="URGENCY"/>
    <s v="D"/>
    <m/>
    <m/>
    <m/>
    <s v="ATMANI"/>
    <d v="2017-03-17T00:00:00"/>
    <d v="2017-02-16T00:00:00"/>
    <s v="Y"/>
    <m/>
    <d v="2017-05-17T00:00:00"/>
    <s v="Y"/>
    <s v="D+ épaule G"/>
    <n v="0"/>
    <n v="0"/>
    <n v="1"/>
    <x v="2"/>
    <s v="Aucune"/>
    <s v="Aucune"/>
    <s v="Aucune"/>
    <s v="NON"/>
    <s v="NON"/>
    <n v="7"/>
    <n v="7"/>
    <s v="Inconnu"/>
    <n v="2"/>
    <n v="2"/>
    <s v="Inconnu"/>
    <s v="Aucune"/>
    <n v="0"/>
    <s v="ST PIERRE"/>
    <s v="Aucun"/>
    <s v="Aucun"/>
    <s v="OUI"/>
  </r>
  <r>
    <x v="1"/>
    <s v="DE SMEDT"/>
    <s v="550318MD01"/>
    <d v="1955-03-18T00:00:00"/>
    <n v="61.942465753424656"/>
    <s v=" "/>
    <s v="RENARD"/>
    <s v="ERASME CARDIO"/>
    <s v="ERASME CARDIO"/>
    <s v="BE"/>
    <s v="M"/>
    <d v="2017-02-09T00:00:00"/>
    <d v="2016-02-07T00:00:00"/>
    <s v="CABG"/>
    <x v="1"/>
    <x v="1"/>
    <n v="0"/>
    <n v="0"/>
    <n v="3"/>
    <s v="PC"/>
    <m/>
    <m/>
    <m/>
    <m/>
    <m/>
    <m/>
    <m/>
    <m/>
    <m/>
    <m/>
    <m/>
    <m/>
    <m/>
    <m/>
    <n v="0"/>
    <d v="2017-02-10T00:00:00"/>
    <n v="1"/>
    <d v="2017-02-17T00:00:00"/>
    <n v="8"/>
    <x v="0"/>
    <n v="1"/>
    <s v="ELECTIVE"/>
    <s v="D"/>
    <m/>
    <m/>
    <m/>
    <s v="DE SMEDT"/>
    <d v="2017-03-17T00:00:00"/>
    <d v="2017-01-27T00:00:00"/>
    <s v="Y"/>
    <s v="épisode de FA-sous corda"/>
    <d v="2017-05-22T00:00:00"/>
    <s v="Y"/>
    <s v="Message"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ERASME"/>
    <s v="Aucun"/>
    <s v="Aucun"/>
    <s v="OUI"/>
  </r>
  <r>
    <x v="1"/>
    <s v="CARTON DE TOURNAI"/>
    <s v="540420MC02"/>
    <d v="1954-04-20T00:00:00"/>
    <n v="62.854794520547948"/>
    <s v=" "/>
    <s v="PREUMONT"/>
    <s v="ERASME CARDIO"/>
    <s v="ERASME CARDIO"/>
    <s v="MLC"/>
    <s v="M"/>
    <d v="2017-02-10T00:00:00"/>
    <d v="2017-01-31T00:00:00"/>
    <s v="CABG"/>
    <x v="1"/>
    <x v="1"/>
    <n v="0"/>
    <n v="0"/>
    <n v="2"/>
    <s v="PC"/>
    <m/>
    <m/>
    <m/>
    <m/>
    <m/>
    <m/>
    <m/>
    <m/>
    <m/>
    <m/>
    <m/>
    <m/>
    <m/>
    <m/>
    <n v="0"/>
    <d v="2017-02-11T00:00:00"/>
    <n v="1"/>
    <d v="2017-02-17T00:00:00"/>
    <n v="7"/>
    <x v="0"/>
    <n v="1"/>
    <s v="ELECTIVE"/>
    <s v="D"/>
    <m/>
    <m/>
    <m/>
    <s v="CARTON DE TOURNAI"/>
    <d v="2017-03-09T00:00:00"/>
    <d v="2017-02-27T00:00:00"/>
    <s v="Y"/>
    <m/>
    <d v="2017-05-22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1"/>
    <s v="BORENHOLC"/>
    <s v="340812MBAA"/>
    <d v="1934-08-12T00:00:00"/>
    <n v="82.556164383561651"/>
    <s v="1"/>
    <s v="LIPSKI"/>
    <s v="CHIREC EDITH CAVELL"/>
    <s v="CHIREC EDITH CAVELL"/>
    <s v="BE"/>
    <s v="M"/>
    <d v="2017-02-10T00:00:00"/>
    <m/>
    <s v="AVR"/>
    <x v="2"/>
    <x v="2"/>
    <s v="AVR"/>
    <s v="AVR"/>
    <m/>
    <m/>
    <s v="CE"/>
    <s v="B"/>
    <n v="21"/>
    <m/>
    <m/>
    <m/>
    <m/>
    <m/>
    <m/>
    <m/>
    <s v="1 Plaq"/>
    <n v="1"/>
    <m/>
    <m/>
    <n v="1"/>
    <d v="2017-02-11T00:00:00"/>
    <n v="1"/>
    <d v="2017-02-28T00:00:00"/>
    <n v="18"/>
    <x v="0"/>
    <n v="2"/>
    <s v="URGENCY"/>
    <s v="R"/>
    <m/>
    <m/>
    <m/>
    <s v="BORENHOLC"/>
    <d v="2017-03-31T00:00:00"/>
    <d v="2017-03-13T00:00:00"/>
    <s v="Y"/>
    <s v="Cardiologue-"/>
    <d v="2017-06-09T00:00:00"/>
    <s v="Y"/>
    <s v="Message"/>
    <n v="0"/>
    <n v="1"/>
    <n v="1"/>
    <x v="2"/>
    <s v="Aucune"/>
    <s v="Transfusion"/>
    <s v="Aucune"/>
    <s v="NON"/>
    <s v="NON"/>
    <n v="18"/>
    <n v="18"/>
    <s v="Inconnu"/>
    <n v="1"/>
    <n v="1"/>
    <s v="Inconnu"/>
    <s v="Transfusé"/>
    <n v="1"/>
    <s v="CHIREC"/>
    <s v="Aucun"/>
    <s v="Aucun"/>
    <s v="NON"/>
  </r>
  <r>
    <x v="1"/>
    <s v="BENOUT"/>
    <s v="460526MBAA"/>
    <d v="1946-05-26T00:00:00"/>
    <n v="70.761643835616439"/>
    <s v=" "/>
    <s v="USI"/>
    <s v="ERASME USI"/>
    <s v="ERASME USI"/>
    <s v="GVN"/>
    <s v="M"/>
    <d v="2017-02-10T00:00:00"/>
    <m/>
    <s v="AVR + CABG"/>
    <x v="3"/>
    <x v="0"/>
    <s v="CABG + V"/>
    <n v="0"/>
    <n v="2"/>
    <s v="PC"/>
    <s v="Medtronic"/>
    <s v="M"/>
    <n v="23"/>
    <d v="2017-02-11T00:00:00"/>
    <n v="1"/>
    <m/>
    <m/>
    <m/>
    <m/>
    <m/>
    <s v="17R/18Plas/1Plaq"/>
    <n v="36"/>
    <m/>
    <m/>
    <n v="36"/>
    <d v="2017-02-11T00:00:00"/>
    <n v="1"/>
    <d v="2017-02-11T00:00:00"/>
    <n v="1"/>
    <x v="1"/>
    <n v="2"/>
    <s v="URGENCY"/>
    <s v="/"/>
    <m/>
    <m/>
    <m/>
    <s v="BENOUT"/>
    <s v="/"/>
    <d v="2017-02-11T00:00:00"/>
    <s v="N"/>
    <s v="DCD salle d'op"/>
    <s v="/"/>
    <s v="N"/>
    <s v="DCD salle d'op"/>
    <n v="0"/>
    <n v="1"/>
    <n v="1"/>
    <x v="2"/>
    <s v="Aucune"/>
    <s v="Transfusion"/>
    <s v="Aucune"/>
    <s v="OUI"/>
    <s v="NON"/>
    <n v="1"/>
    <n v="1"/>
    <s v="Inconnu"/>
    <n v="1"/>
    <n v="1"/>
    <s v="Inconnu"/>
    <s v="Transfusé"/>
    <n v="36"/>
    <s v="ERASME"/>
    <s v="Aucun"/>
    <s v="Aucun"/>
    <s v="NON"/>
  </r>
  <r>
    <x v="1"/>
    <s v="BOUCHET LANAT"/>
    <s v="520916MB04"/>
    <d v="1952-09-16T00:00:00"/>
    <n v="64.452054794520549"/>
    <s v=" "/>
    <s v="USI"/>
    <s v="ERASME USI"/>
    <s v="ERASME USI"/>
    <s v="BE"/>
    <s v="M"/>
    <d v="2017-02-12T00:00:00"/>
    <m/>
    <s v="CABG"/>
    <x v="1"/>
    <x v="1"/>
    <n v="0"/>
    <n v="0"/>
    <n v="3"/>
    <s v="PC"/>
    <m/>
    <m/>
    <m/>
    <m/>
    <m/>
    <m/>
    <m/>
    <m/>
    <m/>
    <m/>
    <s v="4R/1Plaq"/>
    <n v="5"/>
    <m/>
    <m/>
    <n v="5"/>
    <d v="2017-02-16T00:00:00"/>
    <n v="4"/>
    <d v="2017-02-16T00:00:00"/>
    <n v="4"/>
    <x v="1"/>
    <n v="3"/>
    <s v="EMERGENCY"/>
    <s v="/"/>
    <m/>
    <m/>
    <m/>
    <s v="BOUCHET LANAT"/>
    <s v="/"/>
    <d v="2017-02-16T00:00:00"/>
    <s v="N"/>
    <s v="DCD "/>
    <s v="/"/>
    <s v="N"/>
    <s v="DCD "/>
    <n v="0"/>
    <n v="1"/>
    <n v="1"/>
    <x v="1"/>
    <s v="Aucune"/>
    <s v="Transfusion"/>
    <s v="Aucune"/>
    <s v="NON"/>
    <s v="NON"/>
    <n v="4"/>
    <n v="4"/>
    <s v="Inconnu"/>
    <n v="4"/>
    <n v="4"/>
    <s v="Inconnu"/>
    <s v="Transfusé"/>
    <n v="5"/>
    <s v="ERASME"/>
    <s v="Aucun"/>
    <s v="Aucun"/>
    <s v="NON"/>
  </r>
  <r>
    <x v="1"/>
    <s v="GARCIA GARCIA"/>
    <s v="630516MG01"/>
    <d v="1963-05-16T00:00:00"/>
    <n v="53.786301369863011"/>
    <s v=" "/>
    <s v="GASSAVELIS"/>
    <s v="GASSAVELIS"/>
    <s v="CT"/>
    <s v="MLC"/>
    <s v="M"/>
    <d v="2017-02-13T00:00:00"/>
    <d v="2017-01-24T00:00:00"/>
    <s v="CABG"/>
    <x v="1"/>
    <x v="1"/>
    <n v="0"/>
    <n v="0"/>
    <n v="3"/>
    <s v="PC"/>
    <m/>
    <m/>
    <m/>
    <m/>
    <m/>
    <m/>
    <m/>
    <m/>
    <m/>
    <m/>
    <s v="1R/1Plaq"/>
    <n v="2"/>
    <m/>
    <m/>
    <n v="2"/>
    <d v="2017-02-16T00:00:00"/>
    <n v="3"/>
    <d v="2017-02-21T00:00:00"/>
    <n v="8"/>
    <x v="0"/>
    <n v="1"/>
    <s v="ELECTIVE"/>
    <s v="R"/>
    <m/>
    <m/>
    <m/>
    <s v="GARCIA GARCIA"/>
    <d v="2017-03-16T00:00:00"/>
    <d v="2017-03-13T00:00:00"/>
    <s v="Y"/>
    <m/>
    <d v="2017-05-22T00:00:00"/>
    <s v="Y"/>
    <m/>
    <n v="0"/>
    <n v="1"/>
    <n v="1"/>
    <x v="0"/>
    <s v="Aucune"/>
    <s v="Transfusion"/>
    <s v="Aucune"/>
    <s v="NON"/>
    <s v="NON"/>
    <n v="8"/>
    <n v="8"/>
    <s v="Inconnu"/>
    <n v="3"/>
    <n v="3"/>
    <s v="Inconnu"/>
    <s v="Transfusé"/>
    <n v="2"/>
    <s v="CT"/>
    <s v="Aucun"/>
    <s v="Aucun"/>
    <s v="OUI"/>
  </r>
  <r>
    <x v="1"/>
    <s v="BURTON"/>
    <s v="480902MB03"/>
    <d v="1948-09-02T00:00:00"/>
    <n v="68.498630136986307"/>
    <s v=" "/>
    <s v="MED INT"/>
    <s v="ERASME MED INT"/>
    <s v="ERASME MED INT"/>
    <s v="GVN"/>
    <s v="M"/>
    <d v="2017-02-14T00:00:00"/>
    <d v="2017-02-14T00:00:00"/>
    <s v="AVR + CABG"/>
    <x v="3"/>
    <x v="0"/>
    <s v="CABG + V"/>
    <n v="0"/>
    <n v="1"/>
    <s v="PC"/>
    <s v="CE"/>
    <s v="B"/>
    <n v="25"/>
    <m/>
    <m/>
    <m/>
    <m/>
    <m/>
    <m/>
    <m/>
    <s v="5R"/>
    <n v="5"/>
    <m/>
    <m/>
    <n v="5"/>
    <d v="2017-02-21T00:00:00"/>
    <n v="7"/>
    <d v="2017-02-21T00:00:00"/>
    <n v="7"/>
    <x v="0"/>
    <n v="1"/>
    <s v="ELECTIVE"/>
    <s v="Med Interne"/>
    <m/>
    <m/>
    <m/>
    <s v="BURTON"/>
    <s v="/"/>
    <d v="2017-03-13T00:00:00"/>
    <s v="Y"/>
    <s v="Tjs hospit"/>
    <d v="2017-06-09T00:00:00"/>
    <s v="Y"/>
    <s v="patient a annulé son rdv,,,"/>
    <n v="0"/>
    <n v="1"/>
    <n v="1"/>
    <x v="0"/>
    <s v="Aucune"/>
    <s v="Transfusion"/>
    <s v="Aucune"/>
    <s v="NON"/>
    <s v="NON"/>
    <n v="7"/>
    <n v="7"/>
    <s v="Inconnu"/>
    <n v="7"/>
    <n v="7"/>
    <s v="Inconnu"/>
    <s v="Transfusé"/>
    <n v="5"/>
    <s v="ERASME"/>
    <s v="Aucun"/>
    <s v="Aucun"/>
    <s v="OUI"/>
  </r>
  <r>
    <x v="1"/>
    <s v="SROUJI"/>
    <s v="450804MSAA"/>
    <d v="1945-08-04T00:00:00"/>
    <n v="71.583561643835623"/>
    <s v=" "/>
    <s v="DAYEH"/>
    <s v="CHIREC BASILIQUE"/>
    <s v="CHIREC BASILIQUE"/>
    <s v="BE"/>
    <s v="M"/>
    <d v="2017-02-15T00:00:00"/>
    <d v="2017-02-07T00:00:00"/>
    <s v="CABG "/>
    <x v="1"/>
    <x v="1"/>
    <n v="0"/>
    <n v="0"/>
    <n v="3"/>
    <s v="PC"/>
    <m/>
    <m/>
    <m/>
    <m/>
    <m/>
    <m/>
    <m/>
    <m/>
    <m/>
    <m/>
    <m/>
    <m/>
    <m/>
    <m/>
    <n v="0"/>
    <d v="2017-02-16T00:00:00"/>
    <n v="1"/>
    <d v="2017-02-22T00:00:00"/>
    <n v="7"/>
    <x v="0"/>
    <n v="1"/>
    <s v="ELECTIVE"/>
    <s v="D"/>
    <m/>
    <m/>
    <m/>
    <s v="SROUJI"/>
    <d v="2017-03-17T00:00:00"/>
    <d v="2017-03-13T00:00:00"/>
    <s v="Y"/>
    <m/>
    <d v="2017-06-13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OUI"/>
  </r>
  <r>
    <x v="1"/>
    <s v="DJOULDE"/>
    <s v="630101FDAA"/>
    <d v="1963-01-01T00:00:00"/>
    <n v="54.164383561643838"/>
    <s v=" "/>
    <s v="LEMOGOUM"/>
    <s v="ERASME CARDIO"/>
    <s v="ERASME CARDIO"/>
    <s v="GVN"/>
    <s v="F"/>
    <d v="2017-02-16T00:00:00"/>
    <d v="2017-02-14T00:00:00"/>
    <s v="BENTALL"/>
    <x v="7"/>
    <x v="3"/>
    <n v="0"/>
    <s v="Aorte"/>
    <m/>
    <m/>
    <s v="Medtronic"/>
    <s v="M"/>
    <s v="27/30"/>
    <m/>
    <m/>
    <m/>
    <m/>
    <m/>
    <m/>
    <n v="1"/>
    <s v="8R/3Plas/2Plaq"/>
    <n v="13"/>
    <m/>
    <m/>
    <n v="13"/>
    <d v="2017-02-20T00:00:00"/>
    <n v="4"/>
    <d v="2017-03-01T00:00:00"/>
    <n v="13"/>
    <x v="0"/>
    <n v="1"/>
    <s v="ELECTIVE"/>
    <s v="D"/>
    <m/>
    <m/>
    <m/>
    <s v="DJOULDE"/>
    <s v="/"/>
    <d v="2017-03-13T00:00:00"/>
    <s v="Y"/>
    <m/>
    <s v="/"/>
    <m/>
    <s v="Pas en Belgique"/>
    <n v="1"/>
    <n v="1"/>
    <n v="1"/>
    <x v="0"/>
    <s v="Infection"/>
    <s v="Transfusion"/>
    <s v="Aucune"/>
    <s v="NON"/>
    <s v="NON"/>
    <n v="13"/>
    <n v="13"/>
    <s v="Inconnu"/>
    <n v="4"/>
    <n v="4"/>
    <s v="Inconnu"/>
    <s v="Transfusé"/>
    <n v="13"/>
    <s v="ERASME"/>
    <s v="Aucun"/>
    <s v="Aucun"/>
    <s v="OUI"/>
  </r>
  <r>
    <x v="1"/>
    <s v="HAMMOU"/>
    <s v="490701MH05"/>
    <d v="1949-07-01T00:00:00"/>
    <n v="67.679452054794524"/>
    <s v=" "/>
    <s v="JAMART"/>
    <s v="ERASME CARDIO"/>
    <s v="ERASME CARDIO"/>
    <s v="MLC"/>
    <s v="M"/>
    <d v="2017-02-17T00:00:00"/>
    <d v="2016-12-06T00:00:00"/>
    <s v="CABG"/>
    <x v="1"/>
    <x v="1"/>
    <n v="0"/>
    <n v="0"/>
    <n v="2"/>
    <s v="PC"/>
    <m/>
    <m/>
    <m/>
    <m/>
    <m/>
    <m/>
    <m/>
    <m/>
    <m/>
    <m/>
    <m/>
    <m/>
    <m/>
    <m/>
    <n v="0"/>
    <d v="2017-02-18T00:00:00"/>
    <n v="1"/>
    <d v="2017-02-24T00:00:00"/>
    <n v="7"/>
    <x v="0"/>
    <n v="1"/>
    <s v="ELECTIVE"/>
    <s v="D"/>
    <m/>
    <m/>
    <m/>
    <s v="HAMMOU"/>
    <d v="2017-03-23T00:00:00"/>
    <d v="2017-03-13T00:00:00"/>
    <s v="Y"/>
    <m/>
    <d v="2017-06-06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1"/>
    <s v="BAILLY"/>
    <s v="680813MBAA"/>
    <d v="1968-08-13T00:00:00"/>
    <n v="48.547945205479451"/>
    <s v=" "/>
    <s v="USI"/>
    <s v="ERASME USI"/>
    <s v="ERASME USI"/>
    <s v="BE"/>
    <s v="M"/>
    <d v="2017-02-17T00:00:00"/>
    <m/>
    <s v="HTX + ECMO"/>
    <x v="8"/>
    <x v="6"/>
    <s v="LVAD/HTX"/>
    <n v="0"/>
    <m/>
    <m/>
    <m/>
    <m/>
    <m/>
    <d v="2017-02-18T00:00:00"/>
    <n v="1"/>
    <n v="2"/>
    <m/>
    <m/>
    <m/>
    <m/>
    <m/>
    <m/>
    <m/>
    <m/>
    <n v="0"/>
    <d v="2017-02-24T00:00:00"/>
    <n v="7"/>
    <d v="2017-03-24T00:00:00"/>
    <n v="35"/>
    <x v="0"/>
    <n v="2"/>
    <s v="URGENCY"/>
    <s v="D"/>
    <m/>
    <m/>
    <m/>
    <s v="BAILLY"/>
    <s v="/"/>
    <s v="/"/>
    <m/>
    <s v="HTX"/>
    <s v="/"/>
    <m/>
    <s v="HTX"/>
    <n v="0"/>
    <n v="0"/>
    <n v="1"/>
    <x v="2"/>
    <s v="Aucune"/>
    <s v="Aucune"/>
    <s v="Aucune"/>
    <s v="OUI"/>
    <s v="NON"/>
    <n v="35"/>
    <s v="Inconnu"/>
    <n v="35"/>
    <n v="7"/>
    <s v="Inconnu"/>
    <n v="7"/>
    <s v="Aucune"/>
    <n v="0"/>
    <s v="ERASME"/>
    <s v="Aucun"/>
    <s v="Aucun"/>
    <s v="NON"/>
  </r>
  <r>
    <x v="1"/>
    <s v="VANHAVERBEKE"/>
    <s v="610630FV02"/>
    <d v="1961-06-30T00:00:00"/>
    <n v="55.682191780821917"/>
    <s v=" "/>
    <s v="VACHIERY"/>
    <s v="ERASME CARDIO"/>
    <s v="ERASME CARDIO"/>
    <s v="GVN"/>
    <s v="F"/>
    <d v="2017-02-20T00:00:00"/>
    <m/>
    <s v="HTX + ECMO"/>
    <x v="8"/>
    <x v="6"/>
    <s v="LVAD/HTX"/>
    <n v="0"/>
    <m/>
    <m/>
    <m/>
    <m/>
    <m/>
    <d v="2017-02-20T00:00:00"/>
    <n v="1"/>
    <n v="1"/>
    <m/>
    <m/>
    <m/>
    <m/>
    <m/>
    <m/>
    <m/>
    <m/>
    <n v="0"/>
    <d v="2017-03-14T00:00:00"/>
    <n v="22"/>
    <d v="2017-03-14T00:00:00"/>
    <n v="22"/>
    <x v="1"/>
    <n v="2"/>
    <s v="URGENCY"/>
    <s v="DCD usi"/>
    <m/>
    <m/>
    <m/>
    <s v="VANHAVERBEKE"/>
    <s v="/"/>
    <d v="2017-03-14T00:00:00"/>
    <s v="N"/>
    <s v="HTX- DCD"/>
    <s v="/"/>
    <s v="N"/>
    <s v="DCD "/>
    <n v="0"/>
    <n v="0"/>
    <n v="1"/>
    <x v="2"/>
    <s v="Aucune"/>
    <s v="Aucune"/>
    <s v="Aucune"/>
    <s v="OUI"/>
    <s v="NON"/>
    <n v="22"/>
    <s v="Inconnu"/>
    <n v="22"/>
    <n v="22"/>
    <s v="Inconnu"/>
    <n v="22"/>
    <s v="Aucune"/>
    <n v="0"/>
    <s v="ERASME"/>
    <s v="Aucun"/>
    <s v="Aucun"/>
    <s v="NON"/>
  </r>
  <r>
    <x v="1"/>
    <s v="PIERSOUL"/>
    <s v="811219FP02"/>
    <d v="1981-12-19T00:00:00"/>
    <n v="35.197260273972603"/>
    <s v=" "/>
    <s v="MIRICA"/>
    <s v="ERASME CARDIO"/>
    <s v="ERASME CARDIO"/>
    <s v="MLC"/>
    <s v="F"/>
    <d v="2017-02-20T00:00:00"/>
    <m/>
    <s v="MYXOME"/>
    <x v="4"/>
    <x v="3"/>
    <n v="0"/>
    <n v="0"/>
    <m/>
    <m/>
    <m/>
    <m/>
    <m/>
    <m/>
    <m/>
    <m/>
    <m/>
    <m/>
    <m/>
    <m/>
    <s v="1R"/>
    <n v="1"/>
    <m/>
    <m/>
    <n v="1"/>
    <d v="2017-02-21T00:00:00"/>
    <n v="1"/>
    <d v="2017-02-27T00:00:00"/>
    <n v="7"/>
    <x v="0"/>
    <n v="1"/>
    <s v="ELECTIVE"/>
    <s v="D"/>
    <m/>
    <m/>
    <m/>
    <s v="PIERSOUL"/>
    <d v="2017-03-30T00:00:00"/>
    <d v="2017-03-06T00:00:00"/>
    <s v="Y"/>
    <s v="péricardite sèche"/>
    <d v="2017-06-02T00:00:00"/>
    <s v="Y"/>
    <m/>
    <n v="0"/>
    <n v="1"/>
    <n v="1"/>
    <x v="0"/>
    <s v="Aucune"/>
    <s v="Transfusion"/>
    <s v="Aucune"/>
    <s v="NON"/>
    <s v="NON"/>
    <n v="7"/>
    <n v="7"/>
    <s v="Inconnu"/>
    <n v="1"/>
    <n v="1"/>
    <s v="Inconnu"/>
    <s v="Transfusé"/>
    <n v="1"/>
    <s v="ERASME"/>
    <s v="Aucun"/>
    <s v="Aucun"/>
    <s v="NON"/>
  </r>
  <r>
    <x v="1"/>
    <s v="WALCKIERS"/>
    <s v="340413MWAA"/>
    <d v="1934-04-13T00:00:00"/>
    <n v="82.917808219178085"/>
    <s v="1"/>
    <s v="BAR"/>
    <s v="CHIREC EDITH CAVELL"/>
    <s v="CHIREC EDITH CAVELL"/>
    <s v="BE"/>
    <s v="M"/>
    <d v="2017-02-21T00:00:00"/>
    <d v="2017-02-21T00:00:00"/>
    <s v="AVR + CABG"/>
    <x v="3"/>
    <x v="0"/>
    <s v="CABG + V"/>
    <n v="0"/>
    <n v="2"/>
    <s v="PC"/>
    <s v="CE"/>
    <s v="B"/>
    <n v="23"/>
    <d v="2017-02-22T00:00:00"/>
    <n v="1"/>
    <m/>
    <m/>
    <m/>
    <m/>
    <m/>
    <s v="9R/6Plas/3Plaq"/>
    <n v="18"/>
    <s v="1R"/>
    <n v="1"/>
    <n v="19"/>
    <d v="2017-02-24T00:00:00"/>
    <n v="3"/>
    <d v="2017-03-03T00:00:00"/>
    <n v="10"/>
    <x v="0"/>
    <n v="2"/>
    <s v="URGENCY"/>
    <s v="D"/>
    <m/>
    <m/>
    <m/>
    <s v="WALCKIERS"/>
    <d v="2017-03-31T00:00:00"/>
    <d v="2017-03-10T00:00:00"/>
    <s v="Y"/>
    <s v="Cardiologue ?"/>
    <d v="2017-06-02T00:00:00"/>
    <s v="Y"/>
    <m/>
    <n v="0"/>
    <n v="1"/>
    <n v="1"/>
    <x v="2"/>
    <s v="Aucune"/>
    <s v="Transfusion"/>
    <s v="Transfusé"/>
    <s v="OUI"/>
    <s v="NON"/>
    <n v="10"/>
    <n v="10"/>
    <s v="Inconnu"/>
    <n v="3"/>
    <n v="3"/>
    <s v="Inconnu"/>
    <s v="Transfusé"/>
    <n v="19"/>
    <s v="CHIREC"/>
    <s v="Aucun"/>
    <s v="Aucun"/>
    <s v="OUI"/>
  </r>
  <r>
    <x v="1"/>
    <s v="D'OLIVIER"/>
    <s v="320324MD04"/>
    <d v="1932-03-24T00:00:00"/>
    <n v="84.975342465753428"/>
    <s v="1"/>
    <s v="CARDIO"/>
    <s v="ERASME CARDIO"/>
    <s v="ERASME CARDIO"/>
    <s v="GVN"/>
    <s v="M"/>
    <d v="2017-02-22T00:00:00"/>
    <d v="2017-02-21T00:00:00"/>
    <s v="AVR + MVP"/>
    <x v="0"/>
    <x v="0"/>
    <n v="0"/>
    <s v="2 V ou plus"/>
    <m/>
    <m/>
    <s v="Medtronic"/>
    <s v="M"/>
    <n v="23"/>
    <d v="2017-02-23T00:00:00"/>
    <n v="1"/>
    <m/>
    <n v="1"/>
    <m/>
    <m/>
    <m/>
    <s v="7R/6Plas/1Plaq"/>
    <n v="14"/>
    <s v="1R/1Plq"/>
    <n v="2"/>
    <n v="16"/>
    <d v="2017-02-28T00:00:00"/>
    <n v="6"/>
    <d v="2017-03-24T00:00:00"/>
    <n v="30"/>
    <x v="0"/>
    <n v="2"/>
    <s v="URGENCY"/>
    <s v="D"/>
    <m/>
    <m/>
    <m/>
    <s v="D'OLIVIER"/>
    <s v="/"/>
    <d v="2017-03-31T00:00:00"/>
    <s v="Y"/>
    <m/>
    <d v="2017-06-30T00:00:00"/>
    <s v="Y"/>
    <s v="Message"/>
    <n v="0"/>
    <n v="1"/>
    <n v="1"/>
    <x v="2"/>
    <s v="Aucune"/>
    <s v="Transfusion"/>
    <s v="Transfusé"/>
    <s v="OUI"/>
    <s v="NON"/>
    <n v="30"/>
    <n v="30"/>
    <s v="Inconnu"/>
    <n v="6"/>
    <n v="6"/>
    <s v="Inconnu"/>
    <s v="Transfusé"/>
    <n v="16"/>
    <s v="ERASME"/>
    <s v="Aucun"/>
    <s v="Aucun"/>
    <s v="OUI"/>
  </r>
  <r>
    <x v="1"/>
    <s v="LOZANO E IBA"/>
    <s v="360516FL02"/>
    <d v="1936-05-16T00:00:00"/>
    <n v="80.830136986301369"/>
    <s v="1"/>
    <s v="ABDESSATER"/>
    <s v="ABDESSATER"/>
    <s v="CT"/>
    <s v="BE"/>
    <s v="F"/>
    <d v="2017-02-23T00:00:00"/>
    <d v="2017-02-14T00:00:00"/>
    <s v="AVR"/>
    <x v="2"/>
    <x v="2"/>
    <s v="AVR"/>
    <s v="AVR"/>
    <m/>
    <m/>
    <s v="CE"/>
    <s v="B"/>
    <n v="21"/>
    <m/>
    <m/>
    <m/>
    <m/>
    <m/>
    <m/>
    <m/>
    <m/>
    <m/>
    <m/>
    <m/>
    <n v="0"/>
    <d v="2017-02-24T00:00:00"/>
    <n v="1"/>
    <d v="2017-03-03T00:00:00"/>
    <n v="8"/>
    <x v="0"/>
    <n v="1"/>
    <s v="ELECTIVE"/>
    <s v="D"/>
    <m/>
    <m/>
    <m/>
    <s v="LOZANO E IBA"/>
    <d v="2017-03-31T00:00:00"/>
    <d v="2017-03-10T00:00:00"/>
    <s v="Y"/>
    <m/>
    <d v="2017-06-09T00:00:00"/>
    <s v="Y"/>
    <m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CT"/>
    <s v="Aucun"/>
    <s v="Aucun"/>
    <s v="OUI"/>
  </r>
  <r>
    <x v="1"/>
    <s v="MACKOWIAK"/>
    <s v="390901FM02"/>
    <d v="1939-09-01T00:00:00"/>
    <n v="77.536986301369865"/>
    <s v=" "/>
    <s v="BERKENBOOM"/>
    <s v="ERASME CARDIO"/>
    <s v="ERASME CARDIO"/>
    <s v="MLC"/>
    <s v="F"/>
    <d v="2017-02-24T00:00:00"/>
    <m/>
    <s v="CABG"/>
    <x v="1"/>
    <x v="1"/>
    <n v="0"/>
    <n v="0"/>
    <n v="2"/>
    <s v="PC"/>
    <m/>
    <m/>
    <m/>
    <m/>
    <m/>
    <m/>
    <m/>
    <m/>
    <m/>
    <m/>
    <s v="2R"/>
    <n v="2"/>
    <m/>
    <m/>
    <n v="2"/>
    <d v="2017-02-28T00:00:00"/>
    <n v="4"/>
    <d v="2017-03-03T00:00:00"/>
    <n v="7"/>
    <x v="1"/>
    <n v="2"/>
    <s v="URGENCY"/>
    <s v="D"/>
    <m/>
    <m/>
    <m/>
    <s v="MACKOWIAK"/>
    <d v="2017-04-06T00:00:00"/>
    <d v="2017-03-10T00:00:00"/>
    <s v="Y"/>
    <m/>
    <d v="2017-06-02T00:00:00"/>
    <s v="N"/>
    <s v="DCD "/>
    <n v="0"/>
    <n v="1"/>
    <n v="1"/>
    <x v="2"/>
    <s v="Aucune"/>
    <s v="Transfusion"/>
    <s v="Aucune"/>
    <s v="NON"/>
    <s v="NON"/>
    <n v="7"/>
    <n v="7"/>
    <s v="Inconnu"/>
    <n v="4"/>
    <n v="4"/>
    <s v="Inconnu"/>
    <s v="Transfusé"/>
    <n v="2"/>
    <s v="ERASME"/>
    <s v="Aucun"/>
    <s v="Aucun"/>
    <s v="NON"/>
  </r>
  <r>
    <x v="1"/>
    <s v="QUEIROS PINTO"/>
    <s v="680720FQ01"/>
    <d v="1968-07-20T00:00:00"/>
    <n v="48.641095890410959"/>
    <s v=" "/>
    <s v="DESCAMPS"/>
    <s v="CHWAPI TOURNAI"/>
    <s v="CHWAPI TOURNAI"/>
    <s v="BE"/>
    <s v="F"/>
    <d v="2017-02-25T00:00:00"/>
    <d v="2017-02-21T00:00:00"/>
    <s v="CABG"/>
    <x v="1"/>
    <x v="1"/>
    <n v="0"/>
    <n v="0"/>
    <n v="2"/>
    <s v="PC"/>
    <m/>
    <m/>
    <m/>
    <m/>
    <m/>
    <m/>
    <m/>
    <m/>
    <m/>
    <m/>
    <s v="1R"/>
    <n v="1"/>
    <m/>
    <m/>
    <n v="1"/>
    <d v="2017-03-01T00:00:00"/>
    <n v="4"/>
    <d v="2017-03-07T00:00:00"/>
    <n v="10"/>
    <x v="0"/>
    <n v="2"/>
    <s v="URGENCY"/>
    <s v="D"/>
    <m/>
    <m/>
    <m/>
    <s v="QUEIROS PINTO"/>
    <d v="2017-04-14T00:00:00"/>
    <d v="2017-03-17T00:00:00"/>
    <s v="Y"/>
    <m/>
    <d v="2017-06-09T00:00:00"/>
    <s v="Y"/>
    <s v="Message"/>
    <n v="0"/>
    <n v="1"/>
    <n v="1"/>
    <x v="2"/>
    <s v="Aucune"/>
    <s v="Transfusion"/>
    <s v="Aucune"/>
    <s v="NON"/>
    <s v="NON"/>
    <n v="8"/>
    <n v="8"/>
    <s v="Inconnu"/>
    <n v="2"/>
    <n v="2"/>
    <s v="Inconnu"/>
    <s v="Transfusé"/>
    <n v="1"/>
    <s v="CHWAPI TOURNAI"/>
    <s v="Aucun"/>
    <s v="Aucun"/>
    <s v="OUI"/>
  </r>
  <r>
    <x v="1"/>
    <s v="PANDUCCIO"/>
    <s v="550309MPAB"/>
    <d v="1955-03-09T00:00:00"/>
    <n v="62.016438356164386"/>
    <s v=" "/>
    <s v="ROGOWSKY"/>
    <s v="CHIREC PARC LEOPOLD"/>
    <s v="CHIREC PARC LEOPOLD"/>
    <s v="MLC"/>
    <s v="M"/>
    <d v="2017-02-27T00:00:00"/>
    <d v="2017-02-21T00:00:00"/>
    <s v="CABG"/>
    <x v="1"/>
    <x v="1"/>
    <n v="0"/>
    <n v="0"/>
    <n v="3"/>
    <s v="PC"/>
    <m/>
    <m/>
    <m/>
    <m/>
    <m/>
    <m/>
    <m/>
    <m/>
    <m/>
    <m/>
    <m/>
    <m/>
    <m/>
    <m/>
    <n v="0"/>
    <d v="2017-02-28T00:00:00"/>
    <n v="1"/>
    <d v="2017-03-06T00:00:00"/>
    <n v="7"/>
    <x v="0"/>
    <n v="1"/>
    <s v="ELECTIVE"/>
    <s v="D"/>
    <m/>
    <m/>
    <m/>
    <s v="PANDUCCIO"/>
    <d v="2017-04-06T00:00:00"/>
    <d v="2017-03-13T00:00:00"/>
    <s v="Y"/>
    <m/>
    <d v="2017-06-06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OUI"/>
  </r>
  <r>
    <x v="1"/>
    <s v="FRAGAPANE"/>
    <s v="460503FFAA"/>
    <d v="1946-05-03T00:00:00"/>
    <n v="70.871232876712327"/>
    <s v=" "/>
    <s v="KHOUZAM"/>
    <s v="CHR HAUTE SENNE"/>
    <s v="CHR HAUTE SENNE"/>
    <s v="BE"/>
    <s v="F"/>
    <d v="2017-02-27T00:00:00"/>
    <d v="2017-03-07T00:00:00"/>
    <s v="CABG"/>
    <x v="1"/>
    <x v="1"/>
    <n v="0"/>
    <n v="0"/>
    <n v="4"/>
    <s v="PC"/>
    <m/>
    <m/>
    <m/>
    <m/>
    <m/>
    <m/>
    <m/>
    <m/>
    <m/>
    <m/>
    <s v="4R"/>
    <n v="4"/>
    <m/>
    <m/>
    <n v="4"/>
    <d v="2017-03-02T00:00:00"/>
    <n v="3"/>
    <d v="2017-03-13T00:00:00"/>
    <n v="14"/>
    <x v="0"/>
    <n v="1"/>
    <s v="ELECTIVE"/>
    <s v="Soignies"/>
    <m/>
    <m/>
    <m/>
    <s v="FRAGAPANE"/>
    <d v="2017-04-21T00:00:00"/>
    <d v="2017-04-24T00:00:00"/>
    <s v="Y"/>
    <m/>
    <d v="2017-06-27T00:00:00"/>
    <s v="Y"/>
    <m/>
    <n v="0"/>
    <n v="1"/>
    <n v="1"/>
    <x v="0"/>
    <s v="Aucune"/>
    <s v="Transfusion"/>
    <s v="Aucune"/>
    <s v="NON"/>
    <s v="NON"/>
    <n v="14"/>
    <n v="14"/>
    <s v="Inconnu"/>
    <n v="3"/>
    <n v="3"/>
    <s v="Inconnu"/>
    <s v="Transfusé"/>
    <n v="4"/>
    <s v="CHR HAUTE SENNE"/>
    <s v="Aucun"/>
    <s v="Aucun"/>
    <s v="OUI"/>
  </r>
  <r>
    <x v="1"/>
    <s v="BOOTH"/>
    <s v="470408MBAA"/>
    <d v="1947-04-08T00:00:00"/>
    <n v="69.942465753424656"/>
    <s v=" "/>
    <s v="MENASSEL"/>
    <s v="CHIREC BRAINE"/>
    <s v="CHIREC BRAINE"/>
    <s v="GVN"/>
    <s v="M"/>
    <d v="2017-02-28T00:00:00"/>
    <d v="2017-02-21T00:00:00"/>
    <s v="CABG"/>
    <x v="1"/>
    <x v="1"/>
    <n v="0"/>
    <n v="0"/>
    <n v="4"/>
    <s v="PC"/>
    <m/>
    <m/>
    <m/>
    <m/>
    <m/>
    <m/>
    <m/>
    <m/>
    <m/>
    <m/>
    <m/>
    <m/>
    <m/>
    <m/>
    <n v="0"/>
    <d v="2017-03-04T00:00:00"/>
    <n v="4"/>
    <d v="2017-03-11T00:00:00"/>
    <n v="11"/>
    <x v="0"/>
    <n v="1"/>
    <s v="ELECTIVE"/>
    <s v="D"/>
    <m/>
    <m/>
    <m/>
    <s v="BOOTH"/>
    <d v="2017-04-10T00:00:00"/>
    <d v="2017-03-17T00:00:00"/>
    <s v="Y"/>
    <m/>
    <d v="2017-06-09T00:00:00"/>
    <s v="Y"/>
    <m/>
    <n v="0"/>
    <n v="0"/>
    <n v="1"/>
    <x v="0"/>
    <s v="Aucune"/>
    <s v="Aucune"/>
    <s v="Aucune"/>
    <s v="NON"/>
    <s v="NON"/>
    <n v="11"/>
    <n v="11"/>
    <s v="Inconnu"/>
    <n v="4"/>
    <n v="4"/>
    <s v="Inconnu"/>
    <s v="Aucune"/>
    <n v="0"/>
    <s v="CHIREC"/>
    <s v="Aucun"/>
    <s v="Aucun"/>
    <s v="OUI"/>
  </r>
  <r>
    <x v="2"/>
    <s v="DE GREEF"/>
    <s v="300411MD09"/>
    <d v="1930-04-11T00:00:00"/>
    <n v="86.947945205479456"/>
    <s v="1"/>
    <s v="DEPAEPE"/>
    <s v="BRACOPS"/>
    <s v="BRACOPS"/>
    <s v="GVN"/>
    <s v="M"/>
    <d v="2017-03-01T00:00:00"/>
    <d v="2017-02-14T00:00:00"/>
    <s v="AVR + CABG"/>
    <x v="3"/>
    <x v="0"/>
    <s v="CABG + V"/>
    <n v="0"/>
    <n v="2"/>
    <s v="PC"/>
    <s v="CE"/>
    <s v="B"/>
    <n v="21"/>
    <d v="2017-03-01T00:00:00"/>
    <n v="1"/>
    <m/>
    <m/>
    <m/>
    <m/>
    <n v="1"/>
    <s v="5R/4Plas/2Plaq"/>
    <n v="11"/>
    <m/>
    <m/>
    <n v="11"/>
    <d v="2017-03-03T00:00:00"/>
    <n v="2"/>
    <d v="2017-03-22T00:00:00"/>
    <n v="21"/>
    <x v="0"/>
    <n v="1"/>
    <s v="ELECTIVE"/>
    <s v="R"/>
    <m/>
    <m/>
    <m/>
    <s v="DE GREEF"/>
    <d v="2017-04-26T00:00:00"/>
    <d v="2017-03-29T00:00:00"/>
    <s v="Y"/>
    <m/>
    <d v="2017-06-23T00:00:00"/>
    <s v="Y"/>
    <m/>
    <n v="1"/>
    <n v="1"/>
    <n v="1"/>
    <x v="0"/>
    <s v="Infection"/>
    <s v="Transfusion"/>
    <s v="Aucune"/>
    <s v="OUI"/>
    <s v="NON"/>
    <n v="21"/>
    <n v="21"/>
    <s v="Inconnu"/>
    <n v="2"/>
    <n v="2"/>
    <s v="Inconnu"/>
    <s v="Transfusé"/>
    <n v="11"/>
    <s v="BRACOPS"/>
    <s v="Aucun"/>
    <s v="Aucun"/>
    <s v="OUI"/>
  </r>
  <r>
    <x v="2"/>
    <s v="GORDENNE"/>
    <s v="520927MG01"/>
    <d v="1952-09-27T00:00:00"/>
    <n v="64.473972602739721"/>
    <s v=" "/>
    <s v="LEMOGOUM"/>
    <s v="ERASME CARDIO"/>
    <s v="ERASME CARDIO"/>
    <s v="BE"/>
    <s v="M"/>
    <d v="2017-03-03T00:00:00"/>
    <d v="2017-02-28T00:00:00"/>
    <s v="AVR + CABG"/>
    <x v="3"/>
    <x v="0"/>
    <s v="CABG + V"/>
    <n v="0"/>
    <n v="2"/>
    <s v="PC"/>
    <s v="CE"/>
    <s v="B"/>
    <n v="25"/>
    <m/>
    <m/>
    <m/>
    <m/>
    <m/>
    <m/>
    <n v="1"/>
    <s v="2Plas/1Plaq"/>
    <n v="3"/>
    <s v="1R"/>
    <n v="1"/>
    <n v="4"/>
    <d v="2017-04-06T00:00:00"/>
    <n v="34"/>
    <d v="2017-05-10T00:00:00"/>
    <n v="68"/>
    <x v="0"/>
    <n v="1"/>
    <s v="ELECTIVE"/>
    <s v="D"/>
    <m/>
    <m/>
    <m/>
    <s v="GORDENNE"/>
    <d v="2017-06-09T00:00:00"/>
    <d v="2017-05-17T00:00:00"/>
    <s v="Y"/>
    <m/>
    <d v="2017-08-08T00:00:00"/>
    <s v="Y"/>
    <m/>
    <n v="1"/>
    <n v="1"/>
    <n v="1"/>
    <x v="0"/>
    <s v="Infection"/>
    <s v="Transfusion"/>
    <s v="Transfusé"/>
    <s v="NON"/>
    <s v="NON"/>
    <n v="68"/>
    <n v="68"/>
    <s v="Inconnu"/>
    <n v="34"/>
    <n v="34"/>
    <s v="Inconnu"/>
    <s v="Transfusé"/>
    <n v="4"/>
    <s v="ERASME"/>
    <s v="Aucun"/>
    <s v="Aucun"/>
    <s v="OUI"/>
  </r>
  <r>
    <x v="2"/>
    <s v="ALGOET"/>
    <s v="490904MA01"/>
    <d v="1949-09-04T00:00:00"/>
    <n v="67.547945205479451"/>
    <s v=" "/>
    <s v="HEDESHI"/>
    <s v="CHR HAUTE SENNE"/>
    <s v="CT"/>
    <s v="MLC"/>
    <s v="M"/>
    <d v="2017-03-06T00:00:00"/>
    <d v="2017-02-28T00:00:00"/>
    <s v="CABG + MYXOME"/>
    <x v="1"/>
    <x v="1"/>
    <n v="0"/>
    <n v="0"/>
    <n v="2"/>
    <s v="PC"/>
    <m/>
    <m/>
    <m/>
    <m/>
    <m/>
    <m/>
    <m/>
    <m/>
    <m/>
    <n v="1"/>
    <m/>
    <m/>
    <m/>
    <m/>
    <n v="0"/>
    <d v="2017-03-07T00:00:00"/>
    <n v="1"/>
    <d v="2017-03-14T00:00:00"/>
    <n v="8"/>
    <x v="0"/>
    <n v="1"/>
    <s v="ELECTIVE"/>
    <s v="D"/>
    <m/>
    <m/>
    <m/>
    <s v="ALGOET"/>
    <d v="2017-04-20T00:00:00"/>
    <d v="2017-03-22T00:00:00"/>
    <s v="Y"/>
    <m/>
    <d v="2017-06-13T00:00:00"/>
    <s v="Y"/>
    <m/>
    <n v="1"/>
    <n v="0"/>
    <n v="1"/>
    <x v="0"/>
    <s v="Infection"/>
    <s v="Aucune"/>
    <s v="Aucune"/>
    <s v="NON"/>
    <s v="NON"/>
    <n v="8"/>
    <n v="8"/>
    <s v="Inconnu"/>
    <n v="1"/>
    <n v="1"/>
    <s v="Inconnu"/>
    <s v="Aucune"/>
    <n v="0"/>
    <s v="CT"/>
    <s v="Aucun"/>
    <s v="Aucun"/>
    <s v="OUI"/>
  </r>
  <r>
    <x v="2"/>
    <s v="HEUGENS"/>
    <s v="630905MH01"/>
    <d v="1963-09-05T00:00:00"/>
    <n v="53.539726027397258"/>
    <s v=" "/>
    <s v="HEDESHI"/>
    <s v="CHR HAUTE SENNE"/>
    <s v="CHR HAUTE SENNE"/>
    <s v="FV"/>
    <s v="M"/>
    <d v="2017-03-07T00:00:00"/>
    <d v="2017-02-28T00:00:00"/>
    <s v="MVP + TVP"/>
    <x v="0"/>
    <x v="0"/>
    <n v="0"/>
    <s v="2 V ou plus"/>
    <m/>
    <m/>
    <s v="Memo 3D/CE"/>
    <m/>
    <s v="34/34"/>
    <m/>
    <m/>
    <m/>
    <m/>
    <m/>
    <m/>
    <m/>
    <m/>
    <m/>
    <m/>
    <m/>
    <n v="0"/>
    <d v="2017-03-10T00:00:00"/>
    <n v="3"/>
    <d v="2017-03-21T00:00:00"/>
    <n v="14"/>
    <x v="0"/>
    <n v="1"/>
    <s v="ELECTIVE"/>
    <s v="D"/>
    <m/>
    <m/>
    <m/>
    <s v="HEUGENS"/>
    <d v="2017-04-18T00:00:00"/>
    <d v="2017-03-31T00:00:00"/>
    <s v="Y"/>
    <m/>
    <d v="2017-06-19T00:00:00"/>
    <s v="Y"/>
    <s v="Message"/>
    <n v="0"/>
    <n v="0"/>
    <n v="1"/>
    <x v="0"/>
    <s v="Aucune"/>
    <s v="Aucune"/>
    <s v="Aucune"/>
    <s v="NON"/>
    <s v="NON"/>
    <n v="14"/>
    <n v="14"/>
    <s v="Inconnu"/>
    <n v="3"/>
    <n v="3"/>
    <s v="Inconnu"/>
    <s v="Aucune"/>
    <n v="0"/>
    <s v="CHR HAUTE SENNE"/>
    <s v="Aucun"/>
    <s v="Aucun"/>
    <s v="OUI"/>
  </r>
  <r>
    <x v="2"/>
    <s v="EL MAYMOUNI"/>
    <s v="450701ME24"/>
    <d v="1945-07-01T00:00:00"/>
    <n v="71.731506849315068"/>
    <s v=" "/>
    <s v="URGENCES"/>
    <s v="ERASME URGENCES"/>
    <s v="ERASME URGENCES"/>
    <s v="BE"/>
    <s v="M"/>
    <d v="2017-03-07T00:00:00"/>
    <d v="2017-03-07T00:00:00"/>
    <s v="CABG"/>
    <x v="1"/>
    <x v="1"/>
    <n v="0"/>
    <n v="0"/>
    <n v="3"/>
    <s v="PC"/>
    <m/>
    <m/>
    <m/>
    <m/>
    <m/>
    <m/>
    <m/>
    <m/>
    <m/>
    <n v="1"/>
    <s v="1R"/>
    <n v="1"/>
    <m/>
    <m/>
    <n v="1"/>
    <d v="2017-03-08T00:00:00"/>
    <n v="1"/>
    <d v="2017-03-14T00:00:00"/>
    <n v="7"/>
    <x v="0"/>
    <n v="3"/>
    <s v="EMERGENCY"/>
    <s v="D"/>
    <m/>
    <m/>
    <m/>
    <s v="EL MAYMOUNI"/>
    <d v="2017-04-14T00:00:00"/>
    <d v="2017-03-22T00:00:00"/>
    <s v="Y"/>
    <s v="pas de cardiologue- Message"/>
    <d v="2017-06-13T00:00:00"/>
    <s v="Y"/>
    <s v="Message"/>
    <n v="1"/>
    <n v="1"/>
    <n v="1"/>
    <x v="1"/>
    <s v="Infection"/>
    <s v="Transfusion"/>
    <s v="Aucune"/>
    <s v="NON"/>
    <s v="NON"/>
    <n v="7"/>
    <n v="7"/>
    <s v="Inconnu"/>
    <n v="1"/>
    <n v="1"/>
    <s v="Inconnu"/>
    <s v="Transfusé"/>
    <n v="1"/>
    <s v="ERASME"/>
    <s v="Aucun"/>
    <s v="Aucun"/>
    <s v="OUI"/>
  </r>
  <r>
    <x v="2"/>
    <s v="CUCCA"/>
    <s v="350613MC01"/>
    <d v="1935-06-13T00:00:00"/>
    <n v="81.791780821917811"/>
    <s v="1"/>
    <s v="HEDESHI"/>
    <s v="CHR HAUTE SENNE"/>
    <s v="CHR HAUTE SENNE"/>
    <s v="FV"/>
    <s v="M"/>
    <d v="2017-03-08T00:00:00"/>
    <d v="2017-02-28T00:00:00"/>
    <s v="? (AVR)"/>
    <x v="2"/>
    <x v="2"/>
    <s v="AVR"/>
    <s v="AVR"/>
    <m/>
    <m/>
    <m/>
    <m/>
    <m/>
    <m/>
    <m/>
    <m/>
    <m/>
    <m/>
    <m/>
    <m/>
    <m/>
    <m/>
    <m/>
    <m/>
    <n v="0"/>
    <d v="2017-03-09T00:00:00"/>
    <n v="1"/>
    <d v="2017-03-16T00:00:00"/>
    <n v="8"/>
    <x v="0"/>
    <n v="1"/>
    <s v="ELECTIVE"/>
    <s v="D"/>
    <m/>
    <m/>
    <m/>
    <s v="CUCCA"/>
    <d v="2017-04-18T00:00:00"/>
    <d v="2017-03-27T00:00:00"/>
    <s v="Y"/>
    <s v="a eu suivi gériatrique ?"/>
    <d v="2017-06-16T00:00:00"/>
    <s v="Y"/>
    <m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CHR HAUTE SENNE"/>
    <s v="Aucun"/>
    <s v="Aucun"/>
    <s v="OUI"/>
  </r>
  <r>
    <x v="2"/>
    <s v="BOURGIGNONT"/>
    <s v="440220FB01"/>
    <d v="1944-02-20T00:00:00"/>
    <n v="73.095890410958901"/>
    <s v=" "/>
    <s v="PREUMONT"/>
    <s v="ERASME CARDIO"/>
    <s v="ERASME CARDIO"/>
    <s v="FV"/>
    <s v="F"/>
    <d v="2017-03-08T00:00:00"/>
    <m/>
    <s v="? (CABG)"/>
    <x v="1"/>
    <x v="1"/>
    <n v="0"/>
    <n v="0"/>
    <m/>
    <m/>
    <m/>
    <m/>
    <m/>
    <m/>
    <m/>
    <m/>
    <m/>
    <m/>
    <m/>
    <m/>
    <s v="1R"/>
    <n v="1"/>
    <m/>
    <m/>
    <n v="1"/>
    <d v="2017-03-09T00:00:00"/>
    <n v="1"/>
    <d v="2017-03-16T00:00:00"/>
    <n v="8"/>
    <x v="0"/>
    <n v="2"/>
    <s v="URGENCY"/>
    <s v="D"/>
    <m/>
    <m/>
    <m/>
    <s v="BOURGIGNONT"/>
    <d v="2017-04-18T00:00:00"/>
    <d v="2017-03-27T00:00:00"/>
    <s v="Y"/>
    <m/>
    <d v="2017-06-16T00:00:00"/>
    <s v="Y"/>
    <m/>
    <n v="0"/>
    <n v="1"/>
    <n v="1"/>
    <x v="2"/>
    <s v="Aucune"/>
    <s v="Transfusion"/>
    <s v="Aucune"/>
    <s v="NON"/>
    <s v="NON"/>
    <n v="8"/>
    <n v="8"/>
    <s v="Inconnu"/>
    <n v="1"/>
    <n v="1"/>
    <s v="Inconnu"/>
    <s v="Transfusé"/>
    <n v="1"/>
    <s v="ERASME"/>
    <s v="Aucun"/>
    <s v="Aucun"/>
    <s v="NON"/>
  </r>
  <r>
    <x v="2"/>
    <s v="MALKA"/>
    <s v="360101MM02"/>
    <d v="1936-01-01T00:00:00"/>
    <n v="81.238356164383561"/>
    <s v="1"/>
    <s v="URGENCES"/>
    <s v="ERASME URGENCES"/>
    <s v="ERASME URGENCES"/>
    <s v="BE"/>
    <s v="M"/>
    <d v="2017-03-08T00:00:00"/>
    <m/>
    <s v="AVR + MVP"/>
    <x v="0"/>
    <x v="0"/>
    <n v="0"/>
    <s v="2 V ou plus"/>
    <m/>
    <m/>
    <s v="CE"/>
    <s v="B"/>
    <n v="25"/>
    <m/>
    <m/>
    <m/>
    <m/>
    <m/>
    <m/>
    <m/>
    <m/>
    <m/>
    <m/>
    <m/>
    <n v="0"/>
    <d v="2017-03-08T00:00:00"/>
    <n v="0"/>
    <d v="2017-03-08T00:00:00"/>
    <n v="0"/>
    <x v="1"/>
    <n v="4"/>
    <s v="SALVAGE"/>
    <s v="/"/>
    <m/>
    <m/>
    <m/>
    <s v="MALKA"/>
    <s v="/"/>
    <d v="2017-03-08T00:00:00"/>
    <s v="N"/>
    <s v="DCD salle d'op"/>
    <s v="/"/>
    <s v="N"/>
    <s v="DCD salle d'op"/>
    <n v="0"/>
    <n v="0"/>
    <n v="1"/>
    <x v="3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NON"/>
  </r>
  <r>
    <x v="2"/>
    <s v="CROMMELYNCK"/>
    <s v="610406MC04"/>
    <d v="1961-04-06T00:00:00"/>
    <n v="55.972602739726028"/>
    <s v=" "/>
    <s v="GREGOIRE"/>
    <s v="GREGOIRE"/>
    <s v="CT"/>
    <s v="FV"/>
    <s v="M"/>
    <d v="2017-03-13T00:00:00"/>
    <d v="2017-03-07T00:00:00"/>
    <s v="AVR + CABG"/>
    <x v="3"/>
    <x v="0"/>
    <s v="CABG + V"/>
    <n v="0"/>
    <n v="3"/>
    <s v="PC"/>
    <s v="Medtronic"/>
    <s v="M"/>
    <n v="25"/>
    <m/>
    <m/>
    <m/>
    <m/>
    <m/>
    <m/>
    <n v="1"/>
    <m/>
    <m/>
    <m/>
    <m/>
    <n v="0"/>
    <d v="2017-03-14T00:00:00"/>
    <n v="1"/>
    <d v="2017-03-20T00:00:00"/>
    <n v="7"/>
    <x v="0"/>
    <n v="1"/>
    <s v="ELECTIVE"/>
    <s v="D"/>
    <m/>
    <m/>
    <m/>
    <s v="CROMMELYNCK"/>
    <d v="2017-04-18T00:00:00"/>
    <d v="2017-03-27T00:00:00"/>
    <s v="Y"/>
    <m/>
    <d v="2017-06-19T00:00:00"/>
    <s v="Y"/>
    <s v="Message"/>
    <n v="1"/>
    <n v="0"/>
    <n v="1"/>
    <x v="0"/>
    <s v="Infection"/>
    <s v="Aucune"/>
    <s v="Aucune"/>
    <s v="NON"/>
    <s v="NON"/>
    <n v="7"/>
    <n v="7"/>
    <s v="Inconnu"/>
    <n v="1"/>
    <n v="1"/>
    <s v="Inconnu"/>
    <s v="Aucune"/>
    <n v="0"/>
    <s v="CT"/>
    <s v="Aucun"/>
    <s v="Aucun"/>
    <s v="OUI"/>
  </r>
  <r>
    <x v="2"/>
    <s v="BERKANI"/>
    <s v="820518MBAA"/>
    <d v="1982-05-18T00:00:00"/>
    <n v="34.846575342465755"/>
    <s v=" "/>
    <s v="MISSOUNI"/>
    <s v="ERASME ETRANGER"/>
    <s v="ERASME ETRANGER"/>
    <s v="FV"/>
    <s v="M"/>
    <d v="2017-03-14T00:00:00"/>
    <d v="2017-03-07T00:00:00"/>
    <s v="? (FALLOT)"/>
    <x v="4"/>
    <x v="3"/>
    <n v="0"/>
    <n v="0"/>
    <m/>
    <m/>
    <m/>
    <m/>
    <m/>
    <m/>
    <m/>
    <m/>
    <m/>
    <m/>
    <m/>
    <m/>
    <s v="1R/3Plas/1Plaq"/>
    <n v="5"/>
    <m/>
    <m/>
    <n v="5"/>
    <d v="2017-03-15T00:00:00"/>
    <n v="1"/>
    <d v="2017-03-24T00:00:00"/>
    <n v="10"/>
    <x v="0"/>
    <n v="1"/>
    <s v="ELECTIVE"/>
    <s v="D"/>
    <m/>
    <m/>
    <m/>
    <s v="BERKANI"/>
    <s v="/"/>
    <s v="/"/>
    <s v="Y"/>
    <s v="Pas en Belgique"/>
    <s v="/"/>
    <m/>
    <s v="Pas en Belgique"/>
    <n v="0"/>
    <n v="1"/>
    <n v="1"/>
    <x v="0"/>
    <s v="Aucune"/>
    <s v="Transfusion"/>
    <s v="Aucune"/>
    <s v="NON"/>
    <s v="NON"/>
    <n v="10"/>
    <n v="10"/>
    <s v="Inconnu"/>
    <n v="1"/>
    <n v="1"/>
    <s v="Inconnu"/>
    <s v="Transfusé"/>
    <n v="5"/>
    <s v="ERASME"/>
    <s v="Aucun"/>
    <s v="Aucun"/>
    <s v="OUI"/>
  </r>
  <r>
    <x v="2"/>
    <s v="BELLIT"/>
    <s v="580701FB31"/>
    <d v="1958-07-01T00:00:00"/>
    <n v="58.745205479452054"/>
    <s v=" "/>
    <s v="ONGA"/>
    <s v="BRACOPS"/>
    <s v="BRACOPS"/>
    <s v="BE"/>
    <s v="F"/>
    <d v="2017-03-15T00:00:00"/>
    <d v="2017-03-14T00:00:00"/>
    <s v="CABG"/>
    <x v="1"/>
    <x v="1"/>
    <n v="0"/>
    <n v="0"/>
    <n v="3"/>
    <s v="PC"/>
    <m/>
    <m/>
    <m/>
    <m/>
    <m/>
    <m/>
    <m/>
    <m/>
    <m/>
    <n v="1"/>
    <s v="1R"/>
    <n v="1"/>
    <m/>
    <m/>
    <n v="1"/>
    <d v="2017-03-17T00:00:00"/>
    <n v="2"/>
    <d v="2017-03-24T00:00:00"/>
    <n v="9"/>
    <x v="0"/>
    <n v="1"/>
    <s v="ELECTIVE"/>
    <s v="D"/>
    <m/>
    <m/>
    <m/>
    <s v="BELLIT"/>
    <d v="2017-04-21T00:00:00"/>
    <d v="2017-03-31T00:00:00"/>
    <s v="Y"/>
    <s v="Message"/>
    <d v="2017-06-23T00:00:00"/>
    <s v="Y"/>
    <m/>
    <n v="1"/>
    <n v="1"/>
    <n v="1"/>
    <x v="0"/>
    <s v="Infection"/>
    <s v="Transfusion"/>
    <s v="Aucune"/>
    <s v="NON"/>
    <s v="NON"/>
    <n v="9"/>
    <n v="9"/>
    <s v="Inconnu"/>
    <n v="2"/>
    <n v="2"/>
    <s v="Inconnu"/>
    <s v="Transfusé"/>
    <n v="1"/>
    <s v="BRACOPS"/>
    <s v="Aucun"/>
    <s v="Aucun"/>
    <s v="OUI"/>
  </r>
  <r>
    <x v="2"/>
    <s v="MEURICE"/>
    <s v="410606FMAA"/>
    <d v="1941-06-06T00:00:00"/>
    <n v="75.827397260273969"/>
    <s v=" "/>
    <s v="HEDESHI"/>
    <s v="CHR HAUTE SENNE"/>
    <s v="CHR HAUTE SENNE"/>
    <s v="BE"/>
    <s v="F"/>
    <d v="2017-03-16T00:00:00"/>
    <d v="2017-03-14T00:00:00"/>
    <s v="CABG"/>
    <x v="1"/>
    <x v="1"/>
    <n v="0"/>
    <n v="0"/>
    <n v="3"/>
    <s v="PC"/>
    <m/>
    <m/>
    <m/>
    <m/>
    <m/>
    <m/>
    <m/>
    <m/>
    <m/>
    <n v="1"/>
    <s v="5R/2Plas"/>
    <n v="7"/>
    <s v="1R"/>
    <n v="1"/>
    <n v="8"/>
    <d v="2017-03-19T00:00:00"/>
    <n v="3"/>
    <d v="2017-04-07T00:00:00"/>
    <n v="22"/>
    <x v="0"/>
    <n v="2"/>
    <s v="URGENCY"/>
    <s v="Soignies"/>
    <m/>
    <m/>
    <m/>
    <s v="MEURICE"/>
    <d v="2017-04-28T00:00:00"/>
    <d v="2017-05-10T00:00:00"/>
    <s v="Y"/>
    <s v="jamais de réponse,,,en Revali ?"/>
    <d v="2017-07-12T00:00:00"/>
    <s v="Y"/>
    <m/>
    <n v="1"/>
    <n v="1"/>
    <n v="1"/>
    <x v="2"/>
    <s v="Infection"/>
    <s v="Transfusion"/>
    <s v="Transfusé"/>
    <s v="NON"/>
    <s v="NON"/>
    <n v="22"/>
    <n v="22"/>
    <s v="Inconnu"/>
    <n v="3"/>
    <n v="3"/>
    <s v="Inconnu"/>
    <s v="Transfusé"/>
    <n v="8"/>
    <s v="CHR HAUTE SENNE"/>
    <s v="Aucun"/>
    <s v="Aucun"/>
    <s v="OUI"/>
  </r>
  <r>
    <x v="2"/>
    <s v="GRYMONPREZ"/>
    <s v="471206MG01"/>
    <d v="1947-12-06T00:00:00"/>
    <n v="69.326027397260276"/>
    <s v=" "/>
    <s v="CREPLET"/>
    <s v="CREPLET"/>
    <s v="CT"/>
    <s v="FV"/>
    <s v="M"/>
    <d v="2017-03-17T00:00:00"/>
    <d v="2017-03-14T00:00:00"/>
    <s v="CABG + PM"/>
    <x v="1"/>
    <x v="1"/>
    <n v="0"/>
    <n v="0"/>
    <n v="5"/>
    <s v="PC"/>
    <m/>
    <m/>
    <m/>
    <m/>
    <m/>
    <m/>
    <m/>
    <m/>
    <m/>
    <m/>
    <m/>
    <m/>
    <m/>
    <m/>
    <n v="0"/>
    <d v="2017-03-19T00:00:00"/>
    <n v="2"/>
    <d v="2017-03-24T00:00:00"/>
    <n v="7"/>
    <x v="0"/>
    <n v="1"/>
    <s v="ELECTIVE"/>
    <s v="D"/>
    <m/>
    <m/>
    <m/>
    <s v="GRYMONPREZ"/>
    <d v="2017-04-25T00:00:00"/>
    <d v="2017-03-31T00:00:00"/>
    <s v="Y"/>
    <m/>
    <d v="2017-06-23T00:00:00"/>
    <s v="Y"/>
    <m/>
    <n v="0"/>
    <n v="0"/>
    <n v="1"/>
    <x v="0"/>
    <s v="Aucune"/>
    <s v="Aucune"/>
    <s v="Aucune"/>
    <s v="NON"/>
    <s v="NON"/>
    <n v="7"/>
    <n v="7"/>
    <s v="Inconnu"/>
    <n v="2"/>
    <n v="2"/>
    <s v="Inconnu"/>
    <s v="Aucune"/>
    <n v="0"/>
    <s v="CT"/>
    <s v="Aucun"/>
    <s v="Aucun"/>
    <s v="OUI"/>
  </r>
  <r>
    <x v="2"/>
    <s v="OVERLOOP"/>
    <s v="490215MO01"/>
    <d v="1949-02-15T00:00:00"/>
    <n v="68.128767123287673"/>
    <s v=" "/>
    <s v="URGENCES"/>
    <s v="ERASME URGENCES"/>
    <s v="ERASME URGENCES"/>
    <s v="BE"/>
    <s v="M"/>
    <d v="2017-03-17T00:00:00"/>
    <m/>
    <s v="CABG"/>
    <x v="1"/>
    <x v="1"/>
    <n v="0"/>
    <n v="0"/>
    <n v="3"/>
    <s v="PC"/>
    <m/>
    <m/>
    <m/>
    <m/>
    <m/>
    <m/>
    <m/>
    <m/>
    <m/>
    <m/>
    <s v="2R"/>
    <n v="2"/>
    <m/>
    <m/>
    <n v="2"/>
    <d v="2017-03-20T00:00:00"/>
    <n v="3"/>
    <d v="2017-03-24T00:00:00"/>
    <n v="7"/>
    <x v="0"/>
    <n v="3"/>
    <s v="EMERGENCY"/>
    <s v="D"/>
    <m/>
    <m/>
    <m/>
    <s v="OVERLOOP"/>
    <d v="2017-04-21T00:00:00"/>
    <d v="2017-03-31T00:00:00"/>
    <s v="Y"/>
    <m/>
    <d v="2017-06-23T00:00:00"/>
    <s v="Y"/>
    <m/>
    <n v="0"/>
    <n v="1"/>
    <n v="1"/>
    <x v="1"/>
    <s v="Aucune"/>
    <s v="Transfusion"/>
    <s v="Aucune"/>
    <s v="NON"/>
    <s v="NON"/>
    <n v="7"/>
    <n v="7"/>
    <s v="Inconnu"/>
    <n v="3"/>
    <n v="3"/>
    <s v="Inconnu"/>
    <s v="Transfusé"/>
    <n v="2"/>
    <s v="ERASME"/>
    <s v="Aucun"/>
    <s v="Aucun"/>
    <s v="NON"/>
  </r>
  <r>
    <x v="2"/>
    <s v="MAILLARD"/>
    <s v="591107FM02"/>
    <d v="1959-11-07T00:00:00"/>
    <n v="57.402739726027399"/>
    <s v=" "/>
    <s v="ROUSSOULIERES"/>
    <s v="ERASME VAD"/>
    <s v="ERASME VAD"/>
    <s v="FV"/>
    <s v="F"/>
    <d v="2017-03-19T00:00:00"/>
    <m/>
    <s v="HTX  "/>
    <x v="8"/>
    <x v="6"/>
    <s v="LVAD/HTX"/>
    <n v="0"/>
    <m/>
    <m/>
    <m/>
    <m/>
    <m/>
    <m/>
    <m/>
    <m/>
    <m/>
    <m/>
    <m/>
    <m/>
    <m/>
    <m/>
    <m/>
    <m/>
    <n v="0"/>
    <d v="2017-03-27T00:00:00"/>
    <n v="8"/>
    <d v="2017-04-05T00:00:00"/>
    <n v="17"/>
    <x v="0"/>
    <n v="2"/>
    <s v="URGENCY"/>
    <s v="D"/>
    <m/>
    <m/>
    <m/>
    <s v="MAILLARD"/>
    <s v="/"/>
    <s v="/"/>
    <m/>
    <s v="HTX"/>
    <s v="/"/>
    <m/>
    <s v="HTX"/>
    <n v="0"/>
    <n v="0"/>
    <n v="1"/>
    <x v="2"/>
    <s v="Aucune"/>
    <s v="Aucune"/>
    <s v="Aucune"/>
    <s v="NON"/>
    <s v="NON"/>
    <n v="17"/>
    <s v="Inconnu"/>
    <n v="17"/>
    <n v="8"/>
    <s v="Inconnu"/>
    <n v="8"/>
    <s v="Aucune"/>
    <n v="0"/>
    <s v="ERASME"/>
    <s v="Aucun"/>
    <s v="Aucun"/>
    <s v="NON"/>
  </r>
  <r>
    <x v="2"/>
    <s v="CERNOVS"/>
    <s v="510207MC05"/>
    <d v="1951-02-07T00:00:00"/>
    <n v="66.158904109589045"/>
    <s v=" "/>
    <s v="DE WILDE"/>
    <s v="ERASME VASCULAIRE"/>
    <s v="ERASME VASCULAIRE"/>
    <s v="MA"/>
    <s v="M"/>
    <d v="2017-03-20T00:00:00"/>
    <d v="2017-03-14T00:00:00"/>
    <s v="AVR + CABG"/>
    <x v="0"/>
    <x v="0"/>
    <n v="0"/>
    <s v="2 V ou plus"/>
    <n v="2"/>
    <s v="PC"/>
    <s v="CE"/>
    <s v="B"/>
    <n v="21"/>
    <m/>
    <m/>
    <m/>
    <m/>
    <n v="1"/>
    <m/>
    <m/>
    <s v="2R"/>
    <n v="2"/>
    <m/>
    <m/>
    <n v="2"/>
    <d v="2017-03-26T00:00:00"/>
    <n v="6"/>
    <d v="2017-03-30T00:00:00"/>
    <n v="10"/>
    <x v="0"/>
    <n v="1"/>
    <s v="ELECTIVE"/>
    <s v="D"/>
    <m/>
    <m/>
    <m/>
    <s v="CERNOVS"/>
    <d v="2017-04-24T00:00:00"/>
    <d v="2017-04-07T00:00:00"/>
    <s v="Y"/>
    <m/>
    <d v="2017-06-30T00:00:00"/>
    <s v="Y"/>
    <m/>
    <n v="0"/>
    <n v="1"/>
    <n v="1"/>
    <x v="0"/>
    <s v="Aucune"/>
    <s v="Transfusion"/>
    <s v="Aucune"/>
    <s v="NON"/>
    <s v="NON"/>
    <n v="10"/>
    <n v="10"/>
    <s v="Inconnu"/>
    <n v="6"/>
    <n v="6"/>
    <s v="Inconnu"/>
    <s v="Transfusé"/>
    <n v="2"/>
    <s v="ERASME"/>
    <s v="AVC"/>
    <s v="Aucun"/>
    <s v="OUI"/>
  </r>
  <r>
    <x v="2"/>
    <s v="DEVROEDE"/>
    <s v="580402MD04"/>
    <d v="1958-04-02T00:00:00"/>
    <n v="59.010958904109586"/>
    <s v=" "/>
    <s v="HEDESHI"/>
    <s v="CHR HAUTE SENNE"/>
    <s v="CHR HAUTE SENNE"/>
    <s v="FV"/>
    <s v="M"/>
    <d v="2017-03-22T00:00:00"/>
    <d v="2017-03-14T00:00:00"/>
    <s v="MVP  "/>
    <x v="5"/>
    <x v="4"/>
    <s v="MVP"/>
    <s v="MVP"/>
    <m/>
    <m/>
    <m/>
    <m/>
    <m/>
    <m/>
    <m/>
    <m/>
    <m/>
    <m/>
    <m/>
    <m/>
    <m/>
    <m/>
    <m/>
    <m/>
    <n v="0"/>
    <d v="2017-03-23T00:00:00"/>
    <n v="1"/>
    <d v="2017-03-29T00:00:00"/>
    <n v="7"/>
    <x v="0"/>
    <n v="1"/>
    <s v="ELECTIVE"/>
    <s v="D"/>
    <d v="2017-04-10T00:00:00"/>
    <n v="1"/>
    <s v="C"/>
    <s v="DEVROEDE"/>
    <d v="2017-05-02T00:00:00"/>
    <d v="2017-04-05T00:00:00"/>
    <s v="Y"/>
    <s v="paresthésie bras- D+dos-kiné?"/>
    <d v="2017-06-27T00:00:00"/>
    <s v="Y"/>
    <m/>
    <n v="0"/>
    <n v="0"/>
    <n v="1"/>
    <x v="0"/>
    <s v="Aucune"/>
    <s v="Aucune"/>
    <s v="Aucune"/>
    <s v="NON"/>
    <s v="OUI"/>
    <n v="7"/>
    <n v="7"/>
    <s v="Inconnu"/>
    <n v="1"/>
    <n v="1"/>
    <s v="Inconnu"/>
    <s v="Aucune"/>
    <n v="0"/>
    <s v="CHR HAUTE SENNE"/>
    <s v="Aucun"/>
    <s v="Aucun"/>
    <s v="OUI"/>
  </r>
  <r>
    <x v="2"/>
    <s v="PEREMANS"/>
    <s v="390727MP01"/>
    <d v="1939-07-27T00:00:00"/>
    <n v="77.706849315068496"/>
    <s v=" "/>
    <s v="BERKENBOOM"/>
    <s v="ERASME CARDIO"/>
    <s v="ERASME CARDIO"/>
    <s v="MLC"/>
    <s v="M"/>
    <d v="2017-03-22T00:00:00"/>
    <d v="2017-03-14T00:00:00"/>
    <s v="CABG"/>
    <x v="1"/>
    <x v="1"/>
    <n v="0"/>
    <n v="0"/>
    <n v="3"/>
    <s v="PC"/>
    <m/>
    <m/>
    <m/>
    <m/>
    <m/>
    <m/>
    <m/>
    <m/>
    <m/>
    <n v="1"/>
    <m/>
    <m/>
    <m/>
    <m/>
    <n v="0"/>
    <d v="2017-03-23T00:00:00"/>
    <n v="1"/>
    <d v="2017-03-30T00:00:00"/>
    <n v="8"/>
    <x v="0"/>
    <n v="1"/>
    <s v="ELECTIVE"/>
    <s v="D"/>
    <m/>
    <m/>
    <m/>
    <s v="PEREMANS"/>
    <d v="2017-04-27T00:00:00"/>
    <d v="2017-04-07T00:00:00"/>
    <s v="Y"/>
    <m/>
    <d v="2017-06-30T00:00:00"/>
    <s v="Y"/>
    <m/>
    <n v="1"/>
    <n v="0"/>
    <n v="1"/>
    <x v="0"/>
    <s v="Infection"/>
    <s v="Aucune"/>
    <s v="Aucune"/>
    <s v="NON"/>
    <s v="NON"/>
    <n v="8"/>
    <n v="8"/>
    <s v="Inconnu"/>
    <n v="1"/>
    <n v="1"/>
    <s v="Inconnu"/>
    <s v="Aucune"/>
    <n v="0"/>
    <s v="ERASME"/>
    <s v="Aucun"/>
    <s v="Aucun"/>
    <s v="OUI"/>
  </r>
  <r>
    <x v="2"/>
    <s v="CRASSAERT"/>
    <s v="340728MC03"/>
    <d v="1934-07-28T00:00:00"/>
    <n v="82.709589041095896"/>
    <s v="1"/>
    <s v="BERKENBOOM"/>
    <s v="ERASME CARDIO"/>
    <s v="ERASME CARDIO"/>
    <s v="FV"/>
    <s v="M"/>
    <d v="2017-03-23T00:00:00"/>
    <m/>
    <s v="? (MVP + CABG)"/>
    <x v="3"/>
    <x v="0"/>
    <s v="CABG + V"/>
    <n v="0"/>
    <m/>
    <m/>
    <m/>
    <m/>
    <m/>
    <m/>
    <m/>
    <m/>
    <m/>
    <m/>
    <m/>
    <m/>
    <m/>
    <m/>
    <m/>
    <m/>
    <n v="0"/>
    <d v="2017-03-26T00:00:00"/>
    <n v="3"/>
    <d v="2017-04-04T00:00:00"/>
    <n v="12"/>
    <x v="0"/>
    <n v="2"/>
    <s v="URGENCY"/>
    <s v="D"/>
    <m/>
    <m/>
    <m/>
    <s v="CRASSAERT"/>
    <d v="2017-05-02T00:00:00"/>
    <d v="2017-04-11T00:00:00"/>
    <s v="Y"/>
    <s v="pas de cardio"/>
    <d v="2017-07-12T00:00:00"/>
    <s v="Y"/>
    <m/>
    <n v="0"/>
    <n v="0"/>
    <n v="1"/>
    <x v="2"/>
    <s v="Aucune"/>
    <s v="Aucune"/>
    <s v="Aucune"/>
    <s v="NON"/>
    <s v="NON"/>
    <n v="12"/>
    <n v="12"/>
    <s v="Inconnu"/>
    <n v="3"/>
    <n v="3"/>
    <s v="Inconnu"/>
    <s v="Aucune"/>
    <n v="0"/>
    <s v="ERASME"/>
    <s v="Aucun"/>
    <s v="Aucun"/>
    <s v="NON"/>
  </r>
  <r>
    <x v="2"/>
    <s v="DE JESUS ALVES"/>
    <s v="610302FD01"/>
    <d v="1961-03-02T00:00:00"/>
    <n v="56.095890410958901"/>
    <s v=" "/>
    <s v="UC"/>
    <s v="ERASME CARDIO"/>
    <s v="ERASME CARDIO"/>
    <s v="BE"/>
    <s v="F"/>
    <d v="2017-03-23T00:00:00"/>
    <d v="2017-03-21T00:00:00"/>
    <s v="AVR"/>
    <x v="2"/>
    <x v="2"/>
    <s v="AVR"/>
    <s v="AVR"/>
    <m/>
    <m/>
    <s v="CE"/>
    <s v="B"/>
    <n v="19"/>
    <m/>
    <m/>
    <m/>
    <m/>
    <m/>
    <m/>
    <m/>
    <m/>
    <m/>
    <s v="2R"/>
    <n v="2"/>
    <n v="2"/>
    <d v="2017-04-05T00:00:00"/>
    <n v="13"/>
    <d v="2017-04-26T00:00:00"/>
    <n v="34"/>
    <x v="0"/>
    <n v="2"/>
    <s v="URGENCY"/>
    <s v="D"/>
    <m/>
    <m/>
    <m/>
    <s v="DE JESUS ALVES"/>
    <s v="/"/>
    <d v="2017-06-02T00:00:00"/>
    <s v="Y"/>
    <m/>
    <d v="2017-09-11T00:00:00"/>
    <s v="Y"/>
    <m/>
    <n v="0"/>
    <n v="1"/>
    <n v="1"/>
    <x v="2"/>
    <s v="Aucune"/>
    <s v="Transfusion"/>
    <s v="Transfusé"/>
    <s v="NON"/>
    <s v="NON"/>
    <n v="34"/>
    <n v="34"/>
    <s v="Inconnu"/>
    <n v="13"/>
    <n v="13"/>
    <s v="Inconnu"/>
    <s v="Transfusé"/>
    <n v="2"/>
    <s v="ERASME"/>
    <s v="Aucun"/>
    <s v="Aucun"/>
    <s v="OUI"/>
  </r>
  <r>
    <x v="2"/>
    <s v="COHEN"/>
    <s v="480331MC03"/>
    <d v="1948-03-31T00:00:00"/>
    <n v="69.024657534246572"/>
    <s v=" "/>
    <s v="URGENCES"/>
    <s v="ERASME URGENCES"/>
    <s v="ERASME URGENCES"/>
    <s v="FV"/>
    <s v="M"/>
    <d v="2017-03-23T00:00:00"/>
    <m/>
    <s v="CDA"/>
    <x v="4"/>
    <x v="3"/>
    <n v="0"/>
    <n v="0"/>
    <m/>
    <m/>
    <m/>
    <m/>
    <m/>
    <m/>
    <m/>
    <m/>
    <m/>
    <m/>
    <m/>
    <n v="1"/>
    <s v="11R/12Plas/3Plaq"/>
    <n v="26"/>
    <s v="5R"/>
    <n v="5"/>
    <n v="31"/>
    <d v="2017-04-15T00:00:00"/>
    <n v="23"/>
    <d v="2017-06-13T00:00:00"/>
    <n v="82"/>
    <x v="0"/>
    <n v="3"/>
    <s v="EMERGENCY"/>
    <s v="D"/>
    <m/>
    <m/>
    <m/>
    <s v="COHEN"/>
    <d v="2017-07-18T00:00:00"/>
    <d v="2017-06-23T00:00:00"/>
    <s v="Y"/>
    <m/>
    <d v="2017-09-11T00:00:00"/>
    <s v="Y"/>
    <m/>
    <n v="1"/>
    <n v="1"/>
    <n v="1"/>
    <x v="1"/>
    <s v="Infection"/>
    <s v="Transfusion"/>
    <s v="Transfusé"/>
    <s v="NON"/>
    <s v="NON"/>
    <n v="82"/>
    <n v="82"/>
    <s v="Inconnu"/>
    <n v="23"/>
    <n v="23"/>
    <s v="Inconnu"/>
    <s v="Transfusé"/>
    <n v="31"/>
    <s v="ERASME"/>
    <s v="Aucun"/>
    <s v="Aucun"/>
    <s v="NON"/>
  </r>
  <r>
    <x v="2"/>
    <s v="FERREIRA DA SILVA"/>
    <s v="540606MFAA"/>
    <d v="1954-06-06T00:00:00"/>
    <n v="62.841095890410962"/>
    <s v=" "/>
    <s v="EL MOURAD"/>
    <s v="ERASME CARDIO"/>
    <s v="ERASME CARDIO"/>
    <s v="MLC"/>
    <s v="M"/>
    <d v="2017-03-24T00:00:00"/>
    <d v="2017-03-14T00:00:00"/>
    <s v="CABG"/>
    <x v="1"/>
    <x v="1"/>
    <n v="0"/>
    <n v="0"/>
    <n v="3"/>
    <s v="PC"/>
    <m/>
    <m/>
    <m/>
    <m/>
    <m/>
    <m/>
    <m/>
    <m/>
    <m/>
    <m/>
    <s v="3R/2Plas/1Plaq"/>
    <n v="6"/>
    <m/>
    <m/>
    <n v="6"/>
    <d v="2017-03-25T00:00:00"/>
    <n v="1"/>
    <d v="2017-03-31T00:00:00"/>
    <n v="7"/>
    <x v="0"/>
    <n v="1"/>
    <s v="ELECTIVE"/>
    <s v="D"/>
    <m/>
    <m/>
    <m/>
    <s v="FERREIRA DA SILVA"/>
    <d v="2017-05-04T00:00:00"/>
    <d v="2017-04-07T00:00:00"/>
    <s v="Y"/>
    <s v="pas de cardio- Message"/>
    <d v="2017-06-30T00:00:00"/>
    <s v="Y"/>
    <m/>
    <n v="0"/>
    <n v="1"/>
    <n v="1"/>
    <x v="0"/>
    <s v="Aucune"/>
    <s v="Transfusion"/>
    <s v="Aucune"/>
    <s v="NON"/>
    <s v="NON"/>
    <n v="7"/>
    <n v="7"/>
    <s v="Inconnu"/>
    <n v="1"/>
    <n v="1"/>
    <s v="Inconnu"/>
    <s v="Transfusé"/>
    <n v="6"/>
    <s v="ERASME"/>
    <s v="Aucun"/>
    <s v="Aucun"/>
    <s v="OUI"/>
  </r>
  <r>
    <x v="2"/>
    <s v="MOEDBECK"/>
    <s v="470613MM02"/>
    <d v="1947-06-13T00:00:00"/>
    <n v="69.835616438356169"/>
    <s v=" "/>
    <s v="LENAERS"/>
    <s v="ERASME CARDIO"/>
    <s v="ERASME CARDIO"/>
    <s v="FV"/>
    <s v="M"/>
    <d v="2017-03-27T00:00:00"/>
    <d v="2017-03-21T00:00:00"/>
    <s v="MVP"/>
    <x v="5"/>
    <x v="4"/>
    <s v="MVP"/>
    <s v="MVP"/>
    <m/>
    <m/>
    <s v="CE"/>
    <m/>
    <n v="34"/>
    <m/>
    <m/>
    <m/>
    <m/>
    <m/>
    <m/>
    <n v="1"/>
    <m/>
    <m/>
    <m/>
    <m/>
    <n v="0"/>
    <d v="2017-03-28T00:00:00"/>
    <n v="1"/>
    <d v="2017-04-03T00:00:00"/>
    <n v="7"/>
    <x v="0"/>
    <n v="1"/>
    <s v="ELECTIVE"/>
    <s v="D"/>
    <m/>
    <m/>
    <m/>
    <s v="MOEDBECK"/>
    <d v="2017-05-02T00:00:00"/>
    <d v="2017-04-11T00:00:00"/>
    <s v="Y"/>
    <m/>
    <d v="2017-07-11T00:00:00"/>
    <s v="Y"/>
    <m/>
    <n v="1"/>
    <n v="0"/>
    <n v="1"/>
    <x v="0"/>
    <s v="Infection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2"/>
    <s v="SCHITTEKATTE"/>
    <s v="540104MS02"/>
    <d v="1954-01-04T00:00:00"/>
    <n v="63.268493150684932"/>
    <s v=" "/>
    <s v="RENARD"/>
    <s v="ERASME CARDIO"/>
    <s v="ERASME CARDIO"/>
    <s v="FV"/>
    <s v="M"/>
    <d v="2017-03-27T00:00:00"/>
    <d v="2017-03-14T00:00:00"/>
    <s v="LVAD"/>
    <x v="6"/>
    <x v="5"/>
    <s v="LVAD/HTX"/>
    <n v="0"/>
    <m/>
    <m/>
    <m/>
    <m/>
    <m/>
    <m/>
    <m/>
    <m/>
    <m/>
    <m/>
    <m/>
    <m/>
    <m/>
    <m/>
    <m/>
    <m/>
    <n v="0"/>
    <d v="2017-04-05T00:00:00"/>
    <n v="9"/>
    <d v="2017-04-11T00:00:00"/>
    <n v="15"/>
    <x v="0"/>
    <n v="2"/>
    <s v="URGENCY"/>
    <s v="D"/>
    <m/>
    <m/>
    <m/>
    <s v="SCHITTEKATTE"/>
    <s v="/"/>
    <s v="/"/>
    <m/>
    <s v="LVAD"/>
    <s v="/"/>
    <m/>
    <s v="LVAD"/>
    <n v="0"/>
    <n v="0"/>
    <n v="1"/>
    <x v="2"/>
    <s v="Aucune"/>
    <s v="Aucune"/>
    <s v="Aucune"/>
    <s v="NON"/>
    <s v="NON"/>
    <n v="15"/>
    <s v="Inconnu"/>
    <n v="15"/>
    <n v="9"/>
    <s v="Inconnu"/>
    <n v="9"/>
    <s v="Aucune"/>
    <n v="0"/>
    <s v="ERASME"/>
    <s v="Aucun"/>
    <s v="Aucun"/>
    <s v="OUI"/>
  </r>
  <r>
    <x v="2"/>
    <s v="EEMBEECK"/>
    <s v="600328MEAA"/>
    <d v="1960-03-28T00:00:00"/>
    <n v="57.038356164383565"/>
    <s v=" "/>
    <s v="UC"/>
    <s v="ERASME CARDIO"/>
    <s v="ERASME CARDIO"/>
    <s v="FV"/>
    <s v="M"/>
    <d v="2017-03-28T00:00:00"/>
    <d v="2017-03-14T00:00:00"/>
    <s v="CABG"/>
    <x v="1"/>
    <x v="1"/>
    <n v="0"/>
    <n v="0"/>
    <n v="3"/>
    <s v="PC"/>
    <m/>
    <m/>
    <m/>
    <m/>
    <m/>
    <m/>
    <n v="1"/>
    <m/>
    <m/>
    <n v="1"/>
    <s v="4R"/>
    <n v="4"/>
    <m/>
    <m/>
    <n v="4"/>
    <d v="2017-04-01T00:00:00"/>
    <n v="4"/>
    <d v="2017-04-12T00:00:00"/>
    <n v="15"/>
    <x v="0"/>
    <n v="1"/>
    <s v="ELECTIVE"/>
    <s v="D"/>
    <m/>
    <m/>
    <m/>
    <s v="EEMBEECK"/>
    <d v="2017-05-09T00:00:00"/>
    <d v="2017-04-24T00:00:00"/>
    <s v="Y"/>
    <m/>
    <d v="2017-07-12T00:00:00"/>
    <s v="Y"/>
    <m/>
    <n v="1"/>
    <n v="1"/>
    <n v="1"/>
    <x v="0"/>
    <s v="Infection"/>
    <s v="Transfusion"/>
    <s v="Aucune"/>
    <s v="NON"/>
    <s v="NON"/>
    <n v="15"/>
    <n v="15"/>
    <s v="Inconnu"/>
    <n v="4"/>
    <n v="4"/>
    <s v="Inconnu"/>
    <s v="Transfusé"/>
    <n v="4"/>
    <s v="ERASME"/>
    <s v="Aucun"/>
    <s v="Aucun"/>
    <s v="OUI"/>
  </r>
  <r>
    <x v="2"/>
    <s v="RAYAPEN"/>
    <s v="571126FR01"/>
    <d v="1957-11-26T00:00:00"/>
    <n v="59.37808219178082"/>
    <s v=" "/>
    <s v="ABRAMOWICZ"/>
    <s v="ERASME CARDIO"/>
    <s v="ERASME CARDIO"/>
    <s v="FV"/>
    <s v="F"/>
    <d v="2017-03-29T00:00:00"/>
    <d v="2017-03-21T00:00:00"/>
    <s v="TVR"/>
    <x v="2"/>
    <x v="2"/>
    <s v="TVR"/>
    <s v="TVR"/>
    <m/>
    <m/>
    <s v="CE"/>
    <s v="B"/>
    <n v="29"/>
    <m/>
    <m/>
    <m/>
    <n v="2"/>
    <m/>
    <m/>
    <m/>
    <s v="3R"/>
    <n v="3"/>
    <s v="1R"/>
    <n v="1"/>
    <n v="4"/>
    <d v="2017-04-06T00:00:00"/>
    <n v="8"/>
    <d v="2017-04-14T00:00:00"/>
    <n v="16"/>
    <x v="0"/>
    <n v="1"/>
    <s v="ELECTIVE"/>
    <s v="D"/>
    <m/>
    <m/>
    <m/>
    <s v="RAYAPEN"/>
    <d v="2017-05-09T00:00:00"/>
    <d v="2017-04-24T00:00:00"/>
    <s v="Y"/>
    <s v="Message"/>
    <d v="2017-08-02T00:00:00"/>
    <s v="Y"/>
    <m/>
    <n v="0"/>
    <n v="1"/>
    <n v="1"/>
    <x v="0"/>
    <s v="Aucune"/>
    <s v="Transfusion"/>
    <s v="Transfusé"/>
    <s v="NON"/>
    <s v="NON"/>
    <n v="16"/>
    <n v="16"/>
    <s v="Inconnu"/>
    <n v="8"/>
    <n v="8"/>
    <s v="Inconnu"/>
    <s v="Transfusé"/>
    <n v="4"/>
    <s v="ERASME"/>
    <s v="Aucun"/>
    <s v="Aucun"/>
    <s v="OUI"/>
  </r>
  <r>
    <x v="2"/>
    <s v="VERHIMST"/>
    <s v="460122MV01"/>
    <d v="1946-01-22T00:00:00"/>
    <n v="71.232876712328761"/>
    <s v=" "/>
    <s v="DEDOBBELEER"/>
    <s v="ERASME CARDIO"/>
    <s v="ERASME CARDIO"/>
    <s v="FV"/>
    <s v="M"/>
    <d v="2017-03-30T00:00:00"/>
    <d v="2017-03-21T00:00:00"/>
    <s v="AVR"/>
    <x v="2"/>
    <x v="2"/>
    <s v="AVR"/>
    <s v="AVR"/>
    <m/>
    <m/>
    <s v="CE"/>
    <s v="B"/>
    <n v="27"/>
    <m/>
    <m/>
    <m/>
    <m/>
    <m/>
    <m/>
    <m/>
    <m/>
    <m/>
    <m/>
    <m/>
    <n v="0"/>
    <d v="2017-03-31T00:00:00"/>
    <n v="1"/>
    <d v="2017-04-06T00:00:00"/>
    <n v="7"/>
    <x v="0"/>
    <n v="1"/>
    <s v="ELECTIVE"/>
    <s v="D"/>
    <m/>
    <m/>
    <m/>
    <s v="VERHIMST"/>
    <d v="2017-05-09T00:00:00"/>
    <d v="2017-04-18T00:00:00"/>
    <s v="Y"/>
    <m/>
    <d v="2017-07-12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2"/>
    <s v="CHENTOUF"/>
    <s v="650425FC02"/>
    <d v="1965-04-25T00:00:00"/>
    <n v="51.964383561643835"/>
    <s v=" "/>
    <s v="VAN DE BORNE"/>
    <s v="ERASME CARDIO"/>
    <s v="ERASME CARDIO"/>
    <s v="BE"/>
    <s v="F"/>
    <d v="2017-03-30T00:00:00"/>
    <d v="2017-03-21T00:00:00"/>
    <s v="AVR"/>
    <x v="2"/>
    <x v="2"/>
    <s v="AVR"/>
    <s v="AVR"/>
    <m/>
    <m/>
    <s v="ATS"/>
    <s v="M"/>
    <n v="21"/>
    <m/>
    <m/>
    <m/>
    <m/>
    <m/>
    <m/>
    <n v="1"/>
    <s v="1R"/>
    <n v="1"/>
    <s v="1R"/>
    <n v="1"/>
    <n v="2"/>
    <d v="2017-04-03T00:00:00"/>
    <n v="4"/>
    <d v="2017-04-11T00:00:00"/>
    <n v="12"/>
    <x v="0"/>
    <n v="1"/>
    <s v="ELECTIVE"/>
    <s v="D"/>
    <m/>
    <m/>
    <m/>
    <s v="CHENTOUF"/>
    <d v="2017-05-12T00:00:00"/>
    <d v="2017-04-18T00:00:00"/>
    <s v="Y"/>
    <m/>
    <d v="2017-07-11T00:00:00"/>
    <s v="Y"/>
    <m/>
    <n v="1"/>
    <n v="1"/>
    <n v="1"/>
    <x v="0"/>
    <s v="Infection"/>
    <s v="Transfusion"/>
    <s v="Transfusé"/>
    <s v="NON"/>
    <s v="NON"/>
    <n v="12"/>
    <n v="12"/>
    <s v="Inconnu"/>
    <n v="4"/>
    <n v="4"/>
    <s v="Inconnu"/>
    <s v="Transfusé"/>
    <n v="2"/>
    <s v="ERASME"/>
    <s v="Aucun"/>
    <s v="Aucun"/>
    <s v="OUI"/>
  </r>
  <r>
    <x v="2"/>
    <s v="PARADOMS"/>
    <s v="711008MP02"/>
    <d v="1971-10-08T00:00:00"/>
    <n v="45.509589041095893"/>
    <s v=" "/>
    <s v="URGENCES"/>
    <s v="ERASME URGENCES"/>
    <s v="ERASME URGENCES"/>
    <s v="MLC"/>
    <s v="M"/>
    <d v="2017-03-31T00:00:00"/>
    <d v="2017-03-28T00:00:00"/>
    <s v="CABG"/>
    <x v="1"/>
    <x v="1"/>
    <n v="0"/>
    <n v="0"/>
    <n v="4"/>
    <s v="PC"/>
    <m/>
    <m/>
    <m/>
    <m/>
    <m/>
    <m/>
    <m/>
    <m/>
    <m/>
    <m/>
    <m/>
    <m/>
    <m/>
    <m/>
    <n v="0"/>
    <d v="2017-04-03T00:00:00"/>
    <n v="3"/>
    <d v="2017-04-07T00:00:00"/>
    <n v="7"/>
    <x v="0"/>
    <n v="2"/>
    <s v="URGENCY"/>
    <s v="D"/>
    <m/>
    <m/>
    <m/>
    <s v="PARADOMS"/>
    <d v="2017-04-27T00:00:00"/>
    <d v="2017-04-18T00:00:00"/>
    <s v="Y"/>
    <s v="Message"/>
    <d v="2017-07-24T00:00:00"/>
    <s v="Y"/>
    <m/>
    <n v="0"/>
    <n v="0"/>
    <n v="1"/>
    <x v="2"/>
    <s v="Aucune"/>
    <s v="Aucune"/>
    <s v="Aucune"/>
    <s v="NON"/>
    <s v="NON"/>
    <n v="7"/>
    <n v="7"/>
    <s v="Inconnu"/>
    <n v="3"/>
    <n v="3"/>
    <s v="Inconnu"/>
    <s v="Aucune"/>
    <n v="0"/>
    <s v="ERASME"/>
    <s v="Aucun"/>
    <s v="Aucun"/>
    <s v="OUI"/>
  </r>
  <r>
    <x v="2"/>
    <s v="BENAMAR"/>
    <s v="600111MB04"/>
    <d v="1960-01-11T00:00:00"/>
    <n v="57.257534246575339"/>
    <s v=" "/>
    <s v="UC"/>
    <s v="ERASME CARDIO"/>
    <s v="ERASME CARDIO"/>
    <s v="BE"/>
    <s v="M"/>
    <d v="2017-03-31T00:00:00"/>
    <d v="2017-03-28T00:00:00"/>
    <s v="CABG"/>
    <x v="1"/>
    <x v="1"/>
    <n v="0"/>
    <n v="0"/>
    <n v="3"/>
    <s v="PC"/>
    <m/>
    <m/>
    <m/>
    <m/>
    <m/>
    <m/>
    <m/>
    <m/>
    <m/>
    <m/>
    <m/>
    <m/>
    <m/>
    <m/>
    <n v="0"/>
    <d v="2017-04-01T00:00:00"/>
    <n v="1"/>
    <d v="2017-04-07T00:00:00"/>
    <n v="7"/>
    <x v="0"/>
    <n v="1"/>
    <s v="ELECTIVE"/>
    <s v="D"/>
    <m/>
    <m/>
    <m/>
    <s v="BENAMAR"/>
    <d v="2017-04-28T00:00:00"/>
    <d v="2017-04-24T00:00:00"/>
    <s v="Y"/>
    <s v="infection plaie thorax"/>
    <d v="2017-07-24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3"/>
    <s v="DESOMER"/>
    <s v="420921MD03"/>
    <d v="1942-09-21T00:00:00"/>
    <n v="74.583561643835623"/>
    <s v=" "/>
    <s v="HEDESHI"/>
    <s v="CHR HAUTE SENNE"/>
    <s v="CHR HAUTE SENNE"/>
    <s v="FV"/>
    <s v="M"/>
    <d v="2017-04-03T00:00:00"/>
    <d v="2017-03-14T00:00:00"/>
    <s v="BENTALL"/>
    <x v="7"/>
    <x v="3"/>
    <n v="0"/>
    <s v="Aorte"/>
    <m/>
    <m/>
    <s v="Freestyle"/>
    <s v="B"/>
    <n v="29"/>
    <d v="2017-04-19T00:00:00"/>
    <n v="2"/>
    <n v="1"/>
    <m/>
    <m/>
    <m/>
    <n v="1"/>
    <s v="2Plas/1Plaq"/>
    <n v="3"/>
    <m/>
    <m/>
    <n v="3"/>
    <d v="2017-04-06T00:00:00"/>
    <n v="3"/>
    <d v="2017-05-02T00:00:00"/>
    <n v="29"/>
    <x v="0"/>
    <n v="1"/>
    <s v="ELECTIVE"/>
    <s v="D"/>
    <m/>
    <m/>
    <m/>
    <s v="DESOMER"/>
    <d v="2017-05-30T00:00:00"/>
    <d v="2017-05-10T00:00:00"/>
    <s v="Y"/>
    <m/>
    <d v="2017-08-02T00:00:00"/>
    <s v="Y"/>
    <m/>
    <n v="1"/>
    <n v="1"/>
    <n v="1"/>
    <x v="0"/>
    <s v="Infection"/>
    <s v="Transfusion"/>
    <s v="Aucune"/>
    <s v="NON"/>
    <s v="NON"/>
    <n v="29"/>
    <n v="29"/>
    <s v="Inconnu"/>
    <n v="3"/>
    <n v="3"/>
    <s v="Inconnu"/>
    <s v="Transfusé"/>
    <n v="3"/>
    <s v="CHR HAUTE SENNE"/>
    <s v="Aucun"/>
    <s v="Aucun"/>
    <s v="OUI"/>
  </r>
  <r>
    <x v="3"/>
    <s v="BINKIN"/>
    <s v="420917MB04"/>
    <d v="1942-09-17T00:00:00"/>
    <n v="74.594520547945208"/>
    <s v=" "/>
    <s v="LIPSKI"/>
    <s v="CHIREC EDITH CAVELL"/>
    <s v="CHIREC EDITH CAVELL"/>
    <s v="MA"/>
    <s v="M"/>
    <d v="2017-04-03T00:00:00"/>
    <m/>
    <s v="CABG"/>
    <x v="1"/>
    <x v="1"/>
    <n v="0"/>
    <n v="0"/>
    <n v="3"/>
    <s v="PC"/>
    <m/>
    <m/>
    <m/>
    <m/>
    <m/>
    <m/>
    <m/>
    <m/>
    <m/>
    <m/>
    <m/>
    <m/>
    <m/>
    <m/>
    <n v="0"/>
    <d v="2017-04-12T00:00:00"/>
    <n v="9"/>
    <d v="2017-04-26T00:00:00"/>
    <n v="23"/>
    <x v="0"/>
    <n v="1"/>
    <s v="ELECTIVE"/>
    <s v="R"/>
    <m/>
    <m/>
    <m/>
    <s v="BINKIN"/>
    <s v="/"/>
    <d v="2017-05-03T00:00:00"/>
    <s v="Y"/>
    <m/>
    <d v="2017-08-02T00:00:00"/>
    <s v="Y"/>
    <s v="Message"/>
    <n v="0"/>
    <n v="0"/>
    <n v="1"/>
    <x v="0"/>
    <s v="Aucune"/>
    <s v="Aucune"/>
    <s v="Aucune"/>
    <s v="NON"/>
    <s v="NON"/>
    <n v="23"/>
    <n v="23"/>
    <s v="Inconnu"/>
    <n v="9"/>
    <n v="9"/>
    <s v="Inconnu"/>
    <s v="Aucune"/>
    <n v="0"/>
    <s v="CHIREC"/>
    <s v="Aucun"/>
    <s v="Aucun"/>
    <s v="NON"/>
  </r>
  <r>
    <x v="3"/>
    <s v="PHILIPPE"/>
    <s v="630112FPAA"/>
    <d v="1963-01-12T00:00:00"/>
    <n v="54.263013698630139"/>
    <s v=" "/>
    <s v="HEDESHI"/>
    <s v="CHR HAUTE SENNE"/>
    <s v="CHR HAUTE SENNE"/>
    <s v="FV"/>
    <s v="F"/>
    <d v="2017-04-04T00:00:00"/>
    <d v="2017-04-04T00:00:00"/>
    <s v="? (CABG)"/>
    <x v="1"/>
    <x v="1"/>
    <n v="0"/>
    <n v="0"/>
    <m/>
    <m/>
    <m/>
    <m/>
    <m/>
    <m/>
    <m/>
    <m/>
    <m/>
    <m/>
    <m/>
    <n v="1"/>
    <m/>
    <m/>
    <m/>
    <m/>
    <n v="0"/>
    <d v="2017-04-11T00:00:00"/>
    <n v="7"/>
    <d v="2017-04-14T00:00:00"/>
    <n v="10"/>
    <x v="0"/>
    <n v="2"/>
    <s v="URGENCY"/>
    <s v="D"/>
    <m/>
    <m/>
    <m/>
    <s v="PHILIPPE"/>
    <d v="2017-05-16T00:00:00"/>
    <d v="2017-04-24T00:00:00"/>
    <s v="Y"/>
    <s v="Message"/>
    <d v="2017-08-02T00:00:00"/>
    <s v="Y"/>
    <s v="Message"/>
    <n v="1"/>
    <n v="0"/>
    <n v="1"/>
    <x v="2"/>
    <s v="Infection"/>
    <s v="Aucune"/>
    <s v="Aucune"/>
    <s v="NON"/>
    <s v="NON"/>
    <n v="10"/>
    <n v="10"/>
    <s v="Inconnu"/>
    <n v="7"/>
    <n v="7"/>
    <s v="Inconnu"/>
    <s v="Aucune"/>
    <n v="0"/>
    <s v="CHR HAUTE SENNE"/>
    <s v="Aucun"/>
    <s v="Aucun"/>
    <s v="OUI"/>
  </r>
  <r>
    <x v="3"/>
    <s v="NEBREDA"/>
    <s v="700128MN01"/>
    <d v="1970-01-28T00:00:00"/>
    <n v="47.213698630136989"/>
    <s v=" "/>
    <s v="PATIENT"/>
    <s v="PATIENT"/>
    <s v="PATIENT"/>
    <s v="FV"/>
    <s v="M"/>
    <d v="2017-04-04T00:00:00"/>
    <d v="2017-03-28T00:00:00"/>
    <s v="MVP"/>
    <x v="5"/>
    <x v="4"/>
    <s v="MVP"/>
    <s v="MVP"/>
    <m/>
    <m/>
    <s v="CE"/>
    <m/>
    <n v="32"/>
    <m/>
    <m/>
    <m/>
    <m/>
    <m/>
    <m/>
    <n v="1"/>
    <m/>
    <m/>
    <m/>
    <m/>
    <n v="0"/>
    <d v="2017-04-05T00:00:00"/>
    <n v="1"/>
    <d v="2017-04-10T00:00:00"/>
    <n v="6"/>
    <x v="0"/>
    <n v="1"/>
    <s v="ELECTIVE"/>
    <s v="D"/>
    <m/>
    <m/>
    <m/>
    <s v="NEBREDA"/>
    <d v="2017-05-09T00:00:00"/>
    <d v="2017-04-18T00:00:00"/>
    <s v="Y"/>
    <m/>
    <d v="2017-07-10T00:00:00"/>
    <s v="Y"/>
    <m/>
    <n v="1"/>
    <n v="0"/>
    <n v="1"/>
    <x v="0"/>
    <s v="Infection"/>
    <s v="Aucune"/>
    <s v="Aucune"/>
    <s v="NON"/>
    <s v="NON"/>
    <n v="6"/>
    <n v="6"/>
    <s v="Inconnu"/>
    <n v="1"/>
    <n v="1"/>
    <s v="Inconnu"/>
    <s v="Aucune"/>
    <n v="0"/>
    <s v="PATIENT"/>
    <s v="Aucun"/>
    <s v="Aucun"/>
    <s v="OUI"/>
  </r>
  <r>
    <x v="3"/>
    <s v="MUTLU"/>
    <s v="570727MM02"/>
    <d v="1957-07-27T00:00:00"/>
    <n v="59.728767123287675"/>
    <s v=" "/>
    <s v="VACHIERY"/>
    <s v="ERASME CARDIO"/>
    <s v="ERASME CARDIO"/>
    <s v="MA"/>
    <s v="M"/>
    <d v="2017-04-04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4-20T00:00:00"/>
    <n v="16"/>
    <d v="2017-05-11T00:00:00"/>
    <n v="37"/>
    <x v="0"/>
    <n v="2"/>
    <s v="URGENCY"/>
    <s v="D"/>
    <m/>
    <m/>
    <m/>
    <s v="MUTLU"/>
    <s v="/"/>
    <s v="/"/>
    <m/>
    <s v="HTX"/>
    <s v="/"/>
    <m/>
    <s v="HTX"/>
    <n v="0"/>
    <n v="0"/>
    <n v="1"/>
    <x v="2"/>
    <s v="Aucune"/>
    <s v="Aucune"/>
    <s v="Aucune"/>
    <s v="NON"/>
    <s v="NON"/>
    <n v="37"/>
    <s v="Inconnu"/>
    <n v="37"/>
    <n v="16"/>
    <s v="Inconnu"/>
    <n v="16"/>
    <s v="Aucune"/>
    <n v="0"/>
    <s v="ERASME"/>
    <s v="Aucun"/>
    <s v="Aucun"/>
    <s v="NON"/>
  </r>
  <r>
    <x v="3"/>
    <s v="FAKKA"/>
    <s v="340818FF02"/>
    <d v="1934-08-18T00:00:00"/>
    <n v="82.68767123287671"/>
    <s v="1"/>
    <s v="GERIATRIE"/>
    <s v="ERASME GERIATRIE"/>
    <s v="ERASME GERIATRIE"/>
    <s v="FV"/>
    <s v="F"/>
    <d v="2017-04-05T00:00:00"/>
    <m/>
    <s v="? (CABG)"/>
    <x v="1"/>
    <x v="1"/>
    <n v="0"/>
    <n v="0"/>
    <m/>
    <m/>
    <m/>
    <m/>
    <m/>
    <m/>
    <m/>
    <m/>
    <n v="1"/>
    <m/>
    <m/>
    <n v="1"/>
    <s v="4R"/>
    <n v="4"/>
    <m/>
    <m/>
    <n v="4"/>
    <d v="2017-04-11T00:00:00"/>
    <n v="6"/>
    <d v="2017-04-11T00:00:00"/>
    <n v="6"/>
    <x v="0"/>
    <n v="2"/>
    <s v="URGENCY"/>
    <s v="Geriatrie"/>
    <m/>
    <m/>
    <m/>
    <s v="FAKKA"/>
    <s v="/"/>
    <d v="2017-05-02T00:00:00"/>
    <s v="Y"/>
    <m/>
    <d v="2017-08-02T00:00:00"/>
    <s v="Y"/>
    <s v="Message"/>
    <n v="1"/>
    <n v="1"/>
    <n v="1"/>
    <x v="2"/>
    <s v="Infection"/>
    <s v="Transfusion"/>
    <s v="Aucune"/>
    <s v="NON"/>
    <s v="NON"/>
    <n v="6"/>
    <n v="6"/>
    <s v="Inconnu"/>
    <n v="6"/>
    <n v="6"/>
    <s v="Inconnu"/>
    <s v="Transfusé"/>
    <n v="4"/>
    <s v="ERASME"/>
    <s v="Aucun"/>
    <s v="Aucun"/>
    <s v="NON"/>
  </r>
  <r>
    <x v="3"/>
    <s v="KARRAZ"/>
    <s v="510701MK02"/>
    <d v="1951-07-01T00:00:00"/>
    <n v="65.808219178082197"/>
    <s v=" "/>
    <s v="NAJEM"/>
    <s v="NAJEM"/>
    <s v="CT"/>
    <s v="MLC"/>
    <s v="M"/>
    <d v="2017-04-05T00:00:00"/>
    <d v="2017-03-28T00:00:00"/>
    <s v="CABG"/>
    <x v="1"/>
    <x v="1"/>
    <n v="0"/>
    <n v="0"/>
    <n v="3"/>
    <s v="PC"/>
    <m/>
    <m/>
    <m/>
    <m/>
    <m/>
    <m/>
    <m/>
    <m/>
    <m/>
    <m/>
    <m/>
    <m/>
    <m/>
    <m/>
    <n v="0"/>
    <d v="2017-04-06T00:00:00"/>
    <n v="1"/>
    <d v="2017-04-11T00:00:00"/>
    <n v="6"/>
    <x v="0"/>
    <n v="1"/>
    <s v="ELECTIVE"/>
    <s v="D"/>
    <m/>
    <m/>
    <m/>
    <s v="KARRAZ"/>
    <d v="2017-05-11T00:00:00"/>
    <d v="2017-04-18T00:00:00"/>
    <s v="Y"/>
    <m/>
    <d v="2017-07-10T00:00:00"/>
    <s v="Y"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T"/>
    <s v="Aucun"/>
    <s v="Aucun"/>
    <s v="OUI"/>
  </r>
  <r>
    <x v="3"/>
    <s v="BENDOUNANE"/>
    <s v="720123MBAA"/>
    <d v="1972-01-23T00:00:00"/>
    <n v="45.232876712328768"/>
    <s v=" "/>
    <s v="MISSOUNI"/>
    <s v="ERASME ETRANGER"/>
    <s v="ERASME ETRANGER"/>
    <s v="FV"/>
    <s v="M"/>
    <d v="2017-04-06T00:00:00"/>
    <d v="2017-03-28T00:00:00"/>
    <s v="? (BENTALL)"/>
    <x v="7"/>
    <x v="3"/>
    <n v="0"/>
    <s v="Aorte"/>
    <m/>
    <m/>
    <m/>
    <m/>
    <m/>
    <m/>
    <m/>
    <m/>
    <n v="1"/>
    <m/>
    <m/>
    <m/>
    <s v="7R/7Plas/1Plaq"/>
    <n v="15"/>
    <m/>
    <m/>
    <n v="15"/>
    <d v="2017-04-11T00:00:00"/>
    <n v="5"/>
    <d v="2017-04-19T00:00:00"/>
    <n v="13"/>
    <x v="0"/>
    <n v="1"/>
    <s v="ELECTIVE"/>
    <s v="D"/>
    <m/>
    <m/>
    <m/>
    <s v="BENDOUNANE"/>
    <s v="/"/>
    <s v="/"/>
    <s v="Y"/>
    <s v="Pas en Belgique"/>
    <s v="/"/>
    <m/>
    <s v="Pas en Belgique"/>
    <n v="0"/>
    <n v="1"/>
    <n v="1"/>
    <x v="0"/>
    <s v="Aucune"/>
    <s v="Transfusion"/>
    <s v="Aucune"/>
    <s v="NON"/>
    <s v="NON"/>
    <n v="13"/>
    <n v="13"/>
    <s v="Inconnu"/>
    <n v="5"/>
    <n v="5"/>
    <s v="Inconnu"/>
    <s v="Transfusé"/>
    <n v="15"/>
    <s v="ERASME"/>
    <s v="Aucun"/>
    <s v="Aucun"/>
    <s v="OUI"/>
  </r>
  <r>
    <x v="3"/>
    <s v="LACROIX"/>
    <s v="710718ML02"/>
    <d v="1971-07-18T00:00:00"/>
    <n v="45.753424657534246"/>
    <s v=" "/>
    <s v="PREUMONT"/>
    <s v="ERASME CARDIO"/>
    <s v="ERASME CARDIO"/>
    <s v="MLC"/>
    <s v="M"/>
    <d v="2017-04-07T00:00:00"/>
    <d v="2017-03-28T00:00:00"/>
    <s v="CABG"/>
    <x v="1"/>
    <x v="1"/>
    <n v="0"/>
    <n v="0"/>
    <n v="2"/>
    <s v="PC"/>
    <m/>
    <m/>
    <m/>
    <m/>
    <m/>
    <m/>
    <m/>
    <m/>
    <m/>
    <m/>
    <m/>
    <m/>
    <m/>
    <m/>
    <n v="0"/>
    <d v="2017-04-08T00:00:00"/>
    <n v="1"/>
    <d v="2017-04-13T00:00:00"/>
    <n v="6"/>
    <x v="0"/>
    <n v="1"/>
    <s v="ELECTIVE"/>
    <s v="D"/>
    <m/>
    <m/>
    <m/>
    <s v="LACROIX"/>
    <d v="2017-05-16T00:00:00"/>
    <d v="2017-05-03T00:00:00"/>
    <s v="Y"/>
    <s v="impossible à joindre "/>
    <d v="2017-08-02T00:00:00"/>
    <s v="Y"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ERASME"/>
    <s v="Aucun"/>
    <s v="Aucun"/>
    <s v="OUI"/>
  </r>
  <r>
    <x v="3"/>
    <s v="YAYHA"/>
    <s v="660909MY01"/>
    <d v="1966-09-09T00:00:00"/>
    <n v="50.610958904109587"/>
    <s v=" "/>
    <s v="EL MOURAD"/>
    <s v="ERASME CARDIO"/>
    <s v="ERASME CARDIO"/>
    <s v="MA"/>
    <s v="M"/>
    <d v="2017-04-07T00:00:00"/>
    <d v="2017-04-04T00:00:00"/>
    <s v="CABG"/>
    <x v="1"/>
    <x v="1"/>
    <n v="0"/>
    <n v="0"/>
    <n v="3"/>
    <s v="PC"/>
    <m/>
    <m/>
    <m/>
    <m/>
    <m/>
    <m/>
    <m/>
    <m/>
    <m/>
    <m/>
    <m/>
    <m/>
    <m/>
    <m/>
    <n v="0"/>
    <d v="2017-04-08T00:00:00"/>
    <n v="1"/>
    <d v="2017-04-14T00:00:00"/>
    <n v="7"/>
    <x v="0"/>
    <n v="1"/>
    <s v="ELECTIVE"/>
    <s v="D"/>
    <m/>
    <m/>
    <m/>
    <s v="YAYHA"/>
    <d v="2017-05-17T00:00:00"/>
    <d v="2017-04-24T00:00:00"/>
    <s v="Y"/>
    <m/>
    <d v="2017-09-11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3"/>
    <s v="VERMEULEN"/>
    <s v="480801MV02"/>
    <d v="1948-08-01T00:00:00"/>
    <n v="68.736986301369868"/>
    <s v=" "/>
    <s v="URGENCES"/>
    <s v="ERASME URGENCES"/>
    <s v="ERASME URGENCES"/>
    <s v="BE"/>
    <s v="M"/>
    <d v="2017-04-10T00:00:00"/>
    <m/>
    <s v="CABG"/>
    <x v="1"/>
    <x v="1"/>
    <n v="0"/>
    <n v="0"/>
    <n v="3"/>
    <s v="OPCAB"/>
    <m/>
    <m/>
    <m/>
    <m/>
    <m/>
    <m/>
    <m/>
    <m/>
    <m/>
    <n v="1"/>
    <m/>
    <m/>
    <s v="1R"/>
    <n v="1"/>
    <n v="1"/>
    <d v="2017-04-24T00:00:00"/>
    <n v="14"/>
    <d v="2017-05-02T00:00:00"/>
    <n v="22"/>
    <x v="0"/>
    <n v="1"/>
    <s v="ELECTIVE"/>
    <s v="R"/>
    <m/>
    <m/>
    <m/>
    <s v="VERMEULEN"/>
    <d v="2017-05-26T00:00:00"/>
    <d v="2017-05-08T00:00:00"/>
    <s v="Y"/>
    <s v="Message"/>
    <d v="2017-08-02T00:00:00"/>
    <s v="Y"/>
    <m/>
    <n v="1"/>
    <n v="1"/>
    <n v="1"/>
    <x v="0"/>
    <s v="Infection"/>
    <s v="Transfusion"/>
    <s v="Transfusé"/>
    <s v="NON"/>
    <s v="NON"/>
    <n v="22"/>
    <n v="22"/>
    <s v="Inconnu"/>
    <n v="14"/>
    <n v="14"/>
    <s v="Inconnu"/>
    <s v="Transfusé"/>
    <n v="1"/>
    <s v="ERASME"/>
    <s v="Aucun"/>
    <s v="Aucun"/>
    <s v="NON"/>
  </r>
  <r>
    <x v="3"/>
    <s v="QODSI"/>
    <s v="670625MQ01"/>
    <d v="1967-06-25T00:00:00"/>
    <n v="49.827397260273976"/>
    <s v=" "/>
    <s v="VACHIERY"/>
    <s v="ERASME CARDIO"/>
    <s v="ERASME CARDIO"/>
    <s v="FV"/>
    <s v="M"/>
    <d v="2017-04-10T00:00:00"/>
    <d v="2017-04-04T00:00:00"/>
    <s v="Cure retour veineux"/>
    <x v="4"/>
    <x v="3"/>
    <n v="0"/>
    <n v="0"/>
    <m/>
    <m/>
    <m/>
    <m/>
    <m/>
    <m/>
    <m/>
    <m/>
    <m/>
    <m/>
    <m/>
    <m/>
    <m/>
    <m/>
    <m/>
    <m/>
    <n v="0"/>
    <d v="2017-04-11T00:00:00"/>
    <n v="1"/>
    <d v="2017-04-18T00:00:00"/>
    <n v="8"/>
    <x v="0"/>
    <n v="1"/>
    <s v="ELECTIVE"/>
    <s v="D"/>
    <m/>
    <m/>
    <m/>
    <s v="QODSI"/>
    <d v="2017-05-16T00:00:00"/>
    <d v="2017-02-03T00:00:00"/>
    <s v="Y"/>
    <m/>
    <d v="2017-07-24T00:00:00"/>
    <s v="Y"/>
    <s v="Message"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ERASME"/>
    <s v="Aucun"/>
    <s v="Aucun"/>
    <s v="OUI"/>
  </r>
  <r>
    <x v="3"/>
    <s v="AOURAJ"/>
    <s v="510402FA01"/>
    <d v="1951-04-02T00:00:00"/>
    <n v="66.07123287671233"/>
    <s v=" "/>
    <s v="LENAERS"/>
    <s v="ERASME CARDIO"/>
    <s v="ERASME CARDIO"/>
    <s v="FV"/>
    <s v="F"/>
    <d v="2017-04-11T00:00:00"/>
    <d v="2017-04-04T00:00:00"/>
    <s v="AVR"/>
    <x v="2"/>
    <x v="2"/>
    <s v="AVR"/>
    <s v="AVR"/>
    <m/>
    <m/>
    <s v="CE"/>
    <s v="B"/>
    <n v="21"/>
    <m/>
    <m/>
    <m/>
    <m/>
    <m/>
    <m/>
    <m/>
    <m/>
    <m/>
    <m/>
    <m/>
    <n v="0"/>
    <d v="2017-04-12T00:00:00"/>
    <n v="1"/>
    <d v="2017-04-21T00:00:00"/>
    <n v="10"/>
    <x v="0"/>
    <n v="1"/>
    <s v="ELECTIVE"/>
    <s v="D"/>
    <m/>
    <m/>
    <m/>
    <s v="AOURAJ"/>
    <d v="2017-05-23T00:00:00"/>
    <d v="2017-05-02T00:00:00"/>
    <s v="Y"/>
    <m/>
    <d v="2017-07-24T00:00:00"/>
    <s v="Y"/>
    <s v="Message"/>
    <n v="0"/>
    <n v="0"/>
    <n v="1"/>
    <x v="0"/>
    <s v="Aucune"/>
    <s v="Aucune"/>
    <s v="Aucune"/>
    <s v="NON"/>
    <s v="NON"/>
    <n v="10"/>
    <n v="10"/>
    <s v="Inconnu"/>
    <n v="1"/>
    <n v="1"/>
    <s v="Inconnu"/>
    <s v="Aucune"/>
    <n v="0"/>
    <s v="ERASME"/>
    <s v="Aucun"/>
    <s v="Aucun"/>
    <s v="OUI"/>
  </r>
  <r>
    <x v="3"/>
    <s v="MADMAD"/>
    <s v="490701MM10"/>
    <d v="1949-07-01T00:00:00"/>
    <n v="67.824657534246569"/>
    <s v=" "/>
    <s v="URGENCES"/>
    <s v="CHIREC PARC LEOPOLD"/>
    <s v="CHIREC PARC LEOPOLD"/>
    <s v="BE"/>
    <s v="M"/>
    <d v="2017-04-11T00:00:00"/>
    <d v="2017-04-11T00:00:00"/>
    <s v="CABG"/>
    <x v="1"/>
    <x v="1"/>
    <n v="0"/>
    <n v="0"/>
    <n v="3"/>
    <s v="PC"/>
    <m/>
    <m/>
    <m/>
    <m/>
    <m/>
    <m/>
    <m/>
    <m/>
    <m/>
    <m/>
    <m/>
    <m/>
    <m/>
    <m/>
    <n v="0"/>
    <d v="2017-04-12T00:00:00"/>
    <n v="1"/>
    <d v="2017-04-19T00:00:00"/>
    <n v="8"/>
    <x v="0"/>
    <n v="1"/>
    <s v="ELECTIVE"/>
    <s v="D"/>
    <m/>
    <m/>
    <m/>
    <s v="MADMAD"/>
    <d v="2017-05-19T00:00:00"/>
    <d v="2017-05-03T00:00:00"/>
    <s v="Y"/>
    <m/>
    <d v="2017-08-02T00:00:00"/>
    <s v="Y"/>
    <m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CHIREC"/>
    <s v="Aucun"/>
    <s v="Aucun"/>
    <s v="OUI"/>
  </r>
  <r>
    <x v="3"/>
    <s v="DUDICQ"/>
    <s v="360222MD04"/>
    <d v="1936-02-22T00:00:00"/>
    <n v="81.191780821917803"/>
    <s v="1"/>
    <s v="ABDESSATER"/>
    <s v="CHR HAUTE SENNE"/>
    <s v="CHR HAUTE SENNE"/>
    <s v="BE"/>
    <s v="M"/>
    <d v="2017-04-12T00:00:00"/>
    <d v="2017-04-04T00:00:00"/>
    <s v="AVR + CABG"/>
    <x v="3"/>
    <x v="0"/>
    <s v="CABG + V"/>
    <n v="0"/>
    <n v="1"/>
    <s v="PC"/>
    <s v="CE"/>
    <s v="B"/>
    <n v="23"/>
    <m/>
    <m/>
    <m/>
    <m/>
    <m/>
    <m/>
    <m/>
    <s v="4Plas/2Plaq"/>
    <n v="6"/>
    <m/>
    <m/>
    <n v="6"/>
    <d v="2017-04-13T00:00:00"/>
    <n v="1"/>
    <d v="2017-04-20T00:00:00"/>
    <n v="8"/>
    <x v="0"/>
    <n v="1"/>
    <s v="ELECTIVE"/>
    <s v="Soignies"/>
    <m/>
    <m/>
    <m/>
    <s v="DUDICQ"/>
    <d v="2017-05-26T00:00:00"/>
    <d v="2017-05-02T00:00:00"/>
    <s v="Y"/>
    <m/>
    <d v="2017-08-02T00:00:00"/>
    <s v="Y"/>
    <m/>
    <n v="0"/>
    <n v="1"/>
    <n v="1"/>
    <x v="0"/>
    <s v="Aucune"/>
    <s v="Transfusion"/>
    <s v="Aucune"/>
    <s v="NON"/>
    <s v="NON"/>
    <n v="8"/>
    <n v="8"/>
    <s v="Inconnu"/>
    <n v="1"/>
    <n v="1"/>
    <s v="Inconnu"/>
    <s v="Transfusé"/>
    <n v="6"/>
    <s v="CHR HAUTE SENNE"/>
    <s v="Aucun"/>
    <s v="Aucun"/>
    <s v="OUI"/>
  </r>
  <r>
    <x v="3"/>
    <s v="GONCALVES"/>
    <s v="600321FGAA"/>
    <d v="1960-03-21T00:00:00"/>
    <n v="57.104109589041094"/>
    <s v=" "/>
    <s v="KHOUZAM"/>
    <s v="KHOUZAM"/>
    <s v="CT"/>
    <s v="BE"/>
    <s v="F"/>
    <d v="2017-04-14T00:00:00"/>
    <d v="2017-04-04T00:00:00"/>
    <s v="AVR"/>
    <x v="2"/>
    <x v="2"/>
    <s v="AVR"/>
    <s v="AVR"/>
    <m/>
    <m/>
    <s v="ATS"/>
    <s v="M"/>
    <n v="21"/>
    <m/>
    <m/>
    <m/>
    <m/>
    <m/>
    <m/>
    <m/>
    <m/>
    <m/>
    <m/>
    <m/>
    <n v="0"/>
    <d v="2017-04-15T00:00:00"/>
    <n v="1"/>
    <d v="2017-04-19T00:00:00"/>
    <n v="5"/>
    <x v="0"/>
    <n v="1"/>
    <s v="ELECTIVE"/>
    <s v="Soignies"/>
    <m/>
    <m/>
    <m/>
    <s v="GONCALVES"/>
    <d v="2017-05-26T00:00:00"/>
    <d v="2017-05-02T00:00:00"/>
    <s v="Y"/>
    <m/>
    <d v="2017-08-02T00:00:00"/>
    <s v="Y"/>
    <m/>
    <n v="0"/>
    <n v="0"/>
    <n v="1"/>
    <x v="0"/>
    <s v="Aucune"/>
    <s v="Aucune"/>
    <s v="Aucune"/>
    <s v="NON"/>
    <s v="NON"/>
    <n v="5"/>
    <n v="5"/>
    <s v="Inconnu"/>
    <n v="1"/>
    <n v="1"/>
    <s v="Inconnu"/>
    <s v="Aucune"/>
    <n v="0"/>
    <s v="CT"/>
    <s v="Aucun"/>
    <s v="Aucun"/>
    <s v="OUI"/>
  </r>
  <r>
    <x v="3"/>
    <s v="GOMBERT"/>
    <s v="440329MG02"/>
    <d v="1944-03-29T00:00:00"/>
    <n v="73.095890410958901"/>
    <s v=" "/>
    <s v="URGENCES"/>
    <s v="ERASME URGENCES"/>
    <s v="ERASME URGENCES"/>
    <s v="BE"/>
    <s v="M"/>
    <d v="2017-04-15T00:00:00"/>
    <m/>
    <s v="CABG"/>
    <x v="1"/>
    <x v="1"/>
    <n v="0"/>
    <n v="0"/>
    <m/>
    <m/>
    <m/>
    <m/>
    <m/>
    <m/>
    <m/>
    <m/>
    <m/>
    <m/>
    <m/>
    <m/>
    <s v="1R"/>
    <n v="1"/>
    <s v="1R"/>
    <n v="1"/>
    <n v="2"/>
    <d v="2017-04-21T00:00:00"/>
    <n v="6"/>
    <d v="2017-04-27T00:00:00"/>
    <n v="12"/>
    <x v="0"/>
    <n v="3"/>
    <s v="EMERGENCY"/>
    <s v="D"/>
    <m/>
    <m/>
    <m/>
    <s v="GOMBERT"/>
    <d v="2017-05-26T00:00:00"/>
    <d v="2017-05-08T00:00:00"/>
    <s v="Y"/>
    <s v="pas de cardio : ok"/>
    <d v="2017-08-02T00:00:00"/>
    <s v="Y"/>
    <s v="traitement plaie jbe"/>
    <n v="0"/>
    <n v="1"/>
    <n v="1"/>
    <x v="1"/>
    <s v="Aucune"/>
    <s v="Transfusion"/>
    <s v="Transfusé"/>
    <s v="NON"/>
    <s v="NON"/>
    <n v="12"/>
    <n v="12"/>
    <s v="Inconnu"/>
    <n v="6"/>
    <n v="6"/>
    <s v="Inconnu"/>
    <s v="Transfusé"/>
    <n v="2"/>
    <s v="ERASME"/>
    <s v="Aucun"/>
    <s v="Aucun"/>
    <s v="NON"/>
  </r>
  <r>
    <x v="3"/>
    <s v="OCAMPOS OCAMPOS"/>
    <s v="350629FO01"/>
    <d v="1935-06-29T00:00:00"/>
    <n v="81.860273972602741"/>
    <s v="1"/>
    <s v="EL MOURAD"/>
    <s v="ERASME CARDIO"/>
    <s v="ERASME CARDIO"/>
    <s v="FV"/>
    <s v="F"/>
    <d v="2017-04-18T00:00:00"/>
    <d v="2017-03-14T00:00:00"/>
    <s v="AVR + CABG"/>
    <x v="3"/>
    <x v="0"/>
    <s v="CABG + V"/>
    <n v="0"/>
    <n v="2"/>
    <s v="PC"/>
    <s v="Perceval"/>
    <s v="B"/>
    <s v="M"/>
    <m/>
    <m/>
    <m/>
    <m/>
    <m/>
    <m/>
    <m/>
    <s v="2R"/>
    <n v="2"/>
    <m/>
    <m/>
    <n v="2"/>
    <d v="2017-04-19T00:00:00"/>
    <n v="1"/>
    <d v="2017-04-28T00:00:00"/>
    <n v="10"/>
    <x v="0"/>
    <n v="1"/>
    <s v="ELECTIVE"/>
    <s v="R"/>
    <m/>
    <m/>
    <m/>
    <s v="OCAMPOS OCAMPOS"/>
    <d v="2017-05-30T00:00:00"/>
    <d v="2017-05-22T00:00:00"/>
    <s v="Y"/>
    <s v="Message"/>
    <d v="2017-08-29T00:00:00"/>
    <s v="Y"/>
    <s v="Message"/>
    <n v="0"/>
    <n v="1"/>
    <n v="1"/>
    <x v="0"/>
    <s v="Aucune"/>
    <s v="Transfusion"/>
    <s v="Aucune"/>
    <s v="NON"/>
    <s v="NON"/>
    <n v="10"/>
    <n v="10"/>
    <s v="Inconnu"/>
    <n v="1"/>
    <n v="1"/>
    <s v="Inconnu"/>
    <s v="Transfusé"/>
    <n v="2"/>
    <s v="ERASME"/>
    <s v="Aucun"/>
    <s v="Aucun"/>
    <s v="OUI"/>
  </r>
  <r>
    <x v="3"/>
    <s v="COULON"/>
    <s v="640513MC02"/>
    <d v="1964-05-13T00:00:00"/>
    <n v="52.967123287671235"/>
    <s v=" "/>
    <s v="EL MOURAD"/>
    <s v="ERASME CARDIO"/>
    <s v="ERASME CARDIO"/>
    <s v="BE"/>
    <s v="M"/>
    <d v="2017-04-18T00:00:00"/>
    <d v="2017-04-11T00:00:00"/>
    <s v="CABG"/>
    <x v="1"/>
    <x v="1"/>
    <n v="0"/>
    <n v="0"/>
    <n v="2"/>
    <s v="PC"/>
    <m/>
    <m/>
    <m/>
    <m/>
    <m/>
    <m/>
    <m/>
    <m/>
    <m/>
    <m/>
    <m/>
    <m/>
    <m/>
    <m/>
    <n v="0"/>
    <d v="2017-04-19T00:00:00"/>
    <n v="1"/>
    <d v="2017-04-24T00:00:00"/>
    <n v="6"/>
    <x v="0"/>
    <n v="1"/>
    <s v="ELECTIVE"/>
    <s v="D"/>
    <m/>
    <m/>
    <m/>
    <s v="COULON"/>
    <d v="2017-05-19T00:00:00"/>
    <d v="2017-05-02T00:00:00"/>
    <s v="Y"/>
    <s v="D+ mamelon"/>
    <d v="2017-09-11T00:00:00"/>
    <s v="Y"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ERASME"/>
    <s v="Aucun"/>
    <s v="Aucun"/>
    <s v="OUI"/>
  </r>
  <r>
    <x v="3"/>
    <s v="DEPOITIER"/>
    <s v="321214MD03"/>
    <d v="1932-12-14T00:00:00"/>
    <n v="84.402739726027391"/>
    <s v="1"/>
    <s v="VAN DE BORNE"/>
    <s v="ERASME CARDIO"/>
    <s v="ERASME CARDIO"/>
    <s v="FV"/>
    <s v="M"/>
    <d v="2017-04-19T00:00:00"/>
    <d v="2017-01-24T00:00:00"/>
    <s v="AVR + CABG"/>
    <x v="3"/>
    <x v="0"/>
    <s v="CABG + V"/>
    <n v="0"/>
    <n v="1"/>
    <s v="PC"/>
    <m/>
    <s v="B"/>
    <s v="XL"/>
    <m/>
    <m/>
    <m/>
    <m/>
    <m/>
    <m/>
    <m/>
    <s v="2R"/>
    <n v="2"/>
    <m/>
    <m/>
    <n v="2"/>
    <d v="2017-04-21T00:00:00"/>
    <n v="2"/>
    <d v="2017-04-26T00:00:00"/>
    <n v="7"/>
    <x v="0"/>
    <n v="1"/>
    <s v="ELECTIVE"/>
    <s v="D"/>
    <d v="2017-05-06T00:00:00"/>
    <n v="1"/>
    <s v="NC"/>
    <s v="DEPOITIER"/>
    <d v="2017-05-30T00:00:00"/>
    <d v="2017-05-03T00:00:00"/>
    <s v="Y"/>
    <m/>
    <d v="2017-08-02T00:00:00"/>
    <s v="Y"/>
    <m/>
    <n v="0"/>
    <n v="1"/>
    <n v="1"/>
    <x v="0"/>
    <s v="Aucune"/>
    <s v="Transfusion"/>
    <s v="Aucune"/>
    <s v="NON"/>
    <s v="OUI"/>
    <n v="7"/>
    <n v="7"/>
    <s v="Inconnu"/>
    <n v="2"/>
    <n v="2"/>
    <s v="Inconnu"/>
    <s v="Transfusé"/>
    <n v="2"/>
    <s v="ERASME"/>
    <s v="Aucun"/>
    <s v="Aucun"/>
    <s v="OUI"/>
  </r>
  <r>
    <x v="3"/>
    <s v="VANDERKELEN"/>
    <s v="460901MV04"/>
    <d v="1946-09-01T00:00:00"/>
    <n v="70.679452054794524"/>
    <s v=" "/>
    <s v="BERKENBOOM"/>
    <s v="ERASME CARDIO"/>
    <s v="ERASME CARDIO"/>
    <s v="MLC"/>
    <s v="M"/>
    <d v="2017-04-19T00:00:00"/>
    <d v="2017-04-11T00:00:00"/>
    <s v="CABG"/>
    <x v="1"/>
    <x v="1"/>
    <n v="0"/>
    <n v="0"/>
    <m/>
    <m/>
    <m/>
    <m/>
    <m/>
    <m/>
    <m/>
    <m/>
    <m/>
    <m/>
    <m/>
    <m/>
    <m/>
    <m/>
    <s v="2R"/>
    <n v="2"/>
    <n v="2"/>
    <d v="2017-04-20T00:00:00"/>
    <n v="1"/>
    <d v="2017-04-26T00:00:00"/>
    <n v="7"/>
    <x v="0"/>
    <n v="1"/>
    <s v="ELECTIVE"/>
    <s v="D"/>
    <m/>
    <m/>
    <m/>
    <s v="VANDERKELEN"/>
    <d v="2017-06-01T00:00:00"/>
    <d v="2017-05-03T00:00:00"/>
    <s v="Y"/>
    <m/>
    <d v="2017-09-11T00:00:00"/>
    <s v="Y"/>
    <m/>
    <n v="0"/>
    <n v="1"/>
    <n v="1"/>
    <x v="0"/>
    <s v="Aucune"/>
    <s v="Transfusion"/>
    <s v="Transfusé"/>
    <s v="NON"/>
    <s v="NON"/>
    <n v="7"/>
    <n v="7"/>
    <s v="Inconnu"/>
    <n v="1"/>
    <n v="1"/>
    <s v="Inconnu"/>
    <s v="Transfusé"/>
    <n v="2"/>
    <s v="ERASME"/>
    <s v="Aucun"/>
    <s v="Aucun"/>
    <s v="OUI"/>
  </r>
  <r>
    <x v="3"/>
    <s v="BARTOLETTI"/>
    <s v="560517FB01"/>
    <d v="1956-05-17T00:00:00"/>
    <n v="60.964383561643835"/>
    <s v=" "/>
    <s v="URGENCES"/>
    <s v="ERASME URGENCES"/>
    <s v="ERASME URGENCES"/>
    <s v="FV"/>
    <s v="F"/>
    <d v="2017-04-19T00:00:00"/>
    <m/>
    <s v="?"/>
    <x v="1"/>
    <x v="1"/>
    <n v="0"/>
    <n v="0"/>
    <m/>
    <m/>
    <m/>
    <m/>
    <m/>
    <m/>
    <m/>
    <m/>
    <m/>
    <m/>
    <m/>
    <m/>
    <m/>
    <m/>
    <m/>
    <m/>
    <n v="0"/>
    <d v="2017-04-19T00:00:00"/>
    <n v="0"/>
    <d v="2017-04-19T00:00:00"/>
    <n v="0"/>
    <x v="1"/>
    <n v="1"/>
    <s v="ELECTIVE"/>
    <s v="/"/>
    <m/>
    <m/>
    <m/>
    <s v="BARTOLETTI"/>
    <s v="/"/>
    <d v="2017-04-19T00:00:00"/>
    <s v="N"/>
    <s v="DCD"/>
    <s v="/"/>
    <s v="N"/>
    <s v="DCD"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NON"/>
  </r>
  <r>
    <x v="3"/>
    <s v="HAVELANGE"/>
    <s v="520330MH02"/>
    <d v="1952-03-30T00:00:00"/>
    <n v="65.101369863013701"/>
    <s v=" "/>
    <s v="DAYEH"/>
    <s v="CHIREC PARC LEOPOLD"/>
    <s v="CHIREC PARC LEOPOLD"/>
    <s v="FV"/>
    <s v="M"/>
    <d v="2017-04-20T00:00:00"/>
    <d v="2017-04-11T00:00:00"/>
    <s v="CABG"/>
    <x v="1"/>
    <x v="1"/>
    <n v="0"/>
    <n v="0"/>
    <n v="2"/>
    <s v="PC"/>
    <m/>
    <m/>
    <m/>
    <m/>
    <m/>
    <m/>
    <n v="1"/>
    <m/>
    <m/>
    <m/>
    <m/>
    <m/>
    <m/>
    <m/>
    <n v="0"/>
    <d v="2017-04-21T00:00:00"/>
    <n v="1"/>
    <d v="2017-04-26T00:00:00"/>
    <n v="6"/>
    <x v="0"/>
    <n v="1"/>
    <s v="ELECTIVE"/>
    <s v="D"/>
    <m/>
    <m/>
    <m/>
    <s v="HAVELANGE"/>
    <d v="2017-05-23T00:00:00"/>
    <d v="2017-05-03T00:00:00"/>
    <s v="Y"/>
    <m/>
    <d v="2017-08-02T00:00:00"/>
    <s v="Y"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HIREC"/>
    <s v="Aucun"/>
    <s v="Aucun"/>
    <s v="OUI"/>
  </r>
  <r>
    <x v="3"/>
    <s v="DELHAYE"/>
    <s v="490906MD05"/>
    <d v="1949-09-06T00:00:00"/>
    <n v="67.668493150684938"/>
    <s v=" "/>
    <s v="ZENAGUI"/>
    <s v="BRACOPS"/>
    <s v="BRACOPS"/>
    <s v="BE"/>
    <s v="M"/>
    <d v="2017-04-21T00:00:00"/>
    <d v="2017-04-11T00:00:00"/>
    <s v="AVR + CABG"/>
    <x v="3"/>
    <x v="0"/>
    <s v="CABG + V"/>
    <n v="0"/>
    <n v="1"/>
    <s v="PC"/>
    <s v="Medtronic"/>
    <s v="M"/>
    <n v="27"/>
    <m/>
    <m/>
    <m/>
    <m/>
    <m/>
    <m/>
    <m/>
    <m/>
    <m/>
    <s v="1R"/>
    <n v="1"/>
    <n v="1"/>
    <d v="2017-04-25T00:00:00"/>
    <n v="4"/>
    <d v="2017-05-02T00:00:00"/>
    <n v="11"/>
    <x v="1"/>
    <n v="1"/>
    <s v="ELECTIVE"/>
    <s v="/"/>
    <m/>
    <m/>
    <m/>
    <s v="DELHAYE"/>
    <s v="/"/>
    <d v="2017-04-30T00:00:00"/>
    <s v="N"/>
    <s v="DCD"/>
    <s v="/"/>
    <s v="N"/>
    <s v="DCD"/>
    <n v="0"/>
    <n v="1"/>
    <n v="1"/>
    <x v="0"/>
    <s v="Aucune"/>
    <s v="Transfusion"/>
    <s v="Transfusé"/>
    <s v="NON"/>
    <s v="NON"/>
    <n v="11"/>
    <n v="11"/>
    <s v="Inconnu"/>
    <n v="4"/>
    <n v="4"/>
    <s v="Inconnu"/>
    <s v="Transfusé"/>
    <n v="1"/>
    <s v="BRACOPS"/>
    <s v="Aucun"/>
    <s v="Aucun"/>
    <s v="OUI"/>
  </r>
  <r>
    <x v="3"/>
    <s v="TALON"/>
    <s v="440718MT02"/>
    <d v="1944-07-18T00:00:00"/>
    <n v="72.819178082191783"/>
    <s v=" "/>
    <s v="DEGAUTE"/>
    <s v="ERASME CARDIO"/>
    <s v="ERASME CARDIO"/>
    <s v="FV"/>
    <s v="M"/>
    <d v="2017-04-25T00:00:00"/>
    <d v="2017-03-28T00:00:00"/>
    <s v="MVP + CABG"/>
    <x v="3"/>
    <x v="0"/>
    <s v="CABG + V"/>
    <n v="0"/>
    <n v="1"/>
    <s v="PC"/>
    <s v="CE"/>
    <m/>
    <n v="34"/>
    <m/>
    <m/>
    <m/>
    <m/>
    <m/>
    <m/>
    <m/>
    <s v="2R"/>
    <n v="2"/>
    <m/>
    <m/>
    <n v="2"/>
    <d v="2017-04-27T00:00:00"/>
    <n v="2"/>
    <d v="2017-05-05T00:00:00"/>
    <n v="10"/>
    <x v="0"/>
    <n v="1"/>
    <s v="ELECTIVE"/>
    <s v="D"/>
    <m/>
    <m/>
    <m/>
    <s v="TALON"/>
    <d v="2017-06-06T00:00:00"/>
    <d v="2017-05-11T00:00:00"/>
    <s v="Y"/>
    <s v="OMI-lasix?"/>
    <d v="2017-09-11T00:00:00"/>
    <s v="Y"/>
    <s v="Message"/>
    <n v="0"/>
    <n v="1"/>
    <n v="1"/>
    <x v="0"/>
    <s v="Aucune"/>
    <s v="Transfusion"/>
    <s v="Aucune"/>
    <s v="NON"/>
    <s v="NON"/>
    <n v="10"/>
    <n v="10"/>
    <s v="Inconnu"/>
    <n v="2"/>
    <n v="2"/>
    <s v="Inconnu"/>
    <s v="Transfusé"/>
    <n v="2"/>
    <s v="ERASME"/>
    <s v="Aucun"/>
    <s v="Aucun"/>
    <s v="OUI"/>
  </r>
  <r>
    <x v="3"/>
    <s v="ALEMANNI"/>
    <s v="390208MA01"/>
    <d v="1939-02-08T00:00:00"/>
    <n v="78.265753424657532"/>
    <s v=" "/>
    <s v="CAILLEAU"/>
    <s v="ERASME CARDIO"/>
    <s v="ERASME CARDIO"/>
    <s v="FV"/>
    <s v="M"/>
    <d v="2017-04-26T00:00:00"/>
    <d v="2017-04-25T00:00:00"/>
    <s v="AVR + MAZE"/>
    <x v="2"/>
    <x v="2"/>
    <s v="AVR"/>
    <s v="AVR"/>
    <m/>
    <m/>
    <s v="CE"/>
    <s v="B"/>
    <n v="27"/>
    <m/>
    <m/>
    <m/>
    <m/>
    <m/>
    <m/>
    <n v="1"/>
    <m/>
    <m/>
    <s v="4R/1Plas"/>
    <n v="5"/>
    <n v="5"/>
    <d v="2017-05-04T00:00:00"/>
    <n v="8"/>
    <d v="2017-06-14T00:00:00"/>
    <n v="49"/>
    <x v="0"/>
    <n v="1"/>
    <s v="ELECTIVE"/>
    <s v="D"/>
    <m/>
    <m/>
    <m/>
    <s v="ALEMANNI"/>
    <d v="2017-07-18T00:00:00"/>
    <d v="2017-06-27T00:00:00"/>
    <s v="Y"/>
    <m/>
    <d v="2017-10-03T00:00:00"/>
    <s v="Y"/>
    <m/>
    <n v="1"/>
    <n v="1"/>
    <n v="1"/>
    <x v="0"/>
    <s v="Infection"/>
    <s v="Transfusion"/>
    <s v="Transfusé"/>
    <s v="NON"/>
    <s v="NON"/>
    <n v="49"/>
    <n v="49"/>
    <s v="Inconnu"/>
    <n v="8"/>
    <n v="8"/>
    <s v="Inconnu"/>
    <s v="Transfusé"/>
    <n v="5"/>
    <s v="ERASME"/>
    <s v="Aucun"/>
    <s v="Aucun"/>
    <s v="OUI"/>
  </r>
  <r>
    <x v="3"/>
    <s v="BETAR"/>
    <s v="430611FBAA"/>
    <d v="1943-06-11T00:00:00"/>
    <n v="73.92602739726027"/>
    <s v=" "/>
    <s v="DAYEH"/>
    <s v="CHIREC PARC LEOPOLD"/>
    <s v="CHIREC PARC LEOPOLD"/>
    <s v="BE"/>
    <s v="F"/>
    <d v="2017-04-26T00:00:00"/>
    <d v="2017-04-25T00:00:00"/>
    <s v="CABG"/>
    <x v="1"/>
    <x v="1"/>
    <n v="0"/>
    <n v="0"/>
    <n v="3"/>
    <s v="OPCAB"/>
    <m/>
    <m/>
    <m/>
    <m/>
    <m/>
    <m/>
    <m/>
    <m/>
    <m/>
    <n v="1"/>
    <s v="1R"/>
    <n v="1"/>
    <m/>
    <m/>
    <n v="1"/>
    <d v="2017-04-29T00:00:00"/>
    <n v="3"/>
    <d v="2017-05-05T00:00:00"/>
    <n v="9"/>
    <x v="0"/>
    <n v="1"/>
    <s v="ELECTIVE"/>
    <s v="D"/>
    <m/>
    <m/>
    <m/>
    <s v="BETAR"/>
    <d v="2017-06-09T00:00:00"/>
    <d v="2017-05-15T00:00:00"/>
    <s v="Y"/>
    <s v="Message fille"/>
    <d v="2017-09-11T00:00:00"/>
    <s v="Y"/>
    <s v="Message"/>
    <n v="1"/>
    <n v="1"/>
    <n v="1"/>
    <x v="0"/>
    <s v="Infection"/>
    <s v="Transfusion"/>
    <s v="Aucune"/>
    <s v="NON"/>
    <s v="NON"/>
    <n v="9"/>
    <n v="9"/>
    <s v="Inconnu"/>
    <n v="3"/>
    <n v="3"/>
    <s v="Inconnu"/>
    <s v="Transfusé"/>
    <n v="1"/>
    <s v="CHIREC"/>
    <s v="Aucun"/>
    <s v="Aucun"/>
    <s v="OUI"/>
  </r>
  <r>
    <x v="3"/>
    <s v="CHELLALI"/>
    <s v="360101FC09"/>
    <d v="1936-01-01T00:00:00"/>
    <n v="81.37534246575342"/>
    <s v="1"/>
    <s v="EL MOURAD"/>
    <s v="ERASME CARDIO"/>
    <s v="ERASME CARDIO"/>
    <s v="BE"/>
    <s v="F"/>
    <d v="2017-04-27T00:00:00"/>
    <d v="2017-04-04T00:00:00"/>
    <s v="CABG"/>
    <x v="1"/>
    <x v="1"/>
    <n v="0"/>
    <n v="0"/>
    <n v="3"/>
    <s v="OPCAB"/>
    <m/>
    <m/>
    <m/>
    <m/>
    <m/>
    <m/>
    <m/>
    <m/>
    <m/>
    <m/>
    <s v="2 Plas"/>
    <n v="2"/>
    <m/>
    <m/>
    <n v="2"/>
    <d v="2017-04-28T00:00:00"/>
    <n v="1"/>
    <d v="2017-05-04T00:00:00"/>
    <n v="7"/>
    <x v="0"/>
    <n v="1"/>
    <s v="ELECTIVE"/>
    <s v="D"/>
    <m/>
    <m/>
    <m/>
    <s v="CHELLALI"/>
    <d v="2017-05-26T00:00:00"/>
    <d v="2017-05-11T00:00:00"/>
    <s v="Y"/>
    <m/>
    <d v="2017-08-30T00:00:00"/>
    <s v="Y"/>
    <m/>
    <n v="0"/>
    <n v="1"/>
    <n v="1"/>
    <x v="0"/>
    <s v="Aucune"/>
    <s v="Transfusion"/>
    <s v="Aucune"/>
    <s v="NON"/>
    <s v="NON"/>
    <n v="7"/>
    <n v="7"/>
    <s v="Inconnu"/>
    <n v="1"/>
    <n v="1"/>
    <s v="Inconnu"/>
    <s v="Transfusé"/>
    <n v="2"/>
    <s v="ERASME"/>
    <s v="Aucun"/>
    <s v="Aucun"/>
    <s v="OUI"/>
  </r>
  <r>
    <x v="3"/>
    <s v="CASEN"/>
    <s v="430117MC04"/>
    <d v="1943-01-17T00:00:00"/>
    <n v="74.328767123287676"/>
    <s v=" "/>
    <s v="CARLIER"/>
    <s v="AMBROISE PARE"/>
    <s v="AMBROISE PARE"/>
    <s v="FV"/>
    <s v="M"/>
    <d v="2017-04-28T00:00:00"/>
    <d v="2017-04-18T00:00:00"/>
    <s v="AVR + CABG"/>
    <x v="3"/>
    <x v="0"/>
    <s v="CABG + V"/>
    <n v="0"/>
    <n v="3"/>
    <s v="PC"/>
    <s v="CE"/>
    <s v="B"/>
    <n v="25"/>
    <m/>
    <m/>
    <m/>
    <m/>
    <m/>
    <m/>
    <m/>
    <m/>
    <m/>
    <m/>
    <m/>
    <n v="0"/>
    <d v="2017-04-29T00:00:00"/>
    <n v="1"/>
    <d v="2017-05-05T00:00:00"/>
    <n v="7"/>
    <x v="0"/>
    <n v="1"/>
    <s v="ELECTIVE"/>
    <s v="D"/>
    <m/>
    <m/>
    <m/>
    <s v="CASEN"/>
    <d v="2017-06-06T00:00:00"/>
    <d v="2017-05-11T00:00:00"/>
    <s v="Y"/>
    <s v="plaie jambe?"/>
    <d v="2017-09-11T00:00:00"/>
    <s v="Y"/>
    <s v="jbe ok comfeel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AMBROISE PARE"/>
    <s v="Aucun"/>
    <s v="Aucun"/>
    <s v="OUI"/>
  </r>
  <r>
    <x v="4"/>
    <s v="DE GRAEVE"/>
    <s v="490413MD01"/>
    <d v="1949-04-13T00:00:00"/>
    <n v="68.098630136986301"/>
    <s v=" "/>
    <s v="HEDESHI"/>
    <s v="CHR HAUTE SENNE"/>
    <s v="CHR HAUTE SENNE"/>
    <s v="FV"/>
    <s v="M"/>
    <d v="2017-05-02T00:00:00"/>
    <d v="2017-04-25T00:00:00"/>
    <s v="CABG"/>
    <x v="1"/>
    <x v="1"/>
    <n v="0"/>
    <n v="0"/>
    <n v="2"/>
    <s v="PC"/>
    <m/>
    <m/>
    <m/>
    <m/>
    <m/>
    <m/>
    <m/>
    <m/>
    <m/>
    <m/>
    <m/>
    <m/>
    <m/>
    <m/>
    <n v="0"/>
    <d v="2017-05-03T00:00:00"/>
    <n v="1"/>
    <d v="2017-05-08T00:00:00"/>
    <n v="6"/>
    <x v="0"/>
    <n v="1"/>
    <s v="ELECTIVE"/>
    <s v="D"/>
    <m/>
    <m/>
    <m/>
    <s v="DE GRAEVE"/>
    <d v="2017-06-06T00:00:00"/>
    <d v="2017-05-15T00:00:00"/>
    <s v="Y"/>
    <m/>
    <d v="2017-08-08T00:00:00"/>
    <s v="Y"/>
    <s v="pb neuro mémoire"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HR HAUTE SENNE"/>
    <s v="Aucun"/>
    <s v="Aucun"/>
    <s v="OUI"/>
  </r>
  <r>
    <x v="4"/>
    <s v="HAESAERTS"/>
    <s v="480109MHAA"/>
    <d v="1948-01-09T00:00:00"/>
    <n v="69.358904109589048"/>
    <s v=" "/>
    <s v="HEDESHI"/>
    <s v="CHR HAUTE SENNE"/>
    <s v="CHR HAUTE SENNE"/>
    <s v="BE"/>
    <s v="M"/>
    <d v="2017-05-02T00:00:00"/>
    <d v="2017-05-02T00:00:00"/>
    <s v="CABG"/>
    <x v="1"/>
    <x v="1"/>
    <n v="0"/>
    <n v="0"/>
    <n v="1"/>
    <s v="OPCAB"/>
    <m/>
    <m/>
    <m/>
    <m/>
    <m/>
    <m/>
    <m/>
    <m/>
    <m/>
    <m/>
    <m/>
    <m/>
    <m/>
    <m/>
    <n v="0"/>
    <d v="2017-05-03T00:00:00"/>
    <n v="1"/>
    <d v="2017-05-10T00:00:00"/>
    <n v="8"/>
    <x v="0"/>
    <n v="2"/>
    <s v="URGENCY"/>
    <s v="D"/>
    <m/>
    <m/>
    <m/>
    <s v="HAESAERTS"/>
    <d v="2017-06-09T00:00:00"/>
    <d v="2017-05-22T00:00:00"/>
    <s v="Y"/>
    <s v="Message"/>
    <d v="2017-08-08T00:00:00"/>
    <s v="Y"/>
    <s v="Message"/>
    <n v="0"/>
    <n v="0"/>
    <n v="1"/>
    <x v="2"/>
    <s v="Aucune"/>
    <s v="Aucune"/>
    <s v="Aucune"/>
    <s v="NON"/>
    <s v="NON"/>
    <n v="8"/>
    <n v="8"/>
    <s v="Inconnu"/>
    <n v="1"/>
    <n v="1"/>
    <s v="Inconnu"/>
    <s v="Aucune"/>
    <n v="0"/>
    <s v="CHR HAUTE SENNE"/>
    <s v="Aucun"/>
    <s v="Aucun"/>
    <s v="OUI"/>
  </r>
  <r>
    <x v="4"/>
    <s v="PIMENTA"/>
    <s v="510929MP01"/>
    <d v="1951-09-29T00:00:00"/>
    <n v="65.638356164383566"/>
    <s v=" "/>
    <s v="LIPSKI"/>
    <s v="CHIREC EDITH CAVELL"/>
    <s v="CHIREC EDITH CAVELL"/>
    <s v="MLC"/>
    <s v="M"/>
    <d v="2017-05-03T00:00:00"/>
    <d v="2017-04-25T00:00:00"/>
    <s v="CABG"/>
    <x v="1"/>
    <x v="1"/>
    <n v="0"/>
    <n v="0"/>
    <n v="2"/>
    <s v="PC"/>
    <m/>
    <m/>
    <m/>
    <m/>
    <m/>
    <m/>
    <m/>
    <m/>
    <m/>
    <m/>
    <s v="1R/1Plaq"/>
    <n v="2"/>
    <m/>
    <m/>
    <n v="2"/>
    <d v="2017-05-05T00:00:00"/>
    <n v="2"/>
    <d v="2017-05-11T00:00:00"/>
    <n v="8"/>
    <x v="0"/>
    <n v="1"/>
    <s v="ELECTIVE"/>
    <s v="D"/>
    <m/>
    <m/>
    <m/>
    <s v="PIMENTA"/>
    <d v="2017-06-09T00:00:00"/>
    <d v="2017-05-22T00:00:00"/>
    <s v="Y"/>
    <m/>
    <d v="2017-08-30T00:00:00"/>
    <s v="Y"/>
    <m/>
    <n v="0"/>
    <n v="1"/>
    <n v="1"/>
    <x v="0"/>
    <s v="Aucune"/>
    <s v="Transfusion"/>
    <s v="Aucune"/>
    <s v="NON"/>
    <s v="NON"/>
    <n v="8"/>
    <n v="8"/>
    <s v="Inconnu"/>
    <n v="2"/>
    <n v="2"/>
    <s v="Inconnu"/>
    <s v="Transfusé"/>
    <n v="2"/>
    <s v="CHIREC"/>
    <s v="Aucun"/>
    <s v="Aucun"/>
    <s v="OUI"/>
  </r>
  <r>
    <x v="4"/>
    <s v="MEKBOUL"/>
    <s v="620301MM03"/>
    <d v="1962-03-01T00:00:00"/>
    <n v="55.210958904109589"/>
    <s v=" "/>
    <s v="CREPLET"/>
    <s v="CREPLET"/>
    <s v="CT"/>
    <s v="FV"/>
    <s v="M"/>
    <d v="2017-05-03T00:00:00"/>
    <d v="2017-05-02T00:00:00"/>
    <s v="? (CABG)"/>
    <x v="1"/>
    <x v="1"/>
    <n v="0"/>
    <n v="0"/>
    <m/>
    <m/>
    <m/>
    <m/>
    <m/>
    <m/>
    <m/>
    <m/>
    <m/>
    <m/>
    <m/>
    <m/>
    <m/>
    <m/>
    <s v="2R"/>
    <n v="2"/>
    <n v="2"/>
    <d v="2017-05-04T00:00:00"/>
    <n v="1"/>
    <d v="2017-05-11T00:00:00"/>
    <n v="8"/>
    <x v="0"/>
    <n v="2"/>
    <s v="URGENCY"/>
    <s v="D"/>
    <m/>
    <m/>
    <m/>
    <s v="MEKBOUL"/>
    <d v="2017-06-13T00:00:00"/>
    <d v="2017-05-22T00:00:00"/>
    <s v="Y"/>
    <m/>
    <d v="2017-08-30T00:00:00"/>
    <s v="Y"/>
    <m/>
    <n v="0"/>
    <n v="1"/>
    <n v="1"/>
    <x v="2"/>
    <s v="Aucune"/>
    <s v="Transfusion"/>
    <s v="Transfusé"/>
    <s v="NON"/>
    <s v="NON"/>
    <n v="8"/>
    <n v="8"/>
    <s v="Inconnu"/>
    <n v="1"/>
    <n v="1"/>
    <s v="Inconnu"/>
    <s v="Transfusé"/>
    <n v="2"/>
    <s v="CT"/>
    <s v="Aucun"/>
    <s v="Aucun"/>
    <s v="OUI"/>
  </r>
  <r>
    <x v="4"/>
    <s v="MICHALLE"/>
    <s v="460302MM04"/>
    <d v="1946-03-02T00:00:00"/>
    <n v="71.221917808219175"/>
    <s v=" "/>
    <s v="LOMMEL"/>
    <s v="ERASME CARDIO"/>
    <s v="ERASME CARDIO"/>
    <s v="FV"/>
    <s v="M"/>
    <d v="2017-05-04T00:00:00"/>
    <d v="2017-04-25T00:00:00"/>
    <s v="? (AVR)"/>
    <x v="2"/>
    <x v="2"/>
    <s v="AVR"/>
    <s v="AVR"/>
    <m/>
    <m/>
    <m/>
    <m/>
    <m/>
    <m/>
    <m/>
    <m/>
    <m/>
    <m/>
    <m/>
    <m/>
    <m/>
    <m/>
    <s v="2R"/>
    <n v="2"/>
    <n v="2"/>
    <d v="2017-05-05T00:00:00"/>
    <n v="1"/>
    <d v="2017-05-11T00:00:00"/>
    <n v="7"/>
    <x v="0"/>
    <n v="1"/>
    <s v="ELECTIVE"/>
    <s v="D"/>
    <m/>
    <m/>
    <m/>
    <s v="MICHALLE"/>
    <d v="2017-06-13T00:00:00"/>
    <d v="2017-05-22T00:00:00"/>
    <s v="Y"/>
    <m/>
    <d v="2017-08-29T00:00:00"/>
    <s v="Y"/>
    <s v="Message"/>
    <n v="0"/>
    <n v="1"/>
    <n v="1"/>
    <x v="0"/>
    <s v="Aucune"/>
    <s v="Transfusion"/>
    <s v="Transfusé"/>
    <s v="NON"/>
    <s v="NON"/>
    <n v="7"/>
    <n v="7"/>
    <s v="Inconnu"/>
    <n v="1"/>
    <n v="1"/>
    <s v="Inconnu"/>
    <s v="Transfusé"/>
    <n v="2"/>
    <s v="ERASME"/>
    <s v="Aucun"/>
    <s v="Aucun"/>
    <s v="OUI"/>
  </r>
  <r>
    <x v="4"/>
    <s v="OP DE BEECK"/>
    <s v="490530MOAA"/>
    <d v="1949-05-30T00:00:00"/>
    <n v="67.975342465753428"/>
    <s v=" "/>
    <s v="BRAD"/>
    <s v="BRAD"/>
    <s v="CT"/>
    <s v="FV"/>
    <s v="M"/>
    <d v="2017-05-04T00:00:00"/>
    <d v="2017-05-02T00:00:00"/>
    <s v="AVR"/>
    <x v="2"/>
    <x v="2"/>
    <s v="AVR"/>
    <s v="AVR"/>
    <m/>
    <m/>
    <m/>
    <s v="B"/>
    <s v="L"/>
    <m/>
    <m/>
    <m/>
    <m/>
    <m/>
    <m/>
    <m/>
    <m/>
    <m/>
    <m/>
    <m/>
    <n v="0"/>
    <d v="2017-05-05T00:00:00"/>
    <n v="1"/>
    <d v="2017-05-11T00:00:00"/>
    <n v="7"/>
    <x v="0"/>
    <n v="2"/>
    <s v="URGENCY"/>
    <s v="D"/>
    <m/>
    <m/>
    <m/>
    <s v="OP DE BEECK"/>
    <d v="2017-06-13T00:00:00"/>
    <d v="2017-05-22T00:00:00"/>
    <s v="Y"/>
    <m/>
    <d v="2017-08-30T00:00:00"/>
    <s v="Y"/>
    <m/>
    <n v="0"/>
    <n v="0"/>
    <n v="1"/>
    <x v="2"/>
    <s v="Aucune"/>
    <s v="Aucune"/>
    <s v="Aucune"/>
    <s v="NON"/>
    <s v="NON"/>
    <n v="7"/>
    <n v="7"/>
    <s v="Inconnu"/>
    <n v="1"/>
    <n v="1"/>
    <s v="Inconnu"/>
    <s v="Aucune"/>
    <e v="#REF!"/>
    <s v="CT"/>
    <s v="Aucun"/>
    <s v="Aucun"/>
    <s v="OUI"/>
  </r>
  <r>
    <x v="4"/>
    <s v="CHEVAL"/>
    <s v="520524FC01"/>
    <d v="1952-05-24T00:00:00"/>
    <n v="64.991780821917814"/>
    <s v=" "/>
    <s v="DESCAMPS"/>
    <s v="CHWAPI TOURNAI"/>
    <s v="CHWAPI TOURNAI"/>
    <s v="FV"/>
    <s v="F"/>
    <d v="2017-05-05T00:00:00"/>
    <m/>
    <s v="? (Osteosynthèse)"/>
    <x v="4"/>
    <x v="3"/>
    <n v="0"/>
    <n v="0"/>
    <m/>
    <m/>
    <m/>
    <m/>
    <m/>
    <m/>
    <m/>
    <m/>
    <m/>
    <m/>
    <m/>
    <m/>
    <s v="2R"/>
    <n v="2"/>
    <m/>
    <m/>
    <n v="2"/>
    <d v="2017-05-06T00:00:00"/>
    <n v="1"/>
    <d v="2017-05-08T00:00:00"/>
    <n v="3"/>
    <x v="0"/>
    <n v="1"/>
    <s v="ELECTIVE"/>
    <s v="D"/>
    <m/>
    <m/>
    <m/>
    <s v="CHEVAL"/>
    <d v="2017-06-06T00:00:00"/>
    <d v="2017-05-15T00:00:00"/>
    <s v="Y"/>
    <m/>
    <d v="2017-08-08T00:00:00"/>
    <s v="Y"/>
    <m/>
    <n v="0"/>
    <n v="1"/>
    <n v="1"/>
    <x v="0"/>
    <s v="Aucune"/>
    <s v="Transfusion"/>
    <s v="Aucune"/>
    <s v="NON"/>
    <s v="NON"/>
    <n v="3"/>
    <n v="3"/>
    <s v="Inconnu"/>
    <n v="1"/>
    <n v="1"/>
    <s v="Inconnu"/>
    <s v="Transfusé"/>
    <n v="0"/>
    <s v="CHWAPI TOURNAI"/>
    <s v="Aucun"/>
    <s v="Aucun"/>
    <s v="NON"/>
  </r>
  <r>
    <x v="4"/>
    <s v="WASTIAU"/>
    <s v="540819FW01"/>
    <d v="1954-08-19T00:00:00"/>
    <n v="62.753424657534246"/>
    <s v=" "/>
    <s v="KEFER"/>
    <s v="ST-LUC"/>
    <s v="ST-LUC"/>
    <s v="FV"/>
    <s v="F"/>
    <d v="2017-05-05T00:00:00"/>
    <m/>
    <s v="AVR + CABG"/>
    <x v="3"/>
    <x v="0"/>
    <s v="CABG + V"/>
    <n v="0"/>
    <n v="2"/>
    <s v="PC"/>
    <s v="Medtronic"/>
    <s v="M"/>
    <n v="21"/>
    <m/>
    <m/>
    <m/>
    <m/>
    <m/>
    <m/>
    <m/>
    <s v="2R"/>
    <n v="2"/>
    <m/>
    <m/>
    <n v="2"/>
    <d v="2017-05-07T00:00:00"/>
    <n v="2"/>
    <d v="2017-05-12T00:00:00"/>
    <n v="7"/>
    <x v="0"/>
    <n v="4"/>
    <s v="SALVAGE"/>
    <s v="D"/>
    <m/>
    <m/>
    <m/>
    <s v="WASTIAU"/>
    <d v="2017-06-13T00:00:00"/>
    <d v="2017-06-08T00:00:00"/>
    <s v="Y"/>
    <s v="INF PLAIE_ATB"/>
    <d v="2017-09-11T00:00:00"/>
    <s v="Y"/>
    <s v="pas attribué ?"/>
    <n v="0"/>
    <n v="1"/>
    <n v="1"/>
    <x v="3"/>
    <s v="Aucune"/>
    <s v="Transfusion"/>
    <s v="Aucune"/>
    <s v="NON"/>
    <s v="NON"/>
    <n v="7"/>
    <n v="7"/>
    <s v="Inconnu"/>
    <n v="2"/>
    <n v="2"/>
    <s v="Inconnu"/>
    <s v="Transfusé"/>
    <n v="2"/>
    <s v="ST-LUC"/>
    <s v="Aucun"/>
    <s v="Aucun"/>
    <s v="NON"/>
  </r>
  <r>
    <x v="4"/>
    <s v="AMATO"/>
    <s v="660108MA01"/>
    <d v="1966-01-08T00:00:00"/>
    <n v="51.364383561643834"/>
    <s v=" "/>
    <s v="HEDESHI"/>
    <s v="CHR HAUTE SENNE"/>
    <s v="CHR HAUTE SENNE"/>
    <s v="MLC"/>
    <s v="M"/>
    <d v="2017-05-08T00:00:00"/>
    <m/>
    <s v="CABG"/>
    <x v="1"/>
    <x v="1"/>
    <n v="0"/>
    <n v="0"/>
    <n v="3"/>
    <s v="PC"/>
    <m/>
    <m/>
    <m/>
    <m/>
    <m/>
    <m/>
    <m/>
    <m/>
    <m/>
    <m/>
    <s v="1R/1Plaq"/>
    <n v="2"/>
    <s v="1R"/>
    <n v="1"/>
    <n v="3"/>
    <d v="2017-05-09T00:00:00"/>
    <n v="1"/>
    <d v="2017-05-15T00:00:00"/>
    <n v="7"/>
    <x v="0"/>
    <n v="1"/>
    <s v="ELECTIVE"/>
    <s v="D"/>
    <m/>
    <m/>
    <m/>
    <s v="AMATO"/>
    <d v="2017-06-15T00:00:00"/>
    <d v="2017-05-22T00:00:00"/>
    <s v="Y"/>
    <m/>
    <d v="2017-08-02T00:00:00"/>
    <s v="Y"/>
    <m/>
    <n v="0"/>
    <n v="1"/>
    <n v="1"/>
    <x v="0"/>
    <s v="Aucune"/>
    <s v="Transfusion"/>
    <s v="Transfusé"/>
    <s v="NON"/>
    <s v="NON"/>
    <n v="7"/>
    <n v="7"/>
    <s v="Inconnu"/>
    <n v="1"/>
    <n v="1"/>
    <s v="Inconnu"/>
    <s v="Transfusé"/>
    <n v="3"/>
    <s v="CHR HAUTE SENNE"/>
    <s v="Aucun"/>
    <s v="Aucun"/>
    <s v="NON"/>
  </r>
  <r>
    <x v="4"/>
    <s v="LETE"/>
    <s v="420630ML02 "/>
    <d v="1942-06-30T00:00:00"/>
    <n v="74.912328767123284"/>
    <s v=" "/>
    <s v="MENASSEL"/>
    <s v="MENASSEL"/>
    <s v="CT"/>
    <s v="FV"/>
    <s v="M"/>
    <d v="2017-05-10T00:00:00"/>
    <d v="2017-05-02T00:00:00"/>
    <s v="AVR"/>
    <x v="2"/>
    <x v="2"/>
    <s v="AVR"/>
    <s v="AVR"/>
    <m/>
    <m/>
    <s v="CE"/>
    <s v="B"/>
    <n v="23"/>
    <m/>
    <m/>
    <m/>
    <m/>
    <m/>
    <m/>
    <m/>
    <m/>
    <m/>
    <m/>
    <m/>
    <n v="0"/>
    <d v="2017-05-11T00:00:00"/>
    <n v="1"/>
    <d v="2017-05-16T00:00:00"/>
    <n v="6"/>
    <x v="0"/>
    <n v="1"/>
    <s v="ELECTIVE"/>
    <s v="D"/>
    <m/>
    <m/>
    <m/>
    <s v="LETE"/>
    <d v="2017-06-20T00:00:00"/>
    <d v="2017-06-02T00:00:00"/>
    <s v="Y"/>
    <m/>
    <d v="2017-08-29T00:00:00"/>
    <s v="Y"/>
    <s v="Message"/>
    <n v="0"/>
    <n v="0"/>
    <n v="1"/>
    <x v="0"/>
    <s v="Aucune"/>
    <s v="Aucune"/>
    <s v="Aucune"/>
    <s v="NON"/>
    <s v="NON"/>
    <n v="14"/>
    <n v="14"/>
    <s v="Inconnu"/>
    <n v="9"/>
    <n v="9"/>
    <s v="Inconnu"/>
    <s v="Aucune"/>
    <n v="0"/>
    <s v="CT"/>
    <s v="Aucun"/>
    <s v="Aucun"/>
    <s v="OUI"/>
  </r>
  <r>
    <x v="4"/>
    <s v="PATERNOSTER"/>
    <s v="550203FP04"/>
    <d v="1955-02-03T00:00:00"/>
    <n v="62.30684931506849"/>
    <s v=" "/>
    <s v="HEDESHI"/>
    <s v="CHR HAUTE SENNE"/>
    <s v="CHR HAUTE SENNE"/>
    <s v="BE"/>
    <s v="F"/>
    <d v="2017-05-10T00:00:00"/>
    <d v="2017-05-09T00:00:00"/>
    <s v="CABG"/>
    <x v="1"/>
    <x v="1"/>
    <n v="0"/>
    <n v="0"/>
    <n v="4"/>
    <s v="PC"/>
    <m/>
    <m/>
    <m/>
    <m/>
    <m/>
    <m/>
    <m/>
    <m/>
    <m/>
    <m/>
    <s v="4R"/>
    <n v="4"/>
    <m/>
    <m/>
    <n v="4"/>
    <d v="2017-05-12T00:00:00"/>
    <n v="2"/>
    <d v="2017-05-17T00:00:00"/>
    <n v="7"/>
    <x v="0"/>
    <n v="1"/>
    <s v="ELECTIVE"/>
    <s v="D"/>
    <m/>
    <m/>
    <m/>
    <s v="PATERNOSTER"/>
    <d v="2017-06-09T00:00:00"/>
    <d v="2017-06-02T00:00:00"/>
    <s v="Y"/>
    <m/>
    <d v="2017-06-09T00:00:00"/>
    <s v="Y"/>
    <s v="RDV annulé par patiente,,,"/>
    <n v="0"/>
    <n v="1"/>
    <n v="1"/>
    <x v="0"/>
    <s v="Aucune"/>
    <s v="Transfusion"/>
    <s v="Aucune"/>
    <s v="NON"/>
    <s v="NON"/>
    <n v="7"/>
    <n v="7"/>
    <s v="Inconnu"/>
    <n v="2"/>
    <n v="2"/>
    <s v="Inconnu"/>
    <s v="Transfusé"/>
    <n v="4"/>
    <s v="CHR HAUTE SENNE"/>
    <s v="Aucun"/>
    <s v="Aucun"/>
    <s v="OUI"/>
  </r>
  <r>
    <x v="4"/>
    <s v="VAN DEN BOSCH"/>
    <s v="500222MV03 "/>
    <d v="1950-02-22T00:00:00"/>
    <n v="67.260273972602747"/>
    <s v=" "/>
    <s v="LENAERS"/>
    <s v="ERASME CARDIO"/>
    <s v="ERASME CARDIO"/>
    <s v="FV"/>
    <s v="M"/>
    <d v="2017-05-11T00:00:00"/>
    <d v="2017-03-28T00:00:00"/>
    <s v="? (BENTALL)"/>
    <x v="7"/>
    <x v="3"/>
    <n v="0"/>
    <s v="Aorte"/>
    <m/>
    <m/>
    <m/>
    <m/>
    <m/>
    <m/>
    <m/>
    <m/>
    <m/>
    <m/>
    <m/>
    <n v="1"/>
    <s v="1R/4Plas/1Plaq"/>
    <n v="6"/>
    <s v="1R"/>
    <n v="1"/>
    <n v="7"/>
    <d v="2017-05-22T00:00:00"/>
    <n v="11"/>
    <d v="2017-05-24T00:00:00"/>
    <n v="13"/>
    <x v="0"/>
    <n v="1"/>
    <s v="ELECTIVE"/>
    <s v="Rhumato"/>
    <m/>
    <m/>
    <m/>
    <s v="VAN DEN BOSCH"/>
    <s v="/"/>
    <d v="2017-07-12T00:00:00"/>
    <s v="Y"/>
    <m/>
    <d v="2017-09-20T00:00:00"/>
    <s v="Y"/>
    <m/>
    <n v="1"/>
    <n v="1"/>
    <n v="1"/>
    <x v="0"/>
    <s v="Infection"/>
    <s v="Transfusion"/>
    <s v="Transfusé"/>
    <s v="NON"/>
    <s v="NON"/>
    <n v="13"/>
    <n v="13"/>
    <s v="Inconnu"/>
    <n v="11"/>
    <n v="11"/>
    <s v="Inconnu"/>
    <s v="Transfusé"/>
    <n v="7"/>
    <s v="ERASME"/>
    <s v="Aucun"/>
    <s v="Aucun"/>
    <s v="OUI"/>
  </r>
  <r>
    <x v="4"/>
    <s v="DE CONINCK"/>
    <s v="440704FD01"/>
    <d v="1944-07-04T00:00:00"/>
    <n v="72.904109589041099"/>
    <s v=" "/>
    <s v="HEDESHI"/>
    <s v="CHR HAUTE SENNE"/>
    <s v="CHR HAUTE SENNE"/>
    <s v="BE"/>
    <s v="F"/>
    <d v="2017-05-12T00:00:00"/>
    <d v="2017-04-25T00:00:00"/>
    <s v="CABG"/>
    <x v="1"/>
    <x v="1"/>
    <n v="0"/>
    <n v="0"/>
    <n v="2"/>
    <s v="OPCAB"/>
    <m/>
    <m/>
    <m/>
    <m/>
    <m/>
    <m/>
    <m/>
    <m/>
    <m/>
    <m/>
    <s v="1R"/>
    <n v="1"/>
    <m/>
    <m/>
    <n v="1"/>
    <d v="2017-05-13T00:00:00"/>
    <n v="1"/>
    <d v="2017-05-19T00:00:00"/>
    <n v="7"/>
    <x v="0"/>
    <n v="1"/>
    <s v="ELECTIVE"/>
    <s v="D"/>
    <m/>
    <m/>
    <m/>
    <s v="DE CONINCK"/>
    <d v="2017-06-23T00:00:00"/>
    <d v="2017-06-02T00:00:00"/>
    <s v="Y"/>
    <m/>
    <d v="2017-08-30T00:00:00"/>
    <s v="Y"/>
    <s v="Message sœur"/>
    <n v="0"/>
    <n v="1"/>
    <n v="1"/>
    <x v="0"/>
    <s v="Aucune"/>
    <s v="Transfusion"/>
    <s v="Aucune"/>
    <s v="NON"/>
    <s v="NON"/>
    <n v="7"/>
    <n v="7"/>
    <s v="Inconnu"/>
    <n v="1"/>
    <n v="1"/>
    <s v="Inconnu"/>
    <s v="Transfusé"/>
    <n v="1"/>
    <s v="CHR HAUTE SENNE"/>
    <s v="Aucun"/>
    <s v="Aucun"/>
    <s v="OUI"/>
  </r>
  <r>
    <x v="4"/>
    <s v="ANANE"/>
    <s v="380701MA30"/>
    <d v="1938-07-01T00:00:00"/>
    <n v="78.92602739726027"/>
    <s v=" "/>
    <s v="GASSAVELIS"/>
    <s v="GASSAVELIS"/>
    <s v="CT"/>
    <s v="MLC"/>
    <s v="M"/>
    <d v="2017-05-15T00:00:00"/>
    <m/>
    <s v="CABG"/>
    <x v="1"/>
    <x v="1"/>
    <n v="0"/>
    <n v="0"/>
    <n v="2"/>
    <s v="PC"/>
    <m/>
    <m/>
    <m/>
    <m/>
    <m/>
    <m/>
    <m/>
    <m/>
    <m/>
    <n v="1"/>
    <s v="2R/1Plaq"/>
    <n v="3"/>
    <m/>
    <m/>
    <n v="3"/>
    <d v="2017-05-16T00:00:00"/>
    <n v="1"/>
    <d v="2017-05-24T00:00:00"/>
    <n v="9"/>
    <x v="0"/>
    <n v="1"/>
    <s v="ELECTIVE"/>
    <s v="R"/>
    <m/>
    <m/>
    <m/>
    <s v="ANANE"/>
    <d v="2017-06-22T00:00:00"/>
    <d v="2017-06-02T00:00:00"/>
    <s v="Y"/>
    <s v="message"/>
    <d v="2017-08-29T00:00:00"/>
    <s v="Y"/>
    <m/>
    <n v="1"/>
    <n v="1"/>
    <n v="1"/>
    <x v="0"/>
    <s v="Infection"/>
    <s v="Transfusion"/>
    <s v="Aucune"/>
    <s v="NON"/>
    <s v="NON"/>
    <n v="9"/>
    <n v="9"/>
    <s v="Inconnu"/>
    <n v="1"/>
    <n v="1"/>
    <s v="Inconnu"/>
    <s v="Transfusé"/>
    <n v="3"/>
    <s v="CT"/>
    <s v="Aucun"/>
    <s v="Aucun"/>
    <s v="NON"/>
  </r>
  <r>
    <x v="4"/>
    <s v="PREVOT"/>
    <s v="660703FP01"/>
    <d v="1966-07-03T00:00:00"/>
    <n v="50.904109589041099"/>
    <s v=" "/>
    <s v="RENARD"/>
    <s v="ERASME CARDIO"/>
    <s v="ERASME CARDIO"/>
    <s v="FV"/>
    <s v="F"/>
    <d v="2017-05-16T00:00:00"/>
    <d v="2017-05-16T00:00:00"/>
    <s v="MVP"/>
    <x v="5"/>
    <x v="4"/>
    <s v="MVP"/>
    <s v="MVP"/>
    <m/>
    <m/>
    <s v="Memo 3D"/>
    <m/>
    <n v="37"/>
    <m/>
    <m/>
    <m/>
    <m/>
    <m/>
    <m/>
    <m/>
    <s v="3Plas"/>
    <n v="3"/>
    <s v="1R"/>
    <n v="1"/>
    <n v="4"/>
    <d v="2017-05-17T00:00:00"/>
    <n v="1"/>
    <d v="2017-05-23T00:00:00"/>
    <n v="7"/>
    <x v="0"/>
    <n v="1"/>
    <s v="ELECTIVE"/>
    <s v="D"/>
    <m/>
    <m/>
    <m/>
    <s v="PREVOT"/>
    <d v="2017-06-20T00:00:00"/>
    <d v="2017-06-02T00:00:00"/>
    <s v="Y"/>
    <m/>
    <d v="2017-09-11T00:00:00"/>
    <s v="Y"/>
    <m/>
    <n v="0"/>
    <n v="1"/>
    <n v="1"/>
    <x v="0"/>
    <s v="Aucune"/>
    <s v="Transfusion"/>
    <s v="Transfusé"/>
    <s v="NON"/>
    <s v="NON"/>
    <n v="7"/>
    <n v="7"/>
    <s v="Inconnu"/>
    <n v="1"/>
    <n v="1"/>
    <s v="Inconnu"/>
    <s v="Transfusé"/>
    <n v="4"/>
    <s v="ERASME"/>
    <s v="Aucun"/>
    <s v="Aucun"/>
    <s v="OUI"/>
  </r>
  <r>
    <x v="4"/>
    <s v="JEHIN"/>
    <s v="510218FJ01"/>
    <d v="1951-02-18T00:00:00"/>
    <n v="66.284931506849318"/>
    <s v=" "/>
    <s v="URGENCES"/>
    <s v="ERASME URGENCES"/>
    <s v="ERASME URGENCES"/>
    <s v="BE"/>
    <s v="F"/>
    <d v="2017-05-16T00:00:00"/>
    <m/>
    <s v="CABG + CDA"/>
    <x v="4"/>
    <x v="3"/>
    <n v="0"/>
    <n v="0"/>
    <n v="2"/>
    <s v="PC"/>
    <s v="Valsalva"/>
    <m/>
    <n v="26"/>
    <m/>
    <m/>
    <m/>
    <n v="1"/>
    <m/>
    <m/>
    <m/>
    <m/>
    <m/>
    <m/>
    <m/>
    <n v="0"/>
    <d v="2017-05-16T00:00:00"/>
    <n v="0"/>
    <d v="2017-05-17T00:00:00"/>
    <n v="1"/>
    <x v="1"/>
    <n v="1"/>
    <s v="ELECTIVE"/>
    <s v="/"/>
    <m/>
    <m/>
    <m/>
    <s v="JEHIN"/>
    <s v="/"/>
    <d v="2017-05-16T00:00:00"/>
    <s v="N"/>
    <s v="DCD"/>
    <s v="/"/>
    <s v="N"/>
    <s v="DCD"/>
    <n v="0"/>
    <n v="0"/>
    <n v="1"/>
    <x v="0"/>
    <s v="Aucune"/>
    <s v="Aucune"/>
    <s v="Aucune"/>
    <s v="NON"/>
    <s v="NON"/>
    <n v="1"/>
    <n v="1"/>
    <s v="Inconnu"/>
    <s v="Inconnu"/>
    <s v="Inconnu"/>
    <s v="Inconnu"/>
    <s v="Aucune"/>
    <n v="0"/>
    <s v="ERASME"/>
    <s v="Aucun"/>
    <s v="Aucun"/>
    <s v="NON"/>
  </r>
  <r>
    <x v="4"/>
    <s v="EMBRECHTS"/>
    <s v="380323ME01"/>
    <d v="1938-03-23T00:00:00"/>
    <n v="79.205479452054789"/>
    <s v=" "/>
    <s v="HEDESHI"/>
    <s v="CHR HAUTE SENNE"/>
    <s v="CHR HAUTE SENNE"/>
    <s v="FV"/>
    <s v="M"/>
    <d v="2017-05-17T00:00:00"/>
    <d v="2017-05-16T00:00:00"/>
    <s v="? (AVR + CABG)"/>
    <x v="3"/>
    <x v="0"/>
    <s v="CABG + V"/>
    <n v="0"/>
    <m/>
    <m/>
    <m/>
    <m/>
    <m/>
    <m/>
    <m/>
    <m/>
    <m/>
    <m/>
    <m/>
    <m/>
    <m/>
    <m/>
    <s v="2R"/>
    <n v="2"/>
    <n v="2"/>
    <d v="2017-05-18T00:00:00"/>
    <n v="1"/>
    <d v="2017-05-23T00:00:00"/>
    <n v="6"/>
    <x v="0"/>
    <n v="1"/>
    <s v="ELECTIVE"/>
    <s v="D"/>
    <m/>
    <m/>
    <m/>
    <s v="EMBRECHT"/>
    <d v="2017-06-20T00:00:00"/>
    <d v="2017-06-02T00:00:00"/>
    <s v="Y"/>
    <m/>
    <d v="2017-08-29T00:00:00"/>
    <s v="Y"/>
    <m/>
    <n v="0"/>
    <n v="1"/>
    <n v="1"/>
    <x v="0"/>
    <s v="Aucune"/>
    <s v="Transfusion"/>
    <s v="Transfusé"/>
    <s v="NON"/>
    <s v="NON"/>
    <n v="6"/>
    <n v="6"/>
    <s v="Inconnu"/>
    <n v="1"/>
    <n v="1"/>
    <s v="Inconnu"/>
    <s v="Transfusé"/>
    <n v="2"/>
    <s v="CHR HAUTE SENNE"/>
    <s v="Aucun"/>
    <s v="Aucun"/>
    <s v="OUI"/>
  </r>
  <r>
    <x v="4"/>
    <s v="CARLIER"/>
    <s v="470630MC01"/>
    <d v="1947-06-30T00:00:00"/>
    <n v="69.92876712328767"/>
    <s v=" "/>
    <s v="HEDESHI"/>
    <s v="CHR HAUTE SENNE"/>
    <s v="CHR HAUTE SENNE"/>
    <s v="MA"/>
    <s v="M"/>
    <d v="2017-05-17T00:00:00"/>
    <d v="2017-05-16T00:00:00"/>
    <s v="CABG"/>
    <x v="1"/>
    <x v="1"/>
    <n v="0"/>
    <n v="0"/>
    <n v="2"/>
    <s v="PC"/>
    <m/>
    <m/>
    <m/>
    <m/>
    <m/>
    <m/>
    <m/>
    <m/>
    <m/>
    <m/>
    <s v="3R"/>
    <n v="3"/>
    <m/>
    <m/>
    <n v="3"/>
    <d v="2017-05-23T00:00:00"/>
    <n v="6"/>
    <d v="2017-05-30T00:00:00"/>
    <n v="13"/>
    <x v="0"/>
    <n v="2"/>
    <s v="URGENCY"/>
    <s v="D"/>
    <m/>
    <m/>
    <m/>
    <s v="CARLIER"/>
    <d v="2017-07-05T00:00:00"/>
    <d v="2017-09-09T00:00:00"/>
    <s v="Y"/>
    <s v="Message"/>
    <d v="2017-09-11T00:00:00"/>
    <s v="Y"/>
    <s v="Gsm incorrect"/>
    <n v="0"/>
    <n v="1"/>
    <n v="1"/>
    <x v="2"/>
    <s v="Aucune"/>
    <s v="Transfusion"/>
    <s v="Aucune"/>
    <s v="NON"/>
    <s v="NON"/>
    <n v="13"/>
    <n v="13"/>
    <s v="Inconnu"/>
    <n v="6"/>
    <n v="6"/>
    <s v="Inconnu"/>
    <s v="Transfusé"/>
    <n v="3"/>
    <s v="CHR HAUTE SENNE"/>
    <s v="Aucun"/>
    <s v="Aucun"/>
    <s v="OUI"/>
  </r>
  <r>
    <x v="4"/>
    <s v="DE GIETER"/>
    <s v="390425MD01 "/>
    <d v="1939-04-25T00:00:00"/>
    <n v="78.117808219178087"/>
    <s v=" "/>
    <s v="USI"/>
    <s v="ERASME USI"/>
    <s v="ERASME USI"/>
    <s v="FV"/>
    <s v="M"/>
    <d v="2017-05-18T00:00:00"/>
    <d v="2017-05-16T00:00:00"/>
    <s v="? (AVR + CABG)"/>
    <x v="3"/>
    <x v="0"/>
    <s v="CABG + V"/>
    <n v="0"/>
    <m/>
    <m/>
    <m/>
    <m/>
    <m/>
    <d v="2017-05-18T00:00:00"/>
    <n v="1"/>
    <m/>
    <m/>
    <m/>
    <m/>
    <n v="1"/>
    <s v="5R/1Plaq/3Plas"/>
    <n v="9"/>
    <s v="5R/2Plas"/>
    <n v="7"/>
    <n v="16"/>
    <d v="2017-05-23T00:00:00"/>
    <n v="5"/>
    <d v="2017-06-23T00:00:00"/>
    <n v="36"/>
    <x v="0"/>
    <n v="2"/>
    <s v="URGENCY"/>
    <s v="Halle"/>
    <m/>
    <m/>
    <m/>
    <s v="DE GIETER"/>
    <s v="/"/>
    <d v="2017-07-11T00:00:00"/>
    <s v="Y"/>
    <s v="Message"/>
    <d v="2017-09-27T00:00:00"/>
    <s v="Y"/>
    <s v="pas de téléphone"/>
    <n v="1"/>
    <n v="1"/>
    <n v="1"/>
    <x v="2"/>
    <s v="Infection"/>
    <s v="Transfusion"/>
    <s v="Transfusé"/>
    <s v="OUI"/>
    <s v="NON"/>
    <n v="36"/>
    <n v="36"/>
    <s v="Inconnu"/>
    <n v="5"/>
    <n v="5"/>
    <s v="Inconnu"/>
    <s v="Transfusé"/>
    <n v="16"/>
    <s v="ERASME"/>
    <s v="Aucun"/>
    <s v="Aucun"/>
    <s v="OUI"/>
  </r>
  <r>
    <x v="4"/>
    <s v="LUPPENS"/>
    <s v="550626MLAA"/>
    <d v="1955-06-26T00:00:00"/>
    <n v="61.936986301369863"/>
    <s v=" "/>
    <s v="DEDOBBELEER"/>
    <s v="CHIREC BRAINE"/>
    <s v="CHIREC BRAINE"/>
    <s v="BE"/>
    <s v="M"/>
    <d v="2017-05-18T00:00:00"/>
    <d v="2017-05-09T00:00:00"/>
    <s v="AVR"/>
    <x v="2"/>
    <x v="2"/>
    <s v="AVR"/>
    <s v="AVR"/>
    <m/>
    <m/>
    <s v="CE"/>
    <s v="B"/>
    <n v="25"/>
    <m/>
    <m/>
    <m/>
    <m/>
    <m/>
    <m/>
    <m/>
    <m/>
    <m/>
    <m/>
    <m/>
    <n v="0"/>
    <d v="2017-05-19T00:00:00"/>
    <n v="1"/>
    <d v="2017-05-26T00:00:00"/>
    <n v="8"/>
    <x v="0"/>
    <n v="1"/>
    <s v="ELECTIVE"/>
    <s v="Braine"/>
    <m/>
    <m/>
    <m/>
    <s v="LUPPENS"/>
    <d v="2017-06-30T00:00:00"/>
    <d v="2017-06-02T00:00:00"/>
    <s v="Y"/>
    <m/>
    <d v="2017-08-29T00:00:00"/>
    <s v="Y"/>
    <m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CHIREC"/>
    <s v="Aucun"/>
    <s v="Aucun"/>
    <s v="OUI"/>
  </r>
  <r>
    <x v="4"/>
    <s v="CORNET"/>
    <s v="360115MC04"/>
    <d v="1936-01-15T00:00:00"/>
    <n v="81.397260273972606"/>
    <s v="1"/>
    <s v="VANDERAUWERA"/>
    <s v="CHIREC BRAINE"/>
    <s v="CHIREC BRAINE"/>
    <s v="FV"/>
    <s v="M"/>
    <d v="2017-05-19T00:00:00"/>
    <d v="2017-05-09T00:00:00"/>
    <s v="? (CABG)"/>
    <x v="1"/>
    <x v="1"/>
    <n v="0"/>
    <n v="0"/>
    <m/>
    <m/>
    <m/>
    <m/>
    <m/>
    <m/>
    <m/>
    <m/>
    <m/>
    <n v="1"/>
    <m/>
    <n v="1"/>
    <s v="4R/1Plaq"/>
    <n v="5"/>
    <m/>
    <m/>
    <n v="5"/>
    <d v="2017-05-23T00:00:00"/>
    <n v="4"/>
    <d v="2017-06-25T00:00:00"/>
    <n v="37"/>
    <x v="0"/>
    <n v="1"/>
    <s v="ELECTIVE"/>
    <s v="D"/>
    <d v="2017-06-27T00:00:00"/>
    <n v="1"/>
    <s v="NC"/>
    <s v="CORNET"/>
    <d v="2017-07-25T00:00:00"/>
    <d v="2017-07-14T00:00:00"/>
    <s v="Y"/>
    <s v="Diarrhée"/>
    <d v="2017-09-26T00:00:00"/>
    <s v="Y"/>
    <m/>
    <n v="1"/>
    <n v="1"/>
    <n v="1"/>
    <x v="0"/>
    <s v="Infection"/>
    <s v="Transfusion"/>
    <s v="Aucune"/>
    <s v="NON"/>
    <s v="OUI"/>
    <n v="37"/>
    <n v="37"/>
    <s v="Inconnu"/>
    <n v="4"/>
    <n v="4"/>
    <s v="Inconnu"/>
    <s v="Transfusé"/>
    <n v="5"/>
    <s v="CHIREC"/>
    <s v="AVC"/>
    <s v="Aucun"/>
    <s v="OUI"/>
  </r>
  <r>
    <x v="4"/>
    <s v="THOMSON"/>
    <s v="490623MT01"/>
    <d v="1949-06-23T00:00:00"/>
    <n v="67.958904109589042"/>
    <s v=" "/>
    <s v="BONDUE"/>
    <s v="ERASME CARDIO"/>
    <s v="ERASME CARDIO"/>
    <s v="FV"/>
    <s v="M"/>
    <d v="2017-05-22T00:00:00"/>
    <m/>
    <s v="CDA"/>
    <x v="4"/>
    <x v="3"/>
    <n v="0"/>
    <n v="0"/>
    <m/>
    <m/>
    <m/>
    <m/>
    <m/>
    <m/>
    <m/>
    <m/>
    <m/>
    <m/>
    <m/>
    <m/>
    <s v="3R/1Plaq"/>
    <n v="4"/>
    <m/>
    <m/>
    <n v="4"/>
    <d v="2017-05-23T00:00:00"/>
    <n v="1"/>
    <d v="2017-05-28T00:00:00"/>
    <n v="6"/>
    <x v="0"/>
    <n v="1"/>
    <s v="ELECTIVE"/>
    <s v="D"/>
    <m/>
    <m/>
    <m/>
    <s v="THOMSON"/>
    <d v="2017-06-27T00:00:00"/>
    <d v="2017-06-08T00:00:00"/>
    <s v="Y"/>
    <m/>
    <d v="2017-09-11T00:00:00"/>
    <s v="Y"/>
    <m/>
    <n v="0"/>
    <n v="1"/>
    <n v="1"/>
    <x v="0"/>
    <s v="Aucune"/>
    <s v="Transfusion"/>
    <s v="Aucune"/>
    <s v="NON"/>
    <s v="NON"/>
    <n v="6"/>
    <n v="6"/>
    <s v="Inconnu"/>
    <n v="1"/>
    <n v="1"/>
    <s v="Inconnu"/>
    <s v="Transfusé"/>
    <n v="4"/>
    <s v="ERASME"/>
    <s v="Aucun"/>
    <s v="Aucun"/>
    <s v="NON"/>
  </r>
  <r>
    <x v="4"/>
    <s v="VANDERKELEN"/>
    <s v="441116MV01"/>
    <d v="1944-11-16T00:00:00"/>
    <n v="72.564383561643837"/>
    <s v=" "/>
    <s v="URGENCES"/>
    <s v="ST-PIERRE"/>
    <s v="ST-PIERRE"/>
    <s v="FV"/>
    <s v="M"/>
    <d v="2017-05-23T00:00:00"/>
    <m/>
    <s v="? (CABG)"/>
    <x v="1"/>
    <x v="1"/>
    <n v="0"/>
    <n v="0"/>
    <m/>
    <m/>
    <m/>
    <m/>
    <m/>
    <m/>
    <m/>
    <m/>
    <m/>
    <m/>
    <m/>
    <m/>
    <s v="2R"/>
    <n v="2"/>
    <m/>
    <m/>
    <n v="2"/>
    <d v="2017-05-24T00:00:00"/>
    <n v="1"/>
    <d v="2017-05-30T00:00:00"/>
    <n v="7"/>
    <x v="0"/>
    <n v="2"/>
    <s v="URGENCY"/>
    <s v="D"/>
    <m/>
    <m/>
    <m/>
    <s v="VANDERKELEN"/>
    <d v="2017-06-30T00:00:00"/>
    <d v="2017-06-08T00:00:00"/>
    <s v="Y"/>
    <m/>
    <d v="2017-09-11T00:00:00"/>
    <s v="Y"/>
    <m/>
    <n v="0"/>
    <n v="1"/>
    <n v="1"/>
    <x v="2"/>
    <s v="Aucune"/>
    <s v="Transfusion"/>
    <s v="Aucune"/>
    <s v="NON"/>
    <s v="NON"/>
    <n v="7"/>
    <n v="7"/>
    <s v="Inconnu"/>
    <n v="1"/>
    <n v="1"/>
    <s v="Inconnu"/>
    <s v="Transfusé"/>
    <n v="2"/>
    <s v="ST PIERRE"/>
    <s v="Aucun"/>
    <s v="Aucun"/>
    <s v="NON"/>
  </r>
  <r>
    <x v="4"/>
    <s v="RONDENBOSCH"/>
    <s v="410404FRAA"/>
    <d v="1941-04-04T00:00:00"/>
    <n v="76.186301369863017"/>
    <s v=" "/>
    <s v="URGENCES"/>
    <s v="ERASME URGENCES"/>
    <s v="ERASME URGENCES"/>
    <s v="BE"/>
    <s v="F"/>
    <d v="2017-05-23T00:00:00"/>
    <m/>
    <s v="CABG"/>
    <x v="1"/>
    <x v="1"/>
    <n v="0"/>
    <n v="0"/>
    <n v="2"/>
    <s v="OPCAB"/>
    <m/>
    <m/>
    <m/>
    <m/>
    <m/>
    <m/>
    <m/>
    <m/>
    <m/>
    <m/>
    <m/>
    <m/>
    <m/>
    <m/>
    <n v="0"/>
    <d v="2017-05-24T00:00:00"/>
    <n v="1"/>
    <d v="2017-06-06T00:00:00"/>
    <n v="14"/>
    <x v="0"/>
    <n v="2"/>
    <s v="URGENCY"/>
    <s v="D"/>
    <m/>
    <m/>
    <m/>
    <s v="RONDENBOSCH"/>
    <d v="2017-07-04T00:00:00"/>
    <d v="2017-06-16T00:00:00"/>
    <s v="Y"/>
    <s v="pas de messagerie"/>
    <d v="2017-09-11T00:00:00"/>
    <s v="Y"/>
    <s v="pas de messagerie"/>
    <n v="0"/>
    <n v="0"/>
    <n v="1"/>
    <x v="2"/>
    <s v="Aucune"/>
    <s v="Aucune"/>
    <s v="Aucune"/>
    <s v="NON"/>
    <s v="NON"/>
    <n v="14"/>
    <n v="14"/>
    <s v="Inconnu"/>
    <n v="1"/>
    <n v="1"/>
    <s v="Inconnu"/>
    <s v="Aucune"/>
    <n v="0"/>
    <s v="ERASME"/>
    <s v="Aucun"/>
    <s v="Aucun"/>
    <s v="NON"/>
  </r>
  <r>
    <x v="4"/>
    <s v="VAN NIEUWENHUYZE"/>
    <s v="420309MV03"/>
    <d v="1942-03-09T00:00:00"/>
    <n v="75.260273972602747"/>
    <s v=" "/>
    <s v="HEDESHI"/>
    <s v="CHR HAUTE SENNE"/>
    <s v="CHR HAUTE SENNE"/>
    <s v="MLC"/>
    <s v="M"/>
    <d v="2017-05-24T00:00:00"/>
    <d v="2017-05-16T00:00:00"/>
    <s v="CABG"/>
    <x v="1"/>
    <x v="1"/>
    <n v="0"/>
    <n v="0"/>
    <n v="3"/>
    <s v="PC"/>
    <m/>
    <m/>
    <m/>
    <m/>
    <m/>
    <m/>
    <m/>
    <m/>
    <m/>
    <n v="1"/>
    <m/>
    <m/>
    <m/>
    <m/>
    <n v="0"/>
    <d v="2017-05-25T00:00:00"/>
    <n v="1"/>
    <d v="2017-05-31T00:00:00"/>
    <n v="7"/>
    <x v="0"/>
    <n v="1"/>
    <s v="ELECTIVE"/>
    <s v="D"/>
    <m/>
    <m/>
    <m/>
    <s v="VAN NIEUWENHUYZE"/>
    <d v="2017-06-29T00:00:00"/>
    <d v="2017-06-08T00:00:00"/>
    <s v="Y"/>
    <m/>
    <d v="2017-08-29T00:00:00"/>
    <s v="Y"/>
    <m/>
    <n v="1"/>
    <n v="0"/>
    <n v="1"/>
    <x v="0"/>
    <s v="Infection"/>
    <s v="Aucune"/>
    <s v="Aucune"/>
    <s v="NON"/>
    <s v="NON"/>
    <n v="7"/>
    <n v="7"/>
    <s v="Inconnu"/>
    <n v="1"/>
    <n v="1"/>
    <s v="Inconnu"/>
    <s v="Aucune"/>
    <n v="0"/>
    <s v="CHR HAUTE SENNE"/>
    <s v="Aucun"/>
    <s v="Aucun"/>
    <s v="OUI"/>
  </r>
  <r>
    <x v="4"/>
    <s v="BALDI"/>
    <s v="441012MB01"/>
    <d v="1944-10-12T00:00:00"/>
    <n v="72.668493150684938"/>
    <s v=" "/>
    <s v="URGENCES"/>
    <s v="ERASME URGENCES"/>
    <s v="ERASME URGENCES"/>
    <s v="BE"/>
    <s v="M"/>
    <d v="2017-05-26T00:00:00"/>
    <d v="2017-05-23T00:00:00"/>
    <s v="CABG"/>
    <x v="1"/>
    <x v="1"/>
    <n v="0"/>
    <n v="0"/>
    <n v="3"/>
    <s v="PC"/>
    <m/>
    <m/>
    <m/>
    <m/>
    <m/>
    <m/>
    <m/>
    <m/>
    <m/>
    <m/>
    <s v="3R"/>
    <n v="3"/>
    <m/>
    <m/>
    <n v="3"/>
    <d v="2017-05-29T00:00:00"/>
    <n v="3"/>
    <d v="2017-06-08T00:00:00"/>
    <n v="13"/>
    <x v="0"/>
    <n v="2"/>
    <s v="URGENCY"/>
    <s v="D"/>
    <m/>
    <m/>
    <m/>
    <s v="BALDI"/>
    <d v="2017-07-07T00:00:00"/>
    <d v="2017-06-16T00:00:00"/>
    <s v="Y"/>
    <s v="dyalisé"/>
    <d v="2017-09-11T00:00:00"/>
    <s v="Y"/>
    <m/>
    <n v="0"/>
    <n v="1"/>
    <n v="1"/>
    <x v="2"/>
    <s v="Aucune"/>
    <s v="Transfusion"/>
    <s v="Aucune"/>
    <s v="NON"/>
    <s v="NON"/>
    <n v="13"/>
    <n v="13"/>
    <s v="Inconnu"/>
    <n v="3"/>
    <n v="3"/>
    <s v="Inconnu"/>
    <s v="Transfusé"/>
    <n v="3"/>
    <s v="ERASME"/>
    <s v="Aucun"/>
    <s v="Aucun"/>
    <s v="OUI"/>
  </r>
  <r>
    <x v="4"/>
    <s v="MARCIL"/>
    <s v="600619MM02"/>
    <d v="1960-09-19T00:00:00"/>
    <n v="56.726027397260275"/>
    <s v=" "/>
    <s v="USI"/>
    <s v="ERASME USI"/>
    <s v="ERASME USI"/>
    <s v="BE"/>
    <s v="M"/>
    <d v="2017-05-28T00:00:00"/>
    <m/>
    <s v="CABG"/>
    <x v="1"/>
    <x v="1"/>
    <n v="0"/>
    <n v="0"/>
    <n v="1"/>
    <s v="OPCAB"/>
    <m/>
    <m/>
    <m/>
    <m/>
    <m/>
    <m/>
    <m/>
    <n v="1"/>
    <m/>
    <n v="1"/>
    <m/>
    <m/>
    <s v="6R"/>
    <n v="6"/>
    <n v="6"/>
    <d v="2017-06-24T00:00:00"/>
    <n v="27"/>
    <d v="2017-06-24T00:00:00"/>
    <n v="27"/>
    <x v="1"/>
    <n v="3"/>
    <s v="EMERGENCY"/>
    <s v="/"/>
    <m/>
    <m/>
    <m/>
    <s v="MARCIL"/>
    <s v="/"/>
    <d v="2017-06-24T00:00:00"/>
    <s v="N"/>
    <s v="DCD"/>
    <s v="/"/>
    <s v="N"/>
    <s v="DCD"/>
    <n v="1"/>
    <n v="1"/>
    <n v="1"/>
    <x v="1"/>
    <s v="Infection"/>
    <s v="Transfusion"/>
    <s v="Transfusé"/>
    <s v="NON"/>
    <s v="NON"/>
    <n v="27"/>
    <n v="27"/>
    <s v="Inconnu"/>
    <n v="27"/>
    <n v="27"/>
    <s v="Inconnu"/>
    <s v="Transfusé"/>
    <n v="6"/>
    <s v="ERASME"/>
    <s v="AVC"/>
    <s v="Aucun"/>
    <s v="NON"/>
  </r>
  <r>
    <x v="4"/>
    <s v="BELLOUTI"/>
    <s v="640928MB01"/>
    <d v="1964-09-28T00:00:00"/>
    <n v="52.701369863013696"/>
    <s v=" "/>
    <s v="MIRICA"/>
    <s v="ERASME CARDIO"/>
    <s v="ERASME CARDIO"/>
    <s v="FV"/>
    <s v="M"/>
    <d v="2017-05-29T00:00:00"/>
    <d v="2017-05-23T00:00:00"/>
    <s v="MVR"/>
    <x v="2"/>
    <x v="2"/>
    <s v="MVR"/>
    <s v="MVR"/>
    <m/>
    <m/>
    <s v="CE"/>
    <s v="B"/>
    <n v="33"/>
    <m/>
    <m/>
    <m/>
    <n v="1"/>
    <m/>
    <m/>
    <m/>
    <m/>
    <m/>
    <m/>
    <m/>
    <n v="0"/>
    <d v="2017-05-30T00:00:00"/>
    <n v="1"/>
    <d v="2017-06-13T00:00:00"/>
    <n v="15"/>
    <x v="0"/>
    <n v="1"/>
    <s v="ELECTIVE"/>
    <s v="D"/>
    <m/>
    <m/>
    <m/>
    <s v="BELLOUTI"/>
    <d v="2017-07-18T00:00:00"/>
    <d v="2017-06-23T00:00:00"/>
    <s v="Y"/>
    <m/>
    <d v="2017-09-12T00:00:00"/>
    <s v="Y"/>
    <m/>
    <n v="0"/>
    <n v="0"/>
    <n v="1"/>
    <x v="0"/>
    <s v="Aucune"/>
    <s v="Aucune"/>
    <s v="Aucune"/>
    <s v="NON"/>
    <s v="NON"/>
    <n v="15"/>
    <n v="15"/>
    <s v="Inconnu"/>
    <n v="1"/>
    <n v="1"/>
    <s v="Inconnu"/>
    <s v="Aucune"/>
    <n v="0"/>
    <s v="ERASME"/>
    <s v="Aucun"/>
    <s v="Aucun"/>
    <s v="OUI"/>
  </r>
  <r>
    <x v="4"/>
    <s v="POTVIN"/>
    <s v="580525MP01"/>
    <d v="1958-05-25T00:00:00"/>
    <n v="59.052054794520551"/>
    <s v=" "/>
    <s v="URGENCES"/>
    <s v="CHIREC BRAINE"/>
    <s v="CHIREC BRAINE"/>
    <s v="BE"/>
    <s v="M"/>
    <d v="2017-05-29T00:00:00"/>
    <m/>
    <s v="CABG"/>
    <x v="1"/>
    <x v="1"/>
    <n v="0"/>
    <n v="0"/>
    <n v="2"/>
    <s v="OPCAB"/>
    <m/>
    <m/>
    <m/>
    <m/>
    <m/>
    <m/>
    <m/>
    <n v="1"/>
    <m/>
    <n v="1"/>
    <s v="2R"/>
    <n v="2"/>
    <m/>
    <m/>
    <n v="2"/>
    <d v="2017-06-17T00:00:00"/>
    <n v="19"/>
    <d v="2017-06-17T00:00:00"/>
    <n v="19"/>
    <x v="1"/>
    <n v="2"/>
    <s v="URGENCY"/>
    <s v="/"/>
    <m/>
    <m/>
    <m/>
    <s v="POTVIN"/>
    <s v="/"/>
    <d v="2017-06-17T00:00:00"/>
    <s v="N"/>
    <s v="DCD"/>
    <s v="/"/>
    <s v="N"/>
    <s v="DCD"/>
    <n v="1"/>
    <n v="1"/>
    <n v="1"/>
    <x v="2"/>
    <s v="Infection"/>
    <s v="Transfusion"/>
    <s v="Aucune"/>
    <s v="NON"/>
    <s v="NON"/>
    <n v="19"/>
    <n v="19"/>
    <s v="Inconnu"/>
    <n v="19"/>
    <n v="19"/>
    <s v="Inconnu"/>
    <s v="Transfusé"/>
    <n v="2"/>
    <s v="CHIREC"/>
    <s v="AVC"/>
    <s v="Aucun"/>
    <s v="NON"/>
  </r>
  <r>
    <x v="4"/>
    <s v="VERCRUYSSE"/>
    <s v="430401FV03"/>
    <d v="1943-04-01T00:00:00"/>
    <n v="74.213698630136989"/>
    <s v=" "/>
    <s v="DESCAMPS"/>
    <s v="CHWAPI TOURNAI"/>
    <s v="CHWAPI TOURNAI"/>
    <s v="FV"/>
    <s v="F"/>
    <d v="2017-05-30T00:00:00"/>
    <d v="2017-05-23T00:00:00"/>
    <s v="CABG"/>
    <x v="1"/>
    <x v="1"/>
    <n v="0"/>
    <n v="0"/>
    <n v="5"/>
    <s v="PC"/>
    <m/>
    <m/>
    <m/>
    <m/>
    <m/>
    <m/>
    <m/>
    <m/>
    <m/>
    <m/>
    <s v="1R/1Plaq/2Plas"/>
    <n v="4"/>
    <m/>
    <m/>
    <n v="4"/>
    <d v="2017-05-31T00:00:00"/>
    <n v="1"/>
    <d v="2017-06-09T00:00:00"/>
    <n v="10"/>
    <x v="0"/>
    <n v="1"/>
    <s v="ELECTIVE"/>
    <s v="Tournai"/>
    <m/>
    <m/>
    <m/>
    <s v="VERCRUYSSE"/>
    <s v="18/07/2017- annulé"/>
    <d v="2017-06-16T00:00:00"/>
    <s v="Y"/>
    <s v="Toux grasse"/>
    <d v="2017-09-11T00:00:00"/>
    <s v="Y"/>
    <m/>
    <n v="0"/>
    <n v="1"/>
    <n v="1"/>
    <x v="0"/>
    <s v="Aucune"/>
    <s v="Transfusion"/>
    <s v="Aucune"/>
    <s v="NON"/>
    <s v="NON"/>
    <n v="10"/>
    <n v="10"/>
    <s v="Inconnu"/>
    <n v="1"/>
    <n v="1"/>
    <s v="Inconnu"/>
    <s v="Transfusé"/>
    <n v="4"/>
    <s v="CHWAPI TOURNAI"/>
    <s v="Aucun"/>
    <s v="Aucun"/>
    <s v="OUI"/>
  </r>
  <r>
    <x v="4"/>
    <s v="BERNARD"/>
    <s v="601129MB01"/>
    <d v="1960-11-29T00:00:00"/>
    <n v="56.536986301369865"/>
    <s v=" "/>
    <s v="DEDOBBELEER"/>
    <s v="ERASME CARDIO"/>
    <s v="ERASME CARDIO"/>
    <s v="BE"/>
    <s v="M"/>
    <d v="2017-05-30T00:00:00"/>
    <d v="2017-05-23T00:00:00"/>
    <s v="CABG"/>
    <x v="1"/>
    <x v="1"/>
    <n v="0"/>
    <n v="0"/>
    <n v="3"/>
    <s v="PC"/>
    <m/>
    <m/>
    <m/>
    <m/>
    <m/>
    <m/>
    <m/>
    <m/>
    <m/>
    <m/>
    <m/>
    <m/>
    <m/>
    <m/>
    <n v="0"/>
    <d v="2017-06-01T00:00:00"/>
    <n v="2"/>
    <d v="2017-06-06T00:00:00"/>
    <n v="7"/>
    <x v="0"/>
    <n v="1"/>
    <s v="ELECTIVE"/>
    <s v="D"/>
    <m/>
    <m/>
    <m/>
    <s v="BERNARD"/>
    <d v="2017-07-07T00:00:00"/>
    <d v="2017-06-13T00:00:00"/>
    <s v="Y"/>
    <m/>
    <d v="2017-09-11T00:00:00"/>
    <s v="Y"/>
    <s v="Message"/>
    <n v="0"/>
    <n v="0"/>
    <n v="1"/>
    <x v="0"/>
    <s v="Aucune"/>
    <s v="Aucune"/>
    <s v="Aucune"/>
    <s v="NON"/>
    <s v="NON"/>
    <n v="7"/>
    <n v="7"/>
    <s v="Inconnu"/>
    <n v="2"/>
    <n v="2"/>
    <s v="Inconnu"/>
    <s v="Aucune"/>
    <n v="0"/>
    <s v="ERASME"/>
    <s v="Aucun"/>
    <s v="Aucun"/>
    <s v="OUI"/>
  </r>
  <r>
    <x v="4"/>
    <s v="VAN HEMELRYCK"/>
    <s v="511111MV01"/>
    <d v="1951-11-11T00:00:00"/>
    <n v="65.597260273972609"/>
    <s v=" "/>
    <s v="CASADO"/>
    <s v="ERASME CARDIO"/>
    <s v="ERASME CARDIO"/>
    <s v="BE"/>
    <s v="M"/>
    <d v="2017-05-31T00:00:00"/>
    <d v="2017-05-23T00:00:00"/>
    <s v="CABG"/>
    <x v="1"/>
    <x v="1"/>
    <n v="0"/>
    <n v="0"/>
    <n v="1"/>
    <s v="MIDCAB"/>
    <m/>
    <m/>
    <m/>
    <m/>
    <m/>
    <m/>
    <m/>
    <m/>
    <m/>
    <m/>
    <m/>
    <m/>
    <m/>
    <m/>
    <n v="0"/>
    <d v="2017-06-01T00:00:00"/>
    <n v="1"/>
    <d v="2017-06-06T00:00:00"/>
    <n v="6"/>
    <x v="0"/>
    <n v="1"/>
    <s v="ELECTIVE"/>
    <s v="D"/>
    <d v="2017-06-14T00:00:00"/>
    <n v="1"/>
    <s v="C"/>
    <s v="VAN HEMELRYCK"/>
    <d v="2017-07-07T00:00:00"/>
    <d v="2017-06-13T00:00:00"/>
    <s v="Y"/>
    <s v="Message"/>
    <d v="2017-09-11T00:00:00"/>
    <s v="Y"/>
    <m/>
    <n v="0"/>
    <n v="0"/>
    <n v="1"/>
    <x v="0"/>
    <s v="Aucune"/>
    <s v="Aucune"/>
    <s v="Aucune"/>
    <s v="NON"/>
    <s v="OUI"/>
    <n v="6"/>
    <n v="6"/>
    <s v="Inconnu"/>
    <n v="1"/>
    <n v="1"/>
    <s v="Inconnu"/>
    <s v="Aucune"/>
    <n v="0"/>
    <s v="ERASME"/>
    <s v="Aucun"/>
    <s v="Aucun"/>
    <s v="OUI"/>
  </r>
  <r>
    <x v="5"/>
    <s v="MANCINI"/>
    <s v="480712FM01"/>
    <d v="1948-07-12T00:00:00"/>
    <n v="68.93424657534247"/>
    <s v=" "/>
    <s v="BERKENBOOM"/>
    <s v="ERASME CARDIO"/>
    <s v="ERASME CARDIO"/>
    <s v="BE"/>
    <s v="F"/>
    <d v="2017-06-01T00:00:00"/>
    <d v="2017-05-23T00:00:00"/>
    <s v="CABG"/>
    <x v="1"/>
    <x v="1"/>
    <n v="0"/>
    <n v="0"/>
    <n v="1"/>
    <s v="MIDCAB"/>
    <m/>
    <m/>
    <m/>
    <m/>
    <m/>
    <m/>
    <m/>
    <m/>
    <m/>
    <m/>
    <m/>
    <m/>
    <m/>
    <m/>
    <n v="0"/>
    <d v="2017-06-02T00:00:00"/>
    <n v="1"/>
    <d v="2017-06-08T00:00:00"/>
    <n v="7"/>
    <x v="0"/>
    <n v="1"/>
    <s v="ELECTIVE"/>
    <s v="D"/>
    <m/>
    <m/>
    <m/>
    <s v="MANCINI"/>
    <d v="2017-07-07T00:00:00"/>
    <d v="2017-06-16T00:00:00"/>
    <s v="Y"/>
    <s v="Injoignable"/>
    <d v="2017-09-11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5"/>
    <s v="CASTELLANA"/>
    <s v="501007MC01"/>
    <d v="1950-10-07T00:00:00"/>
    <n v="66.698630136986296"/>
    <s v=" "/>
    <s v="ZENAGUI"/>
    <s v="ZENAGUI"/>
    <s v="CT"/>
    <s v="FV"/>
    <s v="M"/>
    <d v="2017-06-02T00:00:00"/>
    <d v="2017-05-23T00:00:00"/>
    <s v="? (CABG)"/>
    <x v="1"/>
    <x v="1"/>
    <n v="0"/>
    <n v="0"/>
    <m/>
    <m/>
    <m/>
    <m/>
    <m/>
    <m/>
    <m/>
    <m/>
    <m/>
    <m/>
    <m/>
    <m/>
    <m/>
    <m/>
    <m/>
    <m/>
    <n v="0"/>
    <d v="2017-06-04T00:00:00"/>
    <n v="2"/>
    <d v="2017-06-09T00:00:00"/>
    <n v="7"/>
    <x v="0"/>
    <n v="1"/>
    <s v="ELECTIVE"/>
    <s v="D"/>
    <m/>
    <m/>
    <m/>
    <s v="CASTELLANA"/>
    <d v="2017-07-18T00:00:00"/>
    <d v="2017-06-16T00:00:00"/>
    <s v="Y"/>
    <m/>
    <d v="2017-09-11T00:00:00"/>
    <s v="Y"/>
    <s v="Message"/>
    <n v="0"/>
    <n v="0"/>
    <n v="1"/>
    <x v="0"/>
    <s v="Aucune"/>
    <s v="Aucune"/>
    <s v="Aucune"/>
    <s v="NON"/>
    <s v="NON"/>
    <n v="7"/>
    <n v="7"/>
    <s v="Inconnu"/>
    <n v="2"/>
    <n v="2"/>
    <s v="Inconnu"/>
    <s v="Aucune"/>
    <n v="0"/>
    <s v="CT"/>
    <s v="Aucun"/>
    <s v="Aucun"/>
    <s v="OUI"/>
  </r>
  <r>
    <x v="5"/>
    <s v="DICK"/>
    <s v="641101MD06"/>
    <d v="1964-11-01T00:00:00"/>
    <n v="52.630136986301373"/>
    <s v=" "/>
    <s v="VACHIERY"/>
    <s v="ERASME CARDIO"/>
    <s v="ERASME CARDIO"/>
    <s v="FV"/>
    <s v="M"/>
    <d v="2017-06-06T00:00:00"/>
    <m/>
    <s v="LVAD"/>
    <x v="6"/>
    <x v="5"/>
    <s v="LVAD/HTX"/>
    <n v="0"/>
    <m/>
    <m/>
    <m/>
    <m/>
    <m/>
    <d v="2017-06-07T00:00:00"/>
    <n v="2"/>
    <m/>
    <m/>
    <m/>
    <m/>
    <m/>
    <m/>
    <m/>
    <m/>
    <m/>
    <n v="0"/>
    <d v="2017-06-16T00:00:00"/>
    <n v="10"/>
    <d v="2017-06-27T00:00:00"/>
    <n v="21"/>
    <x v="0"/>
    <n v="2"/>
    <s v="URGENCY"/>
    <m/>
    <m/>
    <m/>
    <m/>
    <s v="DICK"/>
    <s v="/"/>
    <s v="/"/>
    <m/>
    <s v="LVAD"/>
    <s v="/"/>
    <m/>
    <s v="LVAD"/>
    <n v="0"/>
    <n v="0"/>
    <n v="1"/>
    <x v="2"/>
    <s v="Aucune"/>
    <s v="Aucune"/>
    <s v="Aucune"/>
    <s v="OUI"/>
    <s v="NON"/>
    <n v="21"/>
    <s v="Inconnu"/>
    <n v="21"/>
    <n v="10"/>
    <s v="Inconnu"/>
    <n v="10"/>
    <s v="Aucune"/>
    <n v="0"/>
    <s v="ERASME"/>
    <s v="Aucun"/>
    <s v="Aucun"/>
    <s v="NON"/>
  </r>
  <r>
    <x v="5"/>
    <s v="BRAUWERS"/>
    <s v="530909MB03"/>
    <d v="1953-09-09T00:00:00"/>
    <n v="63.783561643835618"/>
    <s v=" "/>
    <s v="HEDESHI"/>
    <s v="CHR HAUTE SENNE"/>
    <s v="CHR HAUTE SENNE"/>
    <s v="BE"/>
    <s v="M"/>
    <d v="2017-06-06T00:00:00"/>
    <m/>
    <s v="CABG"/>
    <x v="1"/>
    <x v="1"/>
    <n v="0"/>
    <n v="0"/>
    <n v="2"/>
    <s v="OPCAB"/>
    <m/>
    <m/>
    <m/>
    <m/>
    <m/>
    <m/>
    <m/>
    <m/>
    <m/>
    <m/>
    <m/>
    <m/>
    <m/>
    <m/>
    <n v="0"/>
    <d v="2017-06-09T00:00:00"/>
    <n v="3"/>
    <d v="2017-06-17T00:00:00"/>
    <n v="11"/>
    <x v="1"/>
    <n v="2"/>
    <s v="URGENCY"/>
    <s v="D"/>
    <m/>
    <m/>
    <m/>
    <s v="BRAUWERS"/>
    <d v="2017-07-14T00:00:00"/>
    <d v="2017-06-23T00:00:00"/>
    <s v="Y"/>
    <m/>
    <d v="2017-08-18T00:00:00"/>
    <s v="N"/>
    <s v="DCD"/>
    <n v="0"/>
    <n v="0"/>
    <n v="1"/>
    <x v="2"/>
    <s v="Aucune"/>
    <s v="Aucune"/>
    <s v="Aucune"/>
    <s v="NON"/>
    <s v="NON"/>
    <n v="11"/>
    <n v="11"/>
    <s v="Inconnu"/>
    <n v="3"/>
    <n v="3"/>
    <s v="Inconnu"/>
    <s v="Aucune"/>
    <n v="0"/>
    <s v="CHR HAUTE SENNE"/>
    <s v="Aucun"/>
    <s v="Aucun"/>
    <s v="NON"/>
  </r>
  <r>
    <x v="5"/>
    <s v="TAQUET"/>
    <s v="600812MT01"/>
    <d v="1960-08-12T00:00:00"/>
    <n v="56.854794520547948"/>
    <s v=" "/>
    <s v="URGENCES"/>
    <s v="ERASME URGENCES"/>
    <s v="ERASME URGENCES"/>
    <s v="FV"/>
    <s v="M"/>
    <d v="2017-06-06T00:00:00"/>
    <m/>
    <s v="? (CABG)"/>
    <x v="1"/>
    <x v="1"/>
    <n v="0"/>
    <n v="0"/>
    <m/>
    <m/>
    <m/>
    <m/>
    <m/>
    <m/>
    <m/>
    <m/>
    <m/>
    <m/>
    <m/>
    <m/>
    <m/>
    <m/>
    <m/>
    <m/>
    <n v="0"/>
    <d v="2017-06-09T00:00:00"/>
    <n v="3"/>
    <d v="2017-06-14T00:00:00"/>
    <n v="8"/>
    <x v="0"/>
    <n v="3"/>
    <s v="EMERGENCY"/>
    <s v="D"/>
    <m/>
    <m/>
    <m/>
    <s v="TAQUET"/>
    <d v="2017-07-18T00:00:00"/>
    <d v="2017-06-23T00:00:00"/>
    <s v="Y"/>
    <m/>
    <d v="2017-09-18T00:00:00"/>
    <s v="Y"/>
    <m/>
    <n v="0"/>
    <n v="0"/>
    <n v="1"/>
    <x v="1"/>
    <s v="Aucune"/>
    <s v="Aucune"/>
    <s v="Aucune"/>
    <s v="NON"/>
    <s v="NON"/>
    <n v="8"/>
    <n v="8"/>
    <s v="Inconnu"/>
    <n v="3"/>
    <n v="3"/>
    <s v="Inconnu"/>
    <s v="Aucune"/>
    <n v="0"/>
    <s v="ERASME"/>
    <s v="Aucun"/>
    <s v="Aucun"/>
    <s v="NON"/>
  </r>
  <r>
    <x v="5"/>
    <s v="JOURET"/>
    <s v="481024FJ02"/>
    <d v="1948-10-24T00:00:00"/>
    <n v="68.665753424657538"/>
    <s v=" "/>
    <s v="MAHIEU"/>
    <s v="NIVELLES"/>
    <s v="NIVELLES"/>
    <s v="BE"/>
    <s v="F"/>
    <d v="2017-06-07T00:00:00"/>
    <d v="2017-05-30T00:00:00"/>
    <s v="AVR"/>
    <x v="2"/>
    <x v="2"/>
    <s v="AVR"/>
    <s v="AVR"/>
    <m/>
    <m/>
    <s v="CE"/>
    <s v="B"/>
    <n v="21"/>
    <m/>
    <m/>
    <m/>
    <m/>
    <m/>
    <m/>
    <m/>
    <m/>
    <m/>
    <m/>
    <m/>
    <n v="0"/>
    <d v="2017-06-08T00:00:00"/>
    <n v="1"/>
    <d v="2017-06-14T00:00:00"/>
    <n v="7"/>
    <x v="0"/>
    <n v="1"/>
    <s v="ELECTIVE"/>
    <s v="D"/>
    <m/>
    <m/>
    <m/>
    <s v="JOURET"/>
    <d v="2017-07-14T00:00:00"/>
    <d v="2017-06-23T00:00:00"/>
    <s v="Y"/>
    <s v="Message"/>
    <d v="2017-09-19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NIVELLES"/>
    <s v="Aucun"/>
    <s v="Aucun"/>
    <s v="OUI"/>
  </r>
  <r>
    <x v="5"/>
    <s v="PREUSS"/>
    <s v="560505MPAA"/>
    <d v="1956-05-05T00:00:00"/>
    <n v="61.131506849315066"/>
    <s v=" "/>
    <s v="EL MOURAD"/>
    <s v="ERASME CARDIO"/>
    <s v="ERASME CARDIO"/>
    <s v="MLC"/>
    <s v="M"/>
    <d v="2017-06-07T00:00:00"/>
    <d v="2017-05-23T00:00:00"/>
    <s v="CABG"/>
    <x v="1"/>
    <x v="1"/>
    <n v="0"/>
    <n v="0"/>
    <n v="3"/>
    <s v="PC"/>
    <m/>
    <m/>
    <m/>
    <m/>
    <m/>
    <m/>
    <m/>
    <m/>
    <m/>
    <m/>
    <m/>
    <m/>
    <m/>
    <m/>
    <n v="0"/>
    <d v="2017-06-09T00:00:00"/>
    <n v="2"/>
    <d v="2017-06-15T00:00:00"/>
    <n v="8"/>
    <x v="0"/>
    <n v="1"/>
    <s v="ELECTIVE"/>
    <s v="D"/>
    <m/>
    <m/>
    <m/>
    <s v="PREUSS"/>
    <d v="2017-07-13T00:00:00"/>
    <d v="2017-06-23T00:00:00"/>
    <s v="Y"/>
    <m/>
    <d v="2017-09-26T00:00:00"/>
    <s v="Y"/>
    <m/>
    <n v="0"/>
    <n v="0"/>
    <n v="1"/>
    <x v="0"/>
    <s v="Aucune"/>
    <s v="Aucune"/>
    <s v="Aucune"/>
    <s v="NON"/>
    <s v="NON"/>
    <n v="8"/>
    <n v="8"/>
    <s v="Inconnu"/>
    <n v="2"/>
    <n v="2"/>
    <s v="Inconnu"/>
    <s v="Aucune"/>
    <n v="0"/>
    <s v="ERASME"/>
    <s v="Aucun"/>
    <s v="Aucun"/>
    <s v="OUI"/>
  </r>
  <r>
    <x v="5"/>
    <s v="TELLIER"/>
    <s v="510514MT01"/>
    <d v="1951-05-14T00:00:00"/>
    <n v="66.115068493150687"/>
    <s v=" "/>
    <s v="ROGOWSKY"/>
    <s v="CHIREC PARC LEOPOLD"/>
    <s v="CHIREC PARC LEOPOLD"/>
    <s v="FV"/>
    <s v="M"/>
    <d v="2017-06-08T00:00:00"/>
    <d v="2017-05-30T00:00:00"/>
    <s v="AVR + CABG"/>
    <x v="3"/>
    <x v="0"/>
    <s v="CABG + V"/>
    <n v="0"/>
    <n v="2"/>
    <s v="PC"/>
    <s v="CE"/>
    <s v="B"/>
    <n v="25"/>
    <m/>
    <m/>
    <m/>
    <m/>
    <m/>
    <m/>
    <m/>
    <m/>
    <m/>
    <m/>
    <m/>
    <n v="0"/>
    <d v="2017-06-12T00:00:00"/>
    <n v="4"/>
    <d v="2017-06-15T00:00:00"/>
    <n v="7"/>
    <x v="0"/>
    <n v="1"/>
    <s v="ELECTIVE"/>
    <s v="D"/>
    <m/>
    <m/>
    <m/>
    <s v="TELLIER"/>
    <d v="2017-07-18T00:00:00"/>
    <d v="2017-06-23T00:00:00"/>
    <s v="Y"/>
    <s v="Message"/>
    <d v="2017-09-27T00:00:00"/>
    <s v="Y"/>
    <m/>
    <n v="0"/>
    <n v="0"/>
    <n v="1"/>
    <x v="0"/>
    <s v="Aucune"/>
    <s v="Aucune"/>
    <s v="Aucune"/>
    <s v="NON"/>
    <s v="NON"/>
    <n v="7"/>
    <n v="7"/>
    <s v="Inconnu"/>
    <n v="4"/>
    <n v="4"/>
    <s v="Inconnu"/>
    <s v="Aucune"/>
    <n v="0"/>
    <s v="CHIREC"/>
    <s v="Aucun"/>
    <s v="Aucun"/>
    <s v="OUI"/>
  </r>
  <r>
    <x v="5"/>
    <s v="GRONOWSKI"/>
    <s v="311012MG01"/>
    <d v="1931-10-12T00:00:00"/>
    <n v="85.717808219178082"/>
    <s v="1"/>
    <s v="MENASSEL"/>
    <s v="MENASSEL"/>
    <s v="CT"/>
    <s v="FV"/>
    <s v="M"/>
    <d v="2017-06-09T00:00:00"/>
    <d v="2017-05-23T00:00:00"/>
    <s v="CABG"/>
    <x v="1"/>
    <x v="1"/>
    <n v="0"/>
    <n v="0"/>
    <n v="3"/>
    <s v="OPCAB"/>
    <m/>
    <m/>
    <m/>
    <m/>
    <m/>
    <m/>
    <m/>
    <m/>
    <m/>
    <n v="1"/>
    <m/>
    <m/>
    <m/>
    <m/>
    <n v="0"/>
    <d v="2017-06-15T00:00:00"/>
    <n v="6"/>
    <d v="2017-06-26T00:00:00"/>
    <n v="17"/>
    <x v="0"/>
    <n v="1"/>
    <s v="ELECTIVE"/>
    <s v="R"/>
    <m/>
    <m/>
    <m/>
    <s v="GRONOWSKI"/>
    <d v="2017-07-25T00:00:00"/>
    <d v="2017-07-11T00:00:00"/>
    <s v="Y"/>
    <m/>
    <d v="2017-10-03T00:00:00"/>
    <s v="Y"/>
    <s v="Message"/>
    <n v="1"/>
    <n v="0"/>
    <n v="1"/>
    <x v="0"/>
    <s v="Infection"/>
    <s v="Aucune"/>
    <s v="Aucune"/>
    <s v="NON"/>
    <s v="NON"/>
    <n v="17"/>
    <n v="17"/>
    <s v="Inconnu"/>
    <n v="6"/>
    <n v="6"/>
    <s v="Inconnu"/>
    <s v="Aucune"/>
    <n v="0"/>
    <s v="CT"/>
    <s v="Aucun"/>
    <s v="Aucun"/>
    <s v="OUI"/>
  </r>
  <r>
    <x v="5"/>
    <s v="BERNARD"/>
    <s v="290302MB04"/>
    <d v="1929-03-02T00:00:00"/>
    <n v="88.331506849315062"/>
    <s v="1"/>
    <s v="RENARD"/>
    <s v="ERASME CARDIO"/>
    <s v="ERASME CARDIO"/>
    <s v="BE"/>
    <s v="M"/>
    <d v="2017-06-09T00:00:00"/>
    <m/>
    <s v="CABG"/>
    <x v="1"/>
    <x v="1"/>
    <n v="0"/>
    <n v="0"/>
    <n v="2"/>
    <s v="OPCAB"/>
    <m/>
    <m/>
    <m/>
    <m/>
    <m/>
    <m/>
    <m/>
    <n v="1"/>
    <m/>
    <m/>
    <s v="1R"/>
    <n v="1"/>
    <s v="1R"/>
    <n v="1"/>
    <n v="2"/>
    <d v="2017-06-18T00:00:00"/>
    <n v="9"/>
    <d v="2017-06-18T00:00:00"/>
    <n v="9"/>
    <x v="1"/>
    <n v="3"/>
    <s v="EMERGENCY"/>
    <s v="/"/>
    <m/>
    <m/>
    <m/>
    <s v="BERNARD"/>
    <s v="/"/>
    <d v="2017-06-18T00:00:00"/>
    <s v="N"/>
    <s v="DCD"/>
    <s v="/"/>
    <s v="N"/>
    <s v="DCD"/>
    <n v="0"/>
    <n v="1"/>
    <n v="1"/>
    <x v="1"/>
    <s v="Aucune"/>
    <s v="Transfusion"/>
    <s v="Transfusé"/>
    <s v="NON"/>
    <s v="NON"/>
    <n v="9"/>
    <n v="9"/>
    <s v="Inconnu"/>
    <n v="9"/>
    <n v="9"/>
    <s v="Inconnu"/>
    <s v="Transfusé"/>
    <n v="2"/>
    <s v="ERASME"/>
    <s v="AVC"/>
    <s v="Aucun"/>
    <s v="NON"/>
  </r>
  <r>
    <x v="5"/>
    <s v="LESZCZYNSKA"/>
    <s v="530820FL01"/>
    <d v="1953-08-20T00:00:00"/>
    <n v="63.854794520547948"/>
    <s v=" "/>
    <s v="JAMART"/>
    <s v="JAMART"/>
    <s v="CT"/>
    <s v="BE"/>
    <s v="F"/>
    <d v="2017-06-12T00:00:00"/>
    <m/>
    <s v="CABG"/>
    <x v="1"/>
    <x v="1"/>
    <n v="0"/>
    <n v="0"/>
    <n v="1"/>
    <s v="MIDCAB"/>
    <m/>
    <m/>
    <m/>
    <m/>
    <m/>
    <m/>
    <m/>
    <m/>
    <m/>
    <m/>
    <m/>
    <m/>
    <m/>
    <m/>
    <n v="0"/>
    <d v="2017-06-13T00:00:00"/>
    <n v="1"/>
    <d v="2017-06-17T00:00:00"/>
    <n v="5"/>
    <x v="0"/>
    <n v="2"/>
    <s v="URGENCY"/>
    <s v="D"/>
    <m/>
    <m/>
    <m/>
    <s v="LESZCZYNSKA"/>
    <d v="2017-07-14T00:00:00"/>
    <d v="2017-06-23T00:00:00"/>
    <s v="Y"/>
    <m/>
    <d v="2017-09-19T00:00:00"/>
    <s v="Y"/>
    <m/>
    <n v="0"/>
    <n v="0"/>
    <n v="1"/>
    <x v="2"/>
    <s v="Aucune"/>
    <s v="Aucune"/>
    <s v="Aucune"/>
    <s v="NON"/>
    <s v="NON"/>
    <n v="5"/>
    <n v="5"/>
    <s v="Inconnu"/>
    <n v="1"/>
    <n v="1"/>
    <s v="Inconnu"/>
    <s v="Aucune"/>
    <n v="0"/>
    <s v="CT"/>
    <s v="Aucun"/>
    <s v="Aucun"/>
    <s v="NON"/>
  </r>
  <r>
    <x v="5"/>
    <s v="DE PAUW"/>
    <s v="380715FD03"/>
    <d v="1938-07-15T00:00:00"/>
    <n v="78.964383561643842"/>
    <s v=" "/>
    <s v="BRAD"/>
    <s v="BRAD"/>
    <s v="CT"/>
    <s v="MLC"/>
    <s v="F"/>
    <d v="2017-06-12T00:00:00"/>
    <m/>
    <s v="Fenêtre pleuro-péric"/>
    <x v="4"/>
    <x v="3"/>
    <n v="0"/>
    <n v="0"/>
    <m/>
    <m/>
    <m/>
    <m/>
    <m/>
    <m/>
    <m/>
    <m/>
    <m/>
    <m/>
    <m/>
    <m/>
    <m/>
    <m/>
    <m/>
    <m/>
    <n v="0"/>
    <d v="2017-06-13T00:00:00"/>
    <n v="1"/>
    <d v="2017-06-15T00:00:00"/>
    <n v="3"/>
    <x v="0"/>
    <n v="1"/>
    <s v="ELECTIVE"/>
    <s v="D"/>
    <m/>
    <m/>
    <m/>
    <s v="DE PAUW"/>
    <d v="2017-07-13T00:00:00"/>
    <d v="2017-06-23T00:00:00"/>
    <s v="Y"/>
    <s v="douleur jambe"/>
    <d v="2017-09-26T00:00:00"/>
    <s v="Y"/>
    <m/>
    <n v="0"/>
    <n v="0"/>
    <n v="1"/>
    <x v="0"/>
    <s v="Aucune"/>
    <s v="Aucune"/>
    <s v="Aucune"/>
    <s v="NON"/>
    <s v="NON"/>
    <n v="3"/>
    <n v="3"/>
    <s v="Inconnu"/>
    <n v="1"/>
    <n v="1"/>
    <s v="Inconnu"/>
    <s v="Aucune"/>
    <n v="0"/>
    <s v="CT"/>
    <s v="Aucun"/>
    <s v="Aucun"/>
    <s v="NON"/>
  </r>
  <r>
    <x v="5"/>
    <s v="VENTURELLI"/>
    <s v="360521MV03"/>
    <d v="1936-05-21T00:00:00"/>
    <n v="81.117808219178087"/>
    <s v="1"/>
    <s v="HEDESHI"/>
    <s v="CHR HAUTE SENNE"/>
    <s v="CT"/>
    <s v="BE"/>
    <s v="M"/>
    <d v="2017-06-13T00:00:00"/>
    <d v="2017-05-23T00:00:00"/>
    <s v="CABG"/>
    <x v="1"/>
    <x v="1"/>
    <n v="0"/>
    <n v="0"/>
    <n v="2"/>
    <s v="OPCAB"/>
    <m/>
    <m/>
    <m/>
    <m/>
    <m/>
    <m/>
    <m/>
    <m/>
    <m/>
    <n v="1"/>
    <m/>
    <m/>
    <m/>
    <m/>
    <n v="0"/>
    <d v="2017-06-15T00:00:00"/>
    <n v="2"/>
    <d v="2017-06-20T00:00:00"/>
    <n v="7"/>
    <x v="0"/>
    <n v="1"/>
    <s v="ELECTIVE"/>
    <s v="D"/>
    <m/>
    <m/>
    <m/>
    <s v="VENTURELLI"/>
    <d v="2017-07-14T00:00:00"/>
    <d v="2017-06-27T00:00:00"/>
    <s v="Y"/>
    <s v="Message"/>
    <d v="2017-09-19T00:00:00"/>
    <s v="Y"/>
    <m/>
    <n v="1"/>
    <n v="0"/>
    <n v="1"/>
    <x v="0"/>
    <s v="Infection"/>
    <s v="Aucune"/>
    <s v="Aucune"/>
    <s v="NON"/>
    <s v="NON"/>
    <n v="7"/>
    <n v="7"/>
    <s v="Inconnu"/>
    <n v="2"/>
    <n v="2"/>
    <s v="Inconnu"/>
    <s v="Aucune"/>
    <n v="0"/>
    <s v="CT"/>
    <s v="Aucun"/>
    <s v="Aucun"/>
    <s v="OUI"/>
  </r>
  <r>
    <x v="5"/>
    <s v="DANSAERT"/>
    <s v="490906FD06"/>
    <d v="1949-09-06T00:00:00"/>
    <n v="67.816438356164383"/>
    <s v=" "/>
    <s v="BONDUE"/>
    <s v="ERASME CARDIO"/>
    <s v="ERASME CARDIO"/>
    <s v="MLC"/>
    <s v="F"/>
    <d v="2017-06-14T00:00:00"/>
    <d v="2017-05-02T00:00:00"/>
    <s v="AVR"/>
    <x v="2"/>
    <x v="2"/>
    <s v="AVR"/>
    <s v="AVR"/>
    <m/>
    <m/>
    <s v="CE"/>
    <s v="B"/>
    <n v="21"/>
    <m/>
    <m/>
    <m/>
    <m/>
    <m/>
    <m/>
    <m/>
    <m/>
    <m/>
    <m/>
    <m/>
    <n v="0"/>
    <d v="2017-06-15T00:00:00"/>
    <n v="1"/>
    <d v="2017-06-21T00:00:00"/>
    <n v="7"/>
    <x v="0"/>
    <n v="1"/>
    <s v="ELECTIVE"/>
    <s v="D"/>
    <m/>
    <m/>
    <m/>
    <s v="DANSAERT"/>
    <d v="2017-07-20T00:00:00"/>
    <d v="2017-06-30T00:00:00"/>
    <s v="Y"/>
    <m/>
    <d v="2017-09-19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5"/>
    <s v="EVRARD"/>
    <s v="641201ME01"/>
    <d v="1964-12-01T00:00:00"/>
    <n v="52.57260273972603"/>
    <s v=" "/>
    <s v="CARLIER"/>
    <s v="AMBROISE PARE"/>
    <s v="AMBROISE PARE"/>
    <s v="FV"/>
    <s v="M"/>
    <d v="2017-06-15T00:00:00"/>
    <d v="2017-06-13T00:00:00"/>
    <s v="CABG"/>
    <x v="1"/>
    <x v="1"/>
    <n v="0"/>
    <n v="0"/>
    <n v="4"/>
    <s v="PC"/>
    <m/>
    <m/>
    <m/>
    <m/>
    <m/>
    <m/>
    <m/>
    <m/>
    <m/>
    <m/>
    <m/>
    <m/>
    <m/>
    <m/>
    <n v="0"/>
    <d v="2017-06-16T00:00:00"/>
    <n v="1"/>
    <d v="2017-06-22T00:00:00"/>
    <n v="7"/>
    <x v="0"/>
    <n v="1"/>
    <s v="ELECTIVE"/>
    <s v="D"/>
    <m/>
    <m/>
    <m/>
    <s v="EVRARD"/>
    <d v="2017-07-25T00:00:00"/>
    <d v="2017-06-30T00:00:00"/>
    <s v="Y"/>
    <m/>
    <d v="2017-09-26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AMBROISE PARE"/>
    <s v="Aucun"/>
    <s v="Aucun"/>
    <s v="OUI"/>
  </r>
  <r>
    <x v="5"/>
    <s v="ATKINS"/>
    <s v="530821MA02 "/>
    <d v="1953-08-21T00:00:00"/>
    <n v="63.863013698630134"/>
    <s v=" "/>
    <s v="HEDESHI"/>
    <s v="CHR HAUTE SENNE"/>
    <s v="CHR HAUTE SENNE"/>
    <s v="MLC"/>
    <s v="M"/>
    <d v="2017-06-16T00:00:00"/>
    <d v="2017-06-13T00:00:00"/>
    <s v="CABG"/>
    <x v="1"/>
    <x v="1"/>
    <n v="0"/>
    <n v="0"/>
    <n v="3"/>
    <s v="PC"/>
    <m/>
    <m/>
    <m/>
    <m/>
    <m/>
    <m/>
    <m/>
    <m/>
    <m/>
    <m/>
    <m/>
    <m/>
    <m/>
    <m/>
    <n v="0"/>
    <d v="2017-06-17T00:00:00"/>
    <n v="1"/>
    <d v="2017-06-22T00:00:00"/>
    <n v="6"/>
    <x v="0"/>
    <n v="1"/>
    <s v="ELECTIVE"/>
    <s v="D"/>
    <m/>
    <m/>
    <m/>
    <s v="ATKINS"/>
    <d v="2017-07-20T00:00:00"/>
    <d v="2017-06-30T00:00:00"/>
    <s v="Y"/>
    <m/>
    <d v="2017-09-19T00:00:00"/>
    <s v="Y"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HR HAUTE SENNE"/>
    <s v="Aucun"/>
    <s v="Aucun"/>
    <s v="OUI"/>
  </r>
  <r>
    <x v="5"/>
    <s v="BARBIEUX"/>
    <s v="670325MB04"/>
    <d v="1967-03-25T00:00:00"/>
    <n v="50.263013698630139"/>
    <s v=" "/>
    <s v="HEDESHI"/>
    <s v="CHR HAUTE SENNE"/>
    <s v="CHR HAUTE SENNE"/>
    <s v="FV"/>
    <s v="M"/>
    <d v="2017-06-16T00:00:00"/>
    <d v="2017-06-13T00:00:00"/>
    <s v="CABG"/>
    <x v="1"/>
    <x v="1"/>
    <n v="0"/>
    <n v="0"/>
    <n v="3"/>
    <s v="PC"/>
    <m/>
    <m/>
    <m/>
    <m/>
    <m/>
    <m/>
    <m/>
    <m/>
    <m/>
    <m/>
    <m/>
    <m/>
    <m/>
    <m/>
    <n v="0"/>
    <d v="2017-06-17T00:00:00"/>
    <n v="1"/>
    <d v="2017-06-22T00:00:00"/>
    <n v="6"/>
    <x v="0"/>
    <n v="2"/>
    <s v="URGENCY"/>
    <s v="D"/>
    <m/>
    <m/>
    <m/>
    <s v="BARBIEUX"/>
    <d v="2017-07-25T00:00:00"/>
    <d v="2017-06-30T00:00:00"/>
    <s v="Y"/>
    <m/>
    <d v="2017-09-26T00:00:00"/>
    <s v="Y"/>
    <m/>
    <n v="0"/>
    <n v="0"/>
    <n v="1"/>
    <x v="2"/>
    <s v="Aucune"/>
    <s v="Aucune"/>
    <s v="Aucune"/>
    <s v="NON"/>
    <s v="NON"/>
    <n v="6"/>
    <n v="6"/>
    <s v="Inconnu"/>
    <n v="1"/>
    <n v="1"/>
    <s v="Inconnu"/>
    <s v="Aucune"/>
    <n v="0"/>
    <s v="CHR HAUTE SENNE"/>
    <s v="Aucun"/>
    <s v="Aucun"/>
    <s v="OUI"/>
  </r>
  <r>
    <x v="5"/>
    <s v="SONCK"/>
    <s v="540118FSAA"/>
    <d v="1954-01-18T00:00:00"/>
    <n v="63.460273972602742"/>
    <s v=" "/>
    <s v="ZENAGUI"/>
    <s v="BRACOPS"/>
    <s v="BRACOPS"/>
    <s v="MLC"/>
    <s v="F"/>
    <d v="2017-06-19T00:00:00"/>
    <d v="2017-06-13T00:00:00"/>
    <s v="CABG"/>
    <x v="1"/>
    <x v="1"/>
    <n v="0"/>
    <n v="0"/>
    <n v="3"/>
    <s v="PC"/>
    <m/>
    <m/>
    <m/>
    <m/>
    <m/>
    <m/>
    <m/>
    <m/>
    <m/>
    <m/>
    <m/>
    <m/>
    <m/>
    <m/>
    <n v="0"/>
    <d v="2017-06-20T00:00:00"/>
    <n v="1"/>
    <d v="2017-06-26T00:00:00"/>
    <n v="7"/>
    <x v="0"/>
    <n v="1"/>
    <s v="ELECTIVE"/>
    <s v="D"/>
    <m/>
    <m/>
    <m/>
    <s v="SONCK"/>
    <d v="2017-07-27T00:00:00"/>
    <d v="2017-07-11T00:00:00"/>
    <s v="Y"/>
    <s v="Message"/>
    <d v="2017-10-03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BRACOPS"/>
    <s v="Aucun"/>
    <s v="Aucun"/>
    <s v="OUI"/>
  </r>
  <r>
    <x v="5"/>
    <s v="MAHDI"/>
    <s v="570515MM03"/>
    <d v="1957-05-15T00:00:00"/>
    <n v="60.142465753424659"/>
    <s v=" "/>
    <s v="CARDIO"/>
    <s v="ERASME CARDIO"/>
    <s v="ERASME CARDIO"/>
    <s v="BE"/>
    <s v="M"/>
    <d v="2017-06-21T00:00:00"/>
    <d v="2017-06-20T00:00:00"/>
    <s v="CABG"/>
    <x v="1"/>
    <x v="1"/>
    <n v="0"/>
    <n v="0"/>
    <n v="3"/>
    <s v="PC"/>
    <m/>
    <m/>
    <m/>
    <m/>
    <m/>
    <m/>
    <m/>
    <m/>
    <m/>
    <n v="1"/>
    <s v="2R"/>
    <n v="2"/>
    <m/>
    <m/>
    <n v="2"/>
    <d v="2017-06-26T00:00:00"/>
    <n v="5"/>
    <d v="2017-07-07T00:00:00"/>
    <n v="16"/>
    <x v="0"/>
    <n v="2"/>
    <s v="URGENCY"/>
    <s v="R"/>
    <m/>
    <m/>
    <m/>
    <s v="MAHDI"/>
    <d v="2017-08-18T00:00:00"/>
    <d v="2017-07-14T00:00:00"/>
    <s v="Y"/>
    <m/>
    <d v="2017-10-11T00:00:00"/>
    <s v="Y"/>
    <m/>
    <n v="1"/>
    <n v="1"/>
    <n v="1"/>
    <x v="2"/>
    <s v="Infection"/>
    <s v="Transfusion"/>
    <s v="Aucune"/>
    <s v="NON"/>
    <s v="NON"/>
    <n v="16"/>
    <n v="16"/>
    <s v="Inconnu"/>
    <n v="5"/>
    <n v="5"/>
    <s v="Inconnu"/>
    <s v="Transfusé"/>
    <n v="2"/>
    <s v="ERASME"/>
    <s v="Aucun"/>
    <s v="Aucun"/>
    <s v="OUI"/>
  </r>
  <r>
    <x v="5"/>
    <s v="GURSOY"/>
    <s v="980703MG01"/>
    <d v="1998-07-03T00:00:00"/>
    <n v="18.986301369863014"/>
    <s v=" "/>
    <s v="ROUSSOULIERES"/>
    <s v="ERASME CARDIO"/>
    <s v="ERASME CARDIO"/>
    <s v="FV"/>
    <s v="M"/>
    <d v="2017-06-23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7-03T00:00:00"/>
    <n v="10"/>
    <d v="2017-07-21T00:00:00"/>
    <n v="28"/>
    <x v="0"/>
    <n v="2"/>
    <s v="URGENCY"/>
    <s v="D"/>
    <m/>
    <m/>
    <m/>
    <s v="GURSOY"/>
    <s v="/"/>
    <s v="/"/>
    <m/>
    <s v="HTX"/>
    <s v="/"/>
    <m/>
    <s v="HTX"/>
    <n v="0"/>
    <n v="0"/>
    <n v="1"/>
    <x v="2"/>
    <s v="Aucune"/>
    <s v="Aucune"/>
    <s v="Aucune"/>
    <s v="NON"/>
    <s v="NON"/>
    <n v="28"/>
    <s v="Inconnu"/>
    <n v="28"/>
    <n v="10"/>
    <s v="Inconnu"/>
    <n v="10"/>
    <s v="Aucune"/>
    <n v="0"/>
    <s v="ERASME"/>
    <s v="Aucun"/>
    <s v="Aucun"/>
    <s v="NON"/>
  </r>
  <r>
    <x v="5"/>
    <s v="NERINCKX"/>
    <s v="451122MN01"/>
    <d v="1945-11-22T00:00:00"/>
    <n v="71.641095890410952"/>
    <s v=" "/>
    <s v="DEDOBBELEER"/>
    <s v="CHIREC BRAINE"/>
    <s v="CHIREC BRAINE"/>
    <s v="MLC"/>
    <s v="M"/>
    <d v="2017-06-26T00:00:00"/>
    <d v="2017-06-20T00:00:00"/>
    <s v="CABG"/>
    <x v="1"/>
    <x v="1"/>
    <n v="0"/>
    <n v="0"/>
    <n v="3"/>
    <s v="PC"/>
    <m/>
    <m/>
    <m/>
    <m/>
    <m/>
    <m/>
    <m/>
    <m/>
    <m/>
    <m/>
    <m/>
    <m/>
    <m/>
    <m/>
    <n v="0"/>
    <d v="2017-06-27T00:00:00"/>
    <n v="1"/>
    <d v="2017-07-03T00:00:00"/>
    <n v="7"/>
    <x v="0"/>
    <n v="1"/>
    <s v="ELECTIVE"/>
    <s v="D"/>
    <m/>
    <m/>
    <m/>
    <s v="NERINCKX"/>
    <d v="2017-08-03T00:00:00"/>
    <d v="2017-07-11T00:00:00"/>
    <s v="Y"/>
    <m/>
    <d v="2017-10-04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OUI"/>
  </r>
  <r>
    <x v="6"/>
    <s v="GELGESSEN"/>
    <s v="430303MGAA"/>
    <d v="1943-03-03T00:00:00"/>
    <n v="74.389041095890406"/>
    <s v=" "/>
    <s v="MIRICA"/>
    <s v="ERASME CARDIO"/>
    <s v="ERASME CARDIO"/>
    <s v="FV"/>
    <s v="M"/>
    <d v="2017-07-04T00:00:00"/>
    <d v="2017-06-06T00:00:00"/>
    <s v="CABG + MAZE"/>
    <x v="1"/>
    <x v="1"/>
    <n v="0"/>
    <n v="0"/>
    <n v="4"/>
    <s v="PC"/>
    <m/>
    <m/>
    <m/>
    <m/>
    <m/>
    <m/>
    <m/>
    <m/>
    <m/>
    <m/>
    <m/>
    <m/>
    <m/>
    <m/>
    <n v="0"/>
    <d v="2017-07-07T00:00:00"/>
    <n v="3"/>
    <d v="2017-07-11T00:00:00"/>
    <n v="7"/>
    <x v="0"/>
    <n v="1"/>
    <s v="ELECTIVE"/>
    <s v="D"/>
    <m/>
    <m/>
    <m/>
    <s v="GELGESSEN"/>
    <d v="2017-08-08T00:00:00"/>
    <d v="2017-07-19T00:00:00"/>
    <s v="Y"/>
    <m/>
    <d v="2017-10-11T00:00:00"/>
    <s v="Y"/>
    <s v="Message"/>
    <n v="0"/>
    <n v="0"/>
    <n v="1"/>
    <x v="0"/>
    <s v="Aucune"/>
    <s v="Aucune"/>
    <s v="Aucune"/>
    <s v="NON"/>
    <s v="NON"/>
    <n v="7"/>
    <n v="7"/>
    <s v="Inconnu"/>
    <n v="3"/>
    <n v="3"/>
    <s v="Inconnu"/>
    <s v="Aucune"/>
    <n v="0"/>
    <s v="ERASME"/>
    <s v="Aucun"/>
    <s v="Aucun"/>
    <s v="OUI"/>
  </r>
  <r>
    <x v="6"/>
    <s v="ADAM"/>
    <s v="360615FAAA"/>
    <d v="1936-06-15T00:00:00"/>
    <n v="81.109589041095887"/>
    <s v="1"/>
    <s v="KHODADADI"/>
    <s v="CHIREC PARC LEOPOLD"/>
    <s v="CHIREC PARC LEOPOLD"/>
    <s v="MLC"/>
    <s v="F"/>
    <d v="2017-07-05T00:00:00"/>
    <d v="2017-07-04T00:00:00"/>
    <s v="CABG"/>
    <x v="1"/>
    <x v="1"/>
    <n v="0"/>
    <n v="0"/>
    <n v="2"/>
    <s v="PC"/>
    <m/>
    <m/>
    <m/>
    <m/>
    <m/>
    <m/>
    <m/>
    <m/>
    <m/>
    <m/>
    <s v="2R"/>
    <n v="2"/>
    <m/>
    <m/>
    <n v="2"/>
    <d v="2017-07-06T00:00:00"/>
    <n v="1"/>
    <d v="2017-07-11T00:00:00"/>
    <n v="6"/>
    <x v="0"/>
    <n v="2"/>
    <s v="URGENCY"/>
    <s v="R"/>
    <m/>
    <m/>
    <m/>
    <s v="ADAM"/>
    <d v="2017-08-10T00:00:00"/>
    <d v="2017-07-19T00:00:00"/>
    <s v="Y"/>
    <s v="pas de réponse"/>
    <d v="2017-10-11T00:00:00"/>
    <s v="Y"/>
    <s v="hospit en gériatrie"/>
    <n v="0"/>
    <n v="1"/>
    <n v="1"/>
    <x v="2"/>
    <s v="Aucune"/>
    <s v="Transfusion"/>
    <s v="Aucune"/>
    <s v="NON"/>
    <s v="NON"/>
    <n v="6"/>
    <n v="6"/>
    <s v="Inconnu"/>
    <n v="1"/>
    <n v="1"/>
    <s v="Inconnu"/>
    <s v="Transfusé"/>
    <n v="2"/>
    <s v="CHIREC"/>
    <s v="Aucun"/>
    <s v="Aucun"/>
    <s v="OUI"/>
  </r>
  <r>
    <x v="6"/>
    <s v="SELVON"/>
    <s v="800107MS02"/>
    <d v="1980-01-07T00:00:00"/>
    <n v="37.539726027397258"/>
    <s v=" "/>
    <s v="EL MOURAD"/>
    <s v="ERASME CARDIO"/>
    <s v="ERASME CARDIO"/>
    <s v="BE"/>
    <s v="M"/>
    <d v="2017-07-13T00:00:00"/>
    <d v="2017-06-20T00:00:00"/>
    <s v="CABG"/>
    <x v="1"/>
    <x v="1"/>
    <n v="0"/>
    <n v="0"/>
    <n v="2"/>
    <s v="OPCAB"/>
    <m/>
    <m/>
    <m/>
    <m/>
    <m/>
    <m/>
    <m/>
    <m/>
    <m/>
    <m/>
    <s v="2R"/>
    <n v="2"/>
    <m/>
    <m/>
    <n v="2"/>
    <d v="2017-07-14T00:00:00"/>
    <n v="1"/>
    <d v="2017-07-20T00:00:00"/>
    <n v="7"/>
    <x v="0"/>
    <n v="2"/>
    <s v="URGENCY"/>
    <s v="D"/>
    <d v="2017-08-07T00:00:00"/>
    <n v="1"/>
    <s v="NC"/>
    <s v="SELVON"/>
    <d v="2017-08-18T00:00:00"/>
    <d v="2017-07-28T00:00:00"/>
    <s v="Y"/>
    <m/>
    <d v="2017-10-23T00:00:00"/>
    <s v="Y"/>
    <m/>
    <n v="0"/>
    <n v="1"/>
    <n v="1"/>
    <x v="2"/>
    <s v="Aucune"/>
    <s v="Transfusion"/>
    <s v="Aucune"/>
    <s v="NON"/>
    <s v="OUI"/>
    <n v="7"/>
    <n v="7"/>
    <s v="Inconnu"/>
    <n v="1"/>
    <n v="1"/>
    <s v="Inconnu"/>
    <s v="Transfusé"/>
    <n v="2"/>
    <s v="ERASME"/>
    <s v="Aucun"/>
    <s v="Aucun"/>
    <s v="OUI"/>
  </r>
  <r>
    <x v="6"/>
    <s v="PALOMARES"/>
    <s v="350903FP02"/>
    <d v="1935-09-03T00:00:00"/>
    <n v="81.917808219178085"/>
    <s v="1"/>
    <s v="GASSAVELIS"/>
    <s v="GASSAVELIS"/>
    <s v="CT"/>
    <s v="BE"/>
    <s v="F"/>
    <d v="2017-07-14T00:00:00"/>
    <d v="2017-07-04T00:00:00"/>
    <s v="AVR + CABG"/>
    <x v="3"/>
    <x v="0"/>
    <s v="CABG + V"/>
    <n v="0"/>
    <n v="1"/>
    <s v="PC"/>
    <s v="Perceval"/>
    <s v="B"/>
    <s v="M"/>
    <m/>
    <m/>
    <m/>
    <m/>
    <m/>
    <m/>
    <m/>
    <s v="3R"/>
    <n v="3"/>
    <m/>
    <m/>
    <n v="3"/>
    <d v="2017-07-16T00:00:00"/>
    <n v="2"/>
    <d v="2017-07-27T00:00:00"/>
    <n v="13"/>
    <x v="0"/>
    <n v="1"/>
    <s v="ELECTIVE"/>
    <s v="D"/>
    <m/>
    <m/>
    <m/>
    <s v="PALOMARES"/>
    <d v="2017-08-18T00:00:00"/>
    <d v="2017-08-08T00:00:00"/>
    <s v="Y"/>
    <m/>
    <d v="2017-11-10T00:00:00"/>
    <s v="Y"/>
    <m/>
    <n v="0"/>
    <n v="1"/>
    <n v="1"/>
    <x v="0"/>
    <s v="Aucune"/>
    <s v="Transfusion"/>
    <s v="Aucune"/>
    <s v="NON"/>
    <s v="NON"/>
    <n v="13"/>
    <n v="13"/>
    <s v="Inconnu"/>
    <n v="2"/>
    <n v="2"/>
    <s v="Inconnu"/>
    <s v="Transfusé"/>
    <n v="3"/>
    <s v="CT"/>
    <s v="Aucun"/>
    <s v="Aucun"/>
    <s v="OUI"/>
  </r>
  <r>
    <x v="6"/>
    <s v="STEFANOVIC"/>
    <s v="520804MS02 "/>
    <d v="1952-08-04T00:00:00"/>
    <n v="64.9945205479452"/>
    <s v=" "/>
    <s v="GASSAVELIS"/>
    <s v="GASSAVELIS"/>
    <s v="CT"/>
    <s v="FV"/>
    <s v="M"/>
    <d v="2017-07-17T00:00:00"/>
    <d v="2017-07-04T00:00:00"/>
    <s v="MVR + CABG"/>
    <x v="3"/>
    <x v="0"/>
    <s v="CABG + V"/>
    <n v="0"/>
    <n v="2"/>
    <s v="PC"/>
    <s v="CE"/>
    <s v="B"/>
    <n v="31"/>
    <m/>
    <m/>
    <m/>
    <n v="1"/>
    <m/>
    <m/>
    <m/>
    <s v="1Plaq"/>
    <n v="1"/>
    <s v="2R"/>
    <n v="2"/>
    <n v="3"/>
    <d v="2017-07-19T00:00:00"/>
    <n v="2"/>
    <d v="2017-07-26T00:00:00"/>
    <n v="9"/>
    <x v="0"/>
    <n v="1"/>
    <s v="ELECTIVE"/>
    <s v="D"/>
    <m/>
    <m/>
    <m/>
    <s v="STEFANOVIC"/>
    <d v="2017-08-29T00:00:00"/>
    <d v="2017-08-02T00:00:00"/>
    <s v="Y"/>
    <s v="Message"/>
    <d v="2017-11-10T00:00:00"/>
    <s v="Y"/>
    <m/>
    <n v="0"/>
    <n v="1"/>
    <n v="1"/>
    <x v="0"/>
    <s v="Aucune"/>
    <s v="Transfusion"/>
    <s v="Transfusé"/>
    <s v="NON"/>
    <s v="NON"/>
    <n v="9"/>
    <n v="9"/>
    <s v="Inconnu"/>
    <n v="2"/>
    <n v="2"/>
    <s v="Inconnu"/>
    <s v="Transfusé"/>
    <n v="3"/>
    <s v="CT"/>
    <s v="Aucun"/>
    <s v="Aucun"/>
    <s v="OUI"/>
  </r>
  <r>
    <x v="6"/>
    <s v="NUCHOWICZ"/>
    <s v="600113MN01"/>
    <d v="1960-01-13T00:00:00"/>
    <n v="57.550684931506851"/>
    <s v=" "/>
    <s v="EL MOURAD"/>
    <s v="ERASME CARDIO"/>
    <s v="ERASME CARDIO"/>
    <s v="BE"/>
    <s v="M"/>
    <d v="2017-07-18T00:00:00"/>
    <d v="2017-07-18T00:00:00"/>
    <s v="CABG"/>
    <x v="1"/>
    <x v="1"/>
    <n v="0"/>
    <n v="0"/>
    <n v="2"/>
    <s v="OPCAB"/>
    <m/>
    <m/>
    <m/>
    <d v="2017-07-18T00:00:00"/>
    <n v="1"/>
    <m/>
    <m/>
    <m/>
    <m/>
    <m/>
    <s v="3R"/>
    <n v="3"/>
    <s v="2R"/>
    <n v="2"/>
    <n v="5"/>
    <d v="2017-07-26T00:00:00"/>
    <n v="8"/>
    <d v="2017-08-21T00:00:00"/>
    <n v="34"/>
    <x v="0"/>
    <n v="2"/>
    <s v="URGENCY"/>
    <s v="D"/>
    <m/>
    <m/>
    <m/>
    <s v="NUCHOWICZ"/>
    <d v="2017-09-08T00:00:00"/>
    <d v="2017-09-11T00:00:00"/>
    <s v="Y"/>
    <s v="non mutualiste-pas légal"/>
    <m/>
    <m/>
    <m/>
    <n v="0"/>
    <n v="1"/>
    <n v="1"/>
    <x v="2"/>
    <s v="Aucune"/>
    <s v="Transfusion"/>
    <s v="Transfusé"/>
    <s v="OUI"/>
    <s v="NON"/>
    <n v="34"/>
    <n v="34"/>
    <s v="Inconnu"/>
    <n v="8"/>
    <n v="8"/>
    <s v="Inconnu"/>
    <s v="Transfusé"/>
    <n v="5"/>
    <s v="ERASME"/>
    <s v="Aucun"/>
    <s v="Aucun"/>
    <s v="OUI"/>
  </r>
  <r>
    <x v="6"/>
    <s v="STANDAERT"/>
    <s v="330215FS01"/>
    <d v="1933-02-15T00:00:00"/>
    <n v="84.479452054794521"/>
    <s v="1"/>
    <s v="GREGOIRE"/>
    <s v="GREGOIRE"/>
    <s v="CT"/>
    <s v="FV"/>
    <s v="F"/>
    <d v="2017-07-19T00:00:00"/>
    <d v="2017-07-11T00:00:00"/>
    <s v="AVR"/>
    <x v="2"/>
    <x v="2"/>
    <s v="AVR"/>
    <s v="AVR"/>
    <m/>
    <m/>
    <s v="Perceval"/>
    <s v="B"/>
    <s v="M"/>
    <m/>
    <m/>
    <m/>
    <m/>
    <m/>
    <m/>
    <n v="1"/>
    <m/>
    <m/>
    <m/>
    <m/>
    <n v="0"/>
    <d v="2017-07-21T00:00:00"/>
    <n v="2"/>
    <d v="2017-08-16T00:00:00"/>
    <n v="28"/>
    <x v="0"/>
    <n v="1"/>
    <s v="ELECTIVE"/>
    <s v="R"/>
    <m/>
    <m/>
    <m/>
    <s v="STANDAERT"/>
    <d v="2017-09-12T00:00:00"/>
    <d v="2017-08-29T00:00:00"/>
    <s v="Y"/>
    <m/>
    <d v="2017-11-03T00:00:00"/>
    <s v="Y"/>
    <s v="plaie suinte toujours"/>
    <n v="1"/>
    <n v="0"/>
    <n v="1"/>
    <x v="0"/>
    <s v="Infection"/>
    <s v="Aucune"/>
    <s v="Aucune"/>
    <s v="NON"/>
    <s v="NON"/>
    <n v="28"/>
    <n v="28"/>
    <s v="Inconnu"/>
    <n v="2"/>
    <n v="2"/>
    <s v="Inconnu"/>
    <s v="Aucune"/>
    <n v="0"/>
    <s v="CT"/>
    <s v="Aucun"/>
    <s v="Aucun"/>
    <s v="OUI"/>
  </r>
  <r>
    <x v="6"/>
    <s v="VAN HOUCKE"/>
    <s v="351220MV04"/>
    <d v="1935-12-20T00:00:00"/>
    <n v="81.638356164383566"/>
    <s v="1"/>
    <s v="DAYEH"/>
    <s v="CHIREC PARC LEOPOLD"/>
    <s v="CHIREC PARC LEOPOLD"/>
    <s v="BE"/>
    <s v="M"/>
    <d v="2017-07-20T00:00:00"/>
    <d v="2017-07-11T00:00:00"/>
    <s v="CABG + MAZE"/>
    <x v="1"/>
    <x v="1"/>
    <n v="0"/>
    <n v="0"/>
    <n v="4"/>
    <s v="PC"/>
    <m/>
    <m/>
    <m/>
    <m/>
    <m/>
    <m/>
    <m/>
    <m/>
    <m/>
    <m/>
    <m/>
    <m/>
    <m/>
    <m/>
    <n v="0"/>
    <d v="2017-07-23T00:00:00"/>
    <n v="3"/>
    <d v="2017-07-28T00:00:00"/>
    <n v="8"/>
    <x v="0"/>
    <n v="1"/>
    <s v="ELECTIVE"/>
    <s v="D"/>
    <m/>
    <m/>
    <m/>
    <s v="VAN HOUCKE"/>
    <d v="2017-08-25T00:00:00"/>
    <d v="2017-08-08T00:00:00"/>
    <s v="Y"/>
    <s v="déprimé"/>
    <d v="2017-11-08T00:00:00"/>
    <s v="Y"/>
    <s v="bien mieux"/>
    <n v="0"/>
    <n v="0"/>
    <n v="1"/>
    <x v="0"/>
    <s v="Aucune"/>
    <s v="Aucune"/>
    <s v="Aucune"/>
    <s v="NON"/>
    <s v="NON"/>
    <n v="8"/>
    <n v="8"/>
    <s v="Inconnu"/>
    <n v="3"/>
    <n v="3"/>
    <s v="Inconnu"/>
    <s v="Aucune"/>
    <n v="0"/>
    <s v="CHIREC"/>
    <s v="Aucun"/>
    <s v="Aucun"/>
    <s v="OUI"/>
  </r>
  <r>
    <x v="6"/>
    <s v="MICHAILIDOU"/>
    <s v="460515FM01"/>
    <d v="1946-05-15T00:00:00"/>
    <n v="71.241095890410961"/>
    <s v=" "/>
    <s v="MIRICA"/>
    <s v="ERASME CARDIO"/>
    <s v="ERASME CARDIO"/>
    <s v="FV"/>
    <s v="F"/>
    <d v="2017-07-24T00:00:00"/>
    <d v="2017-05-09T00:00:00"/>
    <s v="? (AVR + MVR + TVR)"/>
    <x v="0"/>
    <x v="0"/>
    <n v="0"/>
    <s v="2 V ou plus"/>
    <m/>
    <m/>
    <m/>
    <m/>
    <m/>
    <m/>
    <m/>
    <m/>
    <m/>
    <m/>
    <m/>
    <n v="1"/>
    <s v="2R"/>
    <n v="2"/>
    <s v="8R/2Plaq"/>
    <n v="10"/>
    <n v="12"/>
    <d v="2017-08-04T00:00:00"/>
    <n v="11"/>
    <d v="2017-08-04T00:00:00"/>
    <n v="11"/>
    <x v="1"/>
    <n v="1"/>
    <s v="ELECTIVE"/>
    <s v="/"/>
    <m/>
    <m/>
    <m/>
    <s v="MICHAILIDOU"/>
    <s v="/"/>
    <d v="2017-08-04T00:00:00"/>
    <s v="N"/>
    <s v="DCD"/>
    <s v="/"/>
    <s v="N"/>
    <s v="DCD"/>
    <n v="1"/>
    <n v="1"/>
    <n v="1"/>
    <x v="0"/>
    <s v="Infection"/>
    <s v="Transfusion"/>
    <s v="Transfusé"/>
    <s v="NON"/>
    <s v="NON"/>
    <n v="11"/>
    <n v="11"/>
    <s v="Inconnu"/>
    <n v="11"/>
    <n v="11"/>
    <s v="Inconnu"/>
    <s v="Transfusé"/>
    <n v="12"/>
    <s v="ERASME"/>
    <s v="Aucun"/>
    <s v="Aucun"/>
    <s v="OUI"/>
  </r>
  <r>
    <x v="6"/>
    <s v="GOSSIEAU"/>
    <s v="591205FG01"/>
    <d v="1959-12-05T00:00:00"/>
    <n v="57.676712328767124"/>
    <s v=" "/>
    <s v="GASSAVELIS"/>
    <s v="GASSAVELIS"/>
    <s v="CT"/>
    <s v="FV"/>
    <s v="F"/>
    <d v="2017-07-25T00:00:00"/>
    <d v="2017-07-04T00:00:00"/>
    <s v="MVP"/>
    <x v="5"/>
    <x v="4"/>
    <s v="MVP"/>
    <s v="MVP"/>
    <m/>
    <m/>
    <s v="CE"/>
    <m/>
    <n v="32"/>
    <m/>
    <m/>
    <m/>
    <m/>
    <m/>
    <m/>
    <m/>
    <m/>
    <m/>
    <m/>
    <m/>
    <n v="0"/>
    <d v="2017-07-26T00:00:00"/>
    <n v="1"/>
    <d v="2017-08-01T00:00:00"/>
    <n v="7"/>
    <x v="0"/>
    <n v="1"/>
    <s v="ELECTIVE"/>
    <s v="D"/>
    <m/>
    <m/>
    <m/>
    <s v="GOSSIEAU"/>
    <d v="2017-08-29T00:00:00"/>
    <d v="2017-08-08T00:00:00"/>
    <s v="Y"/>
    <m/>
    <d v="2017-10-31T00:00:00"/>
    <s v="Y"/>
    <s v="Message"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T"/>
    <s v="Aucun"/>
    <s v="Aucun"/>
    <s v="OUI"/>
  </r>
  <r>
    <x v="6"/>
    <s v="HEINEN"/>
    <s v="511009MH03"/>
    <d v="1951-10-09T00:00:00"/>
    <n v="65.841095890410955"/>
    <s v=" "/>
    <s v="PAUCAR"/>
    <s v="VALIDA"/>
    <s v="VALIDA"/>
    <s v="FV"/>
    <s v="M"/>
    <d v="2017-07-26T00:00:00"/>
    <d v="2017-07-11T00:00:00"/>
    <s v="? (AVR + CABG)"/>
    <x v="3"/>
    <x v="0"/>
    <s v="CABG + V"/>
    <n v="0"/>
    <m/>
    <m/>
    <m/>
    <m/>
    <m/>
    <m/>
    <m/>
    <m/>
    <m/>
    <m/>
    <m/>
    <m/>
    <m/>
    <m/>
    <m/>
    <m/>
    <n v="0"/>
    <d v="2017-07-27T00:00:00"/>
    <n v="1"/>
    <d v="2017-08-02T00:00:00"/>
    <n v="7"/>
    <x v="0"/>
    <n v="1"/>
    <s v="ELECTIVE"/>
    <s v="D"/>
    <m/>
    <m/>
    <m/>
    <s v="HEINEN"/>
    <d v="2017-09-05T00:00:00"/>
    <d v="2017-09-04T00:00:00"/>
    <s v="Y"/>
    <m/>
    <d v="2017-10-31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VALIDA"/>
    <s v="Aucun"/>
    <s v="Aucun"/>
    <s v="OUI"/>
  </r>
  <r>
    <x v="6"/>
    <s v="DEWILDE"/>
    <s v="600530MD03"/>
    <d v="1960-05-30T00:00:00"/>
    <n v="57.197260273972603"/>
    <s v=" "/>
    <s v="LENAERS"/>
    <s v="ERASME CARDIO"/>
    <s v="ERASME CARDIO"/>
    <s v="FV"/>
    <s v="M"/>
    <d v="2017-07-27T00:00:00"/>
    <d v="2017-07-25T00:00:00"/>
    <s v="CABG"/>
    <x v="1"/>
    <x v="1"/>
    <n v="0"/>
    <n v="0"/>
    <n v="4"/>
    <s v="PC"/>
    <m/>
    <m/>
    <m/>
    <m/>
    <m/>
    <m/>
    <m/>
    <m/>
    <m/>
    <n v="1"/>
    <s v="2R/4Plas/1Plaq"/>
    <n v="7"/>
    <s v="1R"/>
    <n v="1"/>
    <n v="8"/>
    <d v="2017-08-02T00:00:00"/>
    <n v="6"/>
    <d v="2017-08-07T00:00:00"/>
    <n v="11"/>
    <x v="0"/>
    <n v="1"/>
    <s v="ELECTIVE"/>
    <s v="D"/>
    <m/>
    <m/>
    <m/>
    <s v="DEWILDE"/>
    <d v="2017-09-12T00:00:00"/>
    <d v="2017-09-04T00:00:00"/>
    <s v="Y"/>
    <m/>
    <d v="2017-11-13T00:00:00"/>
    <s v="Y"/>
    <m/>
    <n v="1"/>
    <n v="1"/>
    <n v="1"/>
    <x v="0"/>
    <s v="Infection"/>
    <s v="Transfusion"/>
    <s v="Transfusé"/>
    <s v="NON"/>
    <s v="NON"/>
    <n v="11"/>
    <n v="11"/>
    <s v="Inconnu"/>
    <n v="6"/>
    <n v="6"/>
    <s v="Inconnu"/>
    <s v="Transfusé"/>
    <n v="8"/>
    <s v="ERASME"/>
    <s v="Aucun"/>
    <s v="Aucun"/>
    <s v="OUI"/>
  </r>
  <r>
    <x v="6"/>
    <s v="HADINE"/>
    <s v="300101MHAA"/>
    <d v="1930-01-01T00:00:00"/>
    <n v="87.638356164383566"/>
    <s v="1"/>
    <s v="URGENCES"/>
    <s v="ERASME URGENCES"/>
    <s v="ERASME URGENCES"/>
    <s v="MLC"/>
    <s v="M"/>
    <d v="2017-07-31T00:00:00"/>
    <d v="2017-07-25T00:00:00"/>
    <s v="AVR + CABG"/>
    <x v="3"/>
    <x v="0"/>
    <s v="CABG + V"/>
    <n v="0"/>
    <n v="1"/>
    <s v="PC"/>
    <s v="Perceval"/>
    <s v="B"/>
    <s v="L"/>
    <m/>
    <m/>
    <m/>
    <m/>
    <m/>
    <m/>
    <n v="1"/>
    <m/>
    <m/>
    <s v="2R"/>
    <n v="2"/>
    <n v="2"/>
    <d v="2017-08-01T00:00:00"/>
    <n v="1"/>
    <d v="2017-08-12T00:00:00"/>
    <n v="12"/>
    <x v="0"/>
    <n v="2"/>
    <s v="URGENCY"/>
    <s v="D"/>
    <m/>
    <m/>
    <m/>
    <s v="HADINE"/>
    <d v="2017-09-14T00:00:00"/>
    <d v="2017-08-29T00:00:00"/>
    <s v="Y"/>
    <m/>
    <d v="2017-11-13T00:00:00"/>
    <s v="Y"/>
    <m/>
    <n v="1"/>
    <n v="1"/>
    <n v="1"/>
    <x v="2"/>
    <s v="Infection"/>
    <s v="Transfusion"/>
    <s v="Transfusé"/>
    <s v="NON"/>
    <s v="NON"/>
    <n v="12"/>
    <n v="12"/>
    <s v="Inconnu"/>
    <n v="1"/>
    <n v="1"/>
    <s v="Inconnu"/>
    <s v="Transfusé"/>
    <n v="2"/>
    <s v="ERASME"/>
    <s v="Aucun"/>
    <s v="Aucun"/>
    <s v="OUI"/>
  </r>
  <r>
    <x v="7"/>
    <s v="SIMOENS"/>
    <s v="420225FS03"/>
    <d v="1942-02-25T00:00:00"/>
    <n v="75.482191780821921"/>
    <s v=" "/>
    <s v="DESCAMPS"/>
    <s v="CHWAPI TOURNAI"/>
    <s v="CHWAPI TOURNAI"/>
    <s v="FV"/>
    <s v="F"/>
    <d v="2017-08-01T00:00:00"/>
    <d v="2017-07-18T00:00:00"/>
    <s v="? (AVR)"/>
    <x v="2"/>
    <x v="2"/>
    <s v="AVR"/>
    <s v="AVR"/>
    <m/>
    <m/>
    <m/>
    <m/>
    <m/>
    <m/>
    <m/>
    <m/>
    <m/>
    <m/>
    <m/>
    <n v="1"/>
    <m/>
    <m/>
    <m/>
    <m/>
    <n v="0"/>
    <d v="2017-08-04T00:00:00"/>
    <n v="3"/>
    <d v="2017-08-16T00:00:00"/>
    <n v="15"/>
    <x v="0"/>
    <n v="1"/>
    <s v="ELECTIVE"/>
    <s v="CHWAPI"/>
    <m/>
    <m/>
    <m/>
    <s v="SIMOENS"/>
    <d v="2017-09-19T00:00:00"/>
    <d v="2017-08-29T00:00:00"/>
    <s v="Y"/>
    <s v="Message"/>
    <m/>
    <m/>
    <m/>
    <n v="1"/>
    <n v="0"/>
    <n v="1"/>
    <x v="0"/>
    <s v="Infection"/>
    <s v="Aucune"/>
    <s v="Aucune"/>
    <s v="NON"/>
    <s v="NON"/>
    <n v="15"/>
    <n v="15"/>
    <s v="Inconnu"/>
    <n v="3"/>
    <n v="3"/>
    <s v="Inconnu"/>
    <s v="Aucune"/>
    <n v="0"/>
    <s v="CHWAPI TOURNAI"/>
    <s v="Aucun"/>
    <s v="Aucun"/>
    <s v="OUI"/>
  </r>
  <r>
    <x v="7"/>
    <s v="BLOMME"/>
    <s v="430621MB02"/>
    <d v="1943-06-21T00:00:00"/>
    <n v="74.167123287671231"/>
    <s v=" "/>
    <s v="DAYEH"/>
    <s v="CHIREC PARC LEOPOLD"/>
    <s v="CHIREC PARC LEOPOLD"/>
    <s v="FV"/>
    <s v="M"/>
    <d v="2017-08-02T00:00:00"/>
    <d v="2017-06-13T00:00:00"/>
    <s v="CABG"/>
    <x v="1"/>
    <x v="1"/>
    <n v="0"/>
    <n v="0"/>
    <n v="1"/>
    <s v="MIDCAB"/>
    <m/>
    <m/>
    <m/>
    <m/>
    <m/>
    <m/>
    <m/>
    <m/>
    <m/>
    <m/>
    <m/>
    <m/>
    <m/>
    <m/>
    <n v="0"/>
    <d v="2017-08-03T00:00:00"/>
    <n v="1"/>
    <d v="2017-08-09T00:00:00"/>
    <n v="7"/>
    <x v="0"/>
    <n v="1"/>
    <s v="ELECTIVE"/>
    <s v="D"/>
    <m/>
    <m/>
    <m/>
    <s v="BLOMME"/>
    <d v="2017-09-12T00:00:00"/>
    <d v="2017-08-30T00:00:00"/>
    <s v="Y"/>
    <m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OUI"/>
  </r>
  <r>
    <x v="7"/>
    <s v="MASSE"/>
    <s v="441116MM04"/>
    <d v="1944-11-16T00:00:00"/>
    <n v="72.761643835616439"/>
    <s v=" "/>
    <s v="CONTU"/>
    <s v="CHIREC BASILIQUE"/>
    <s v="CHIREC BASILIQUE"/>
    <s v="FV"/>
    <s v="M"/>
    <d v="2017-08-03T00:00:00"/>
    <d v="2017-07-25T00:00:00"/>
    <s v="CABG"/>
    <x v="1"/>
    <x v="1"/>
    <n v="0"/>
    <n v="0"/>
    <n v="4"/>
    <s v="PC"/>
    <m/>
    <m/>
    <m/>
    <m/>
    <m/>
    <m/>
    <m/>
    <m/>
    <m/>
    <m/>
    <s v="2Plas"/>
    <n v="2"/>
    <m/>
    <m/>
    <n v="2"/>
    <d v="2017-08-04T00:00:00"/>
    <n v="1"/>
    <d v="2017-08-09T00:00:00"/>
    <n v="6"/>
    <x v="0"/>
    <n v="1"/>
    <s v="ELECTIVE"/>
    <s v="D"/>
    <d v="2017-09-10T00:00:00"/>
    <n v="1"/>
    <s v="C"/>
    <s v="MASSE"/>
    <d v="2017-09-12T00:00:00"/>
    <d v="2017-08-29T00:00:00"/>
    <s v="Y"/>
    <s v="Message"/>
    <d v="2017-11-10T00:00:00"/>
    <s v="Y"/>
    <m/>
    <n v="0"/>
    <n v="1"/>
    <n v="1"/>
    <x v="0"/>
    <s v="Aucune"/>
    <s v="Transfusion"/>
    <s v="Aucune"/>
    <s v="NON"/>
    <s v="OUI"/>
    <n v="6"/>
    <n v="6"/>
    <s v="Inconnu"/>
    <n v="1"/>
    <n v="1"/>
    <s v="Inconnu"/>
    <s v="Transfusé"/>
    <n v="2"/>
    <s v="CHIREC"/>
    <s v="Aucun"/>
    <s v="Aucun"/>
    <s v="OUI"/>
  </r>
  <r>
    <x v="7"/>
    <s v="HANART"/>
    <s v="790517MH01"/>
    <d v="1979-05-17T00:00:00"/>
    <n v="38.241095890410961"/>
    <s v=" "/>
    <s v="ROUSSOULIERES"/>
    <s v="ERASME VAD"/>
    <s v="ERASME VAD"/>
    <s v="FV"/>
    <s v="M"/>
    <d v="2017-08-03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8-08T00:00:00"/>
    <n v="5"/>
    <d v="2017-08-28T00:00:00"/>
    <n v="25"/>
    <x v="0"/>
    <n v="2"/>
    <s v="URGENCY"/>
    <m/>
    <m/>
    <m/>
    <m/>
    <s v="HANART"/>
    <s v="/"/>
    <s v="/"/>
    <m/>
    <s v="HTX"/>
    <s v="/"/>
    <m/>
    <s v="HTX"/>
    <n v="0"/>
    <n v="0"/>
    <n v="1"/>
    <x v="2"/>
    <s v="Aucune"/>
    <s v="Aucune"/>
    <s v="Aucune"/>
    <s v="NON"/>
    <s v="NON"/>
    <n v="25"/>
    <s v="Inconnu"/>
    <n v="25"/>
    <n v="5"/>
    <s v="Inconnu"/>
    <n v="5"/>
    <s v="Aucune"/>
    <n v="0"/>
    <s v="ERASME"/>
    <s v="Aucun"/>
    <s v="Aucun"/>
    <s v="NON"/>
  </r>
  <r>
    <x v="7"/>
    <s v="EL OUARGHI"/>
    <s v="590701ME20"/>
    <d v="1959-07-01T00:00:00"/>
    <n v="58.134246575342466"/>
    <s v=" "/>
    <s v="JAMART"/>
    <s v="ERASME CARDIO"/>
    <s v="ERASME CARDIO"/>
    <s v="MLC"/>
    <s v="M"/>
    <d v="2017-08-04T00:00:00"/>
    <d v="2017-07-25T00:00:00"/>
    <s v="CABG"/>
    <x v="1"/>
    <x v="1"/>
    <n v="0"/>
    <n v="0"/>
    <n v="2"/>
    <s v="PC"/>
    <m/>
    <m/>
    <m/>
    <m/>
    <m/>
    <m/>
    <m/>
    <m/>
    <m/>
    <m/>
    <m/>
    <m/>
    <m/>
    <m/>
    <n v="0"/>
    <d v="2017-08-05T00:00:00"/>
    <n v="1"/>
    <d v="2017-08-11T00:00:00"/>
    <n v="7"/>
    <x v="0"/>
    <n v="1"/>
    <s v="ELECTIVE"/>
    <s v="D"/>
    <m/>
    <m/>
    <m/>
    <s v="EL OUARGHI"/>
    <d v="2017-09-14T00:00:00"/>
    <d v="2017-08-29T00:00:00"/>
    <s v="Y"/>
    <m/>
    <d v="2017-11-13T00:00:00"/>
    <s v="Y"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7"/>
    <s v="RENTMEESTERS "/>
    <s v="580505MR03"/>
    <d v="1958-05-05T00:00:00"/>
    <n v="59.298630136986304"/>
    <s v=" "/>
    <s v="ONGA"/>
    <s v="BRACOPS"/>
    <s v="BRACOPS"/>
    <s v="MLC"/>
    <s v="M"/>
    <d v="2017-08-07T00:00:00"/>
    <m/>
    <s v="CABG"/>
    <x v="1"/>
    <x v="1"/>
    <n v="0"/>
    <n v="0"/>
    <n v="2"/>
    <s v="PC"/>
    <m/>
    <m/>
    <m/>
    <m/>
    <m/>
    <m/>
    <m/>
    <m/>
    <m/>
    <m/>
    <m/>
    <m/>
    <m/>
    <m/>
    <n v="0"/>
    <d v="2017-08-08T00:00:00"/>
    <n v="1"/>
    <d v="2017-08-14T00:00:00"/>
    <n v="7"/>
    <x v="0"/>
    <n v="1"/>
    <s v="ELECTIVE"/>
    <s v="D"/>
    <m/>
    <m/>
    <m/>
    <s v="RENTMEESTERS "/>
    <d v="2017-09-14T00:00:00"/>
    <d v="2017-08-29T00:00:00"/>
    <s v="Y"/>
    <m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BRACOPS"/>
    <s v="Aucun"/>
    <s v="Aucun"/>
    <s v="NON"/>
  </r>
  <r>
    <x v="7"/>
    <s v="UGOLINI"/>
    <s v="511120MU01"/>
    <d v="1951-11-20T00:00:00"/>
    <n v="65.758904109589039"/>
    <s v=" "/>
    <s v="EL MOURAD"/>
    <s v="ERASME CARDIO"/>
    <s v="ERASME CARDIO"/>
    <s v="FV"/>
    <s v="M"/>
    <d v="2017-08-07T00:00:00"/>
    <d v="2017-08-01T00:00:00"/>
    <s v="? (CABG)"/>
    <x v="1"/>
    <x v="1"/>
    <n v="0"/>
    <n v="0"/>
    <m/>
    <m/>
    <m/>
    <m/>
    <m/>
    <m/>
    <m/>
    <m/>
    <m/>
    <m/>
    <m/>
    <m/>
    <m/>
    <m/>
    <m/>
    <m/>
    <n v="0"/>
    <d v="2017-08-08T00:00:00"/>
    <n v="1"/>
    <d v="2017-08-14T00:00:00"/>
    <n v="7"/>
    <x v="0"/>
    <n v="1"/>
    <s v="ELECTIVE"/>
    <s v="D"/>
    <m/>
    <m/>
    <m/>
    <s v="UGOLINI"/>
    <d v="2017-09-19T00:00:00"/>
    <d v="2017-09-11T00:00:00"/>
    <s v="Y"/>
    <s v="donner cardio "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7"/>
    <s v="OOGHE"/>
    <s v="520327FO01"/>
    <d v="1952-03-27T00:00:00"/>
    <n v="65.410958904109592"/>
    <s v=" "/>
    <s v="VANDENBERGH"/>
    <s v="BRACOPS"/>
    <s v="BRACOPS"/>
    <s v="FV"/>
    <s v="F"/>
    <d v="2017-08-08T00:00:00"/>
    <d v="2017-06-27T00:00:00"/>
    <s v="CABG"/>
    <x v="1"/>
    <x v="1"/>
    <n v="0"/>
    <n v="0"/>
    <n v="3"/>
    <s v="PC"/>
    <m/>
    <m/>
    <m/>
    <m/>
    <m/>
    <m/>
    <m/>
    <m/>
    <m/>
    <m/>
    <s v="1R"/>
    <n v="1"/>
    <m/>
    <m/>
    <n v="1"/>
    <d v="2017-08-09T00:00:00"/>
    <n v="1"/>
    <d v="2017-08-15T00:00:00"/>
    <n v="7"/>
    <x v="0"/>
    <n v="1"/>
    <s v="ELECTIVE"/>
    <s v="D"/>
    <m/>
    <m/>
    <m/>
    <s v="OOGHE"/>
    <d v="2017-09-19T00:00:00"/>
    <d v="2017-08-29T00:00:00"/>
    <s v="Y"/>
    <m/>
    <m/>
    <m/>
    <m/>
    <n v="0"/>
    <n v="1"/>
    <n v="1"/>
    <x v="0"/>
    <s v="Aucune"/>
    <s v="Transfusion"/>
    <s v="Aucune"/>
    <s v="NON"/>
    <s v="NON"/>
    <n v="7"/>
    <n v="7"/>
    <s v="Inconnu"/>
    <n v="1"/>
    <n v="1"/>
    <s v="Inconnu"/>
    <s v="Transfusé"/>
    <n v="1"/>
    <s v="BRACOPS"/>
    <s v="Aucun"/>
    <s v="Aucun"/>
    <s v="OUI"/>
  </r>
  <r>
    <x v="7"/>
    <s v="DELHAYE"/>
    <s v="390308MD01"/>
    <d v="1939-03-08T00:00:00"/>
    <n v="78.476712328767121"/>
    <s v=" "/>
    <s v="DESCAMPS"/>
    <s v="CHWAPI TOURNAI"/>
    <s v="CHWAPI TOURNAI"/>
    <s v="FV"/>
    <s v="M"/>
    <d v="2017-08-09T00:00:00"/>
    <d v="2017-08-08T00:00:00"/>
    <s v="AVR + MVP + CABG"/>
    <x v="9"/>
    <x v="0"/>
    <s v="CABG + V"/>
    <n v="0"/>
    <n v="1"/>
    <s v="PC"/>
    <s v="Perceval/CE"/>
    <s v="B"/>
    <s v="L/32"/>
    <m/>
    <m/>
    <m/>
    <m/>
    <m/>
    <m/>
    <m/>
    <s v="4R/1Plaq"/>
    <n v="5"/>
    <s v="4R"/>
    <n v="4"/>
    <n v="9"/>
    <d v="2017-09-01T00:00:00"/>
    <n v="23"/>
    <d v="2017-09-08T00:00:00"/>
    <n v="30"/>
    <x v="0"/>
    <n v="2"/>
    <s v="URGENCY"/>
    <s v="CHWAPI"/>
    <m/>
    <m/>
    <m/>
    <s v="DELHAYE"/>
    <s v="/"/>
    <d v="2017-10-03T00:00:00"/>
    <s v="Y"/>
    <s v="inf urinaire"/>
    <m/>
    <m/>
    <m/>
    <n v="0"/>
    <n v="1"/>
    <n v="1"/>
    <x v="2"/>
    <s v="Aucune"/>
    <s v="Transfusion"/>
    <s v="Transfusé"/>
    <s v="NON"/>
    <s v="NON"/>
    <n v="30"/>
    <n v="30"/>
    <s v="Inconnu"/>
    <n v="23"/>
    <n v="23"/>
    <s v="Inconnu"/>
    <s v="Transfusé"/>
    <n v="9"/>
    <s v="CHWAPI TOURNAI"/>
    <s v="Aucun"/>
    <s v="Aucun"/>
    <s v="OUI"/>
  </r>
  <r>
    <x v="7"/>
    <s v="WESEMAEL"/>
    <s v="531225FW01"/>
    <d v="1953-12-25T00:00:00"/>
    <n v="63.665753424657531"/>
    <s v=" "/>
    <s v="VISEUR"/>
    <s v="VISEUR"/>
    <s v="CT"/>
    <s v="MLC"/>
    <s v="F"/>
    <d v="2017-08-09T00:00:00"/>
    <d v="2017-08-08T00:00:00"/>
    <s v="AVR"/>
    <x v="2"/>
    <x v="2"/>
    <s v="AVR"/>
    <s v="AVR"/>
    <m/>
    <m/>
    <s v="CE"/>
    <s v="B"/>
    <n v="21"/>
    <m/>
    <m/>
    <m/>
    <m/>
    <m/>
    <m/>
    <n v="1"/>
    <m/>
    <m/>
    <m/>
    <m/>
    <n v="0"/>
    <d v="2017-08-10T00:00:00"/>
    <n v="1"/>
    <d v="2017-08-15T00:00:00"/>
    <n v="6"/>
    <x v="0"/>
    <n v="1"/>
    <s v="ELECTIVE"/>
    <s v="D"/>
    <m/>
    <m/>
    <m/>
    <s v="WESEMAEL"/>
    <d v="2017-09-14T00:00:00"/>
    <d v="2017-08-29T00:00:00"/>
    <s v="Y"/>
    <m/>
    <m/>
    <m/>
    <m/>
    <n v="1"/>
    <n v="0"/>
    <n v="1"/>
    <x v="0"/>
    <s v="Infection"/>
    <s v="Aucune"/>
    <s v="Aucune"/>
    <s v="NON"/>
    <s v="NON"/>
    <n v="6"/>
    <n v="6"/>
    <s v="Inconnu"/>
    <n v="1"/>
    <n v="1"/>
    <s v="Inconnu"/>
    <s v="Aucune"/>
    <n v="0"/>
    <s v="CT"/>
    <s v="Aucun"/>
    <s v="Aucun"/>
    <s v="OUI"/>
  </r>
  <r>
    <x v="7"/>
    <s v="SWAELES"/>
    <s v="310613FS02"/>
    <d v="1931-06-13T00:00:00"/>
    <n v="86.219178082191775"/>
    <s v="1"/>
    <s v="KHODADADI"/>
    <s v="BRACOPS"/>
    <s v="BRACOPS"/>
    <s v="MLC"/>
    <s v="F"/>
    <d v="2017-08-10T00:00:00"/>
    <m/>
    <s v="CABG"/>
    <x v="1"/>
    <x v="1"/>
    <n v="0"/>
    <n v="0"/>
    <m/>
    <m/>
    <m/>
    <m/>
    <m/>
    <m/>
    <m/>
    <m/>
    <m/>
    <m/>
    <m/>
    <m/>
    <s v="1R"/>
    <n v="1"/>
    <m/>
    <m/>
    <n v="1"/>
    <d v="2017-08-13T00:00:00"/>
    <n v="3"/>
    <d v="2017-08-23T00:00:00"/>
    <n v="13"/>
    <x v="0"/>
    <n v="1"/>
    <s v="ELECTIVE"/>
    <s v="R"/>
    <m/>
    <m/>
    <m/>
    <s v="SWAELES"/>
    <d v="2017-09-14T00:00:00"/>
    <d v="2017-08-30T00:00:00"/>
    <s v="Y"/>
    <s v="plaie jambe- sternum ok "/>
    <m/>
    <m/>
    <m/>
    <n v="0"/>
    <n v="1"/>
    <n v="1"/>
    <x v="0"/>
    <s v="Aucune"/>
    <s v="Transfusion"/>
    <s v="Aucune"/>
    <s v="NON"/>
    <s v="NON"/>
    <n v="13"/>
    <n v="13"/>
    <s v="Inconnu"/>
    <n v="3"/>
    <n v="3"/>
    <s v="Inconnu"/>
    <s v="Transfusé"/>
    <n v="1"/>
    <s v="BRACOPS"/>
    <s v="Aucun"/>
    <s v="Aucun"/>
    <s v="NON"/>
  </r>
  <r>
    <x v="7"/>
    <s v="MARINI"/>
    <s v="571005MMAA"/>
    <d v="1957-10-05T00:00:00"/>
    <n v="59.887671232876713"/>
    <s v=" "/>
    <s v="ROUSSOULIERES"/>
    <s v="ERASME VAD"/>
    <s v="ERASME VAD"/>
    <s v="FV"/>
    <s v="M"/>
    <d v="2017-08-10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8-21T00:00:00"/>
    <n v="11"/>
    <d v="2017-09-08T00:00:00"/>
    <n v="29"/>
    <x v="0"/>
    <n v="2"/>
    <s v="URGENCY"/>
    <s v="D"/>
    <m/>
    <m/>
    <m/>
    <s v="MARINI"/>
    <s v="/"/>
    <s v="/"/>
    <m/>
    <s v="HTX"/>
    <s v="/"/>
    <m/>
    <s v="HTX"/>
    <n v="0"/>
    <n v="0"/>
    <n v="1"/>
    <x v="2"/>
    <s v="Aucune"/>
    <s v="Aucune"/>
    <s v="Aucune"/>
    <s v="NON"/>
    <s v="NON"/>
    <n v="29"/>
    <s v="Inconnu"/>
    <n v="29"/>
    <n v="11"/>
    <s v="Inconnu"/>
    <n v="11"/>
    <s v="Aucune"/>
    <n v="0"/>
    <s v="ERASME"/>
    <s v="Aucun"/>
    <s v="Aucun"/>
    <s v="NON"/>
  </r>
  <r>
    <x v="7"/>
    <s v="VAN EMMERIK"/>
    <s v="581021MV04"/>
    <d v="1958-10-21T00:00:00"/>
    <n v="58.846575342465755"/>
    <s v=" "/>
    <s v="EL MOURAD"/>
    <s v="ERASME CARDIO"/>
    <s v="ERASME CARDIO"/>
    <s v="MLC"/>
    <s v="M"/>
    <d v="2017-08-11T00:00:00"/>
    <d v="2017-07-04T00:00:00"/>
    <s v="CABG"/>
    <x v="1"/>
    <x v="1"/>
    <n v="0"/>
    <n v="0"/>
    <n v="2"/>
    <s v="PC"/>
    <m/>
    <m/>
    <m/>
    <m/>
    <m/>
    <m/>
    <m/>
    <m/>
    <m/>
    <m/>
    <m/>
    <m/>
    <m/>
    <m/>
    <n v="0"/>
    <d v="2017-08-12T00:00:00"/>
    <n v="1"/>
    <d v="2017-08-18T00:00:00"/>
    <n v="7"/>
    <x v="0"/>
    <n v="1"/>
    <s v="ELECTIVE"/>
    <s v="D"/>
    <m/>
    <m/>
    <m/>
    <s v="VAN EMMERIK"/>
    <d v="2017-09-21T00:00:00"/>
    <d v="2017-09-01T00:00:00"/>
    <s v="Y"/>
    <m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7"/>
    <s v="GUILLAUME"/>
    <s v="590221MG01"/>
    <d v="1959-02-21T00:00:00"/>
    <n v="58.517808219178079"/>
    <s v=" "/>
    <s v="PREUMONT"/>
    <s v="ERASME CARDIO"/>
    <s v="ERASME CARDIO"/>
    <s v="BE"/>
    <s v="M"/>
    <d v="2017-08-14T00:00:00"/>
    <d v="2017-01-24T00:00:00"/>
    <s v="CABG"/>
    <x v="1"/>
    <x v="1"/>
    <n v="0"/>
    <n v="0"/>
    <n v="2"/>
    <s v="OPCAB"/>
    <m/>
    <m/>
    <m/>
    <m/>
    <m/>
    <m/>
    <m/>
    <m/>
    <m/>
    <m/>
    <m/>
    <m/>
    <m/>
    <m/>
    <n v="0"/>
    <d v="2017-08-15T00:00:00"/>
    <n v="1"/>
    <d v="2017-08-21T00:00:00"/>
    <n v="7"/>
    <x v="0"/>
    <n v="1"/>
    <s v="ELECTIVE"/>
    <s v="D"/>
    <m/>
    <m/>
    <m/>
    <s v="GUILLAUME"/>
    <d v="2017-09-08T00:00:00"/>
    <d v="2017-09-01T00:00:00"/>
    <s v="Y"/>
    <s v="Lasix ++ ép péric ?"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7"/>
    <s v="DE LILLE"/>
    <s v="350623FD05"/>
    <d v="1935-06-23T00:00:00"/>
    <n v="82.224657534246575"/>
    <s v="1"/>
    <s v="GASSAVELIS"/>
    <s v="GASSAVELIS"/>
    <s v="CT"/>
    <s v="BE"/>
    <s v="F"/>
    <d v="2017-08-23T00:00:00"/>
    <d v="2017-08-22T00:00:00"/>
    <s v="AVR"/>
    <x v="2"/>
    <x v="2"/>
    <s v="AVR"/>
    <s v="AVR"/>
    <m/>
    <m/>
    <s v="CE"/>
    <s v="B"/>
    <n v="23"/>
    <m/>
    <m/>
    <m/>
    <m/>
    <m/>
    <m/>
    <n v="1"/>
    <s v="3R/2Plaq"/>
    <n v="5"/>
    <s v="1R"/>
    <n v="1"/>
    <n v="6"/>
    <d v="2017-09-05T00:00:00"/>
    <n v="13"/>
    <d v="2017-09-05T00:00:00"/>
    <n v="13"/>
    <x v="1"/>
    <n v="3"/>
    <s v="EMERGENCY"/>
    <s v="/"/>
    <m/>
    <m/>
    <m/>
    <s v="DE LILLE"/>
    <s v="/"/>
    <d v="2017-09-05T00:00:00"/>
    <s v="N"/>
    <s v="DCD"/>
    <s v="/"/>
    <s v="N"/>
    <s v="DCD"/>
    <n v="1"/>
    <n v="1"/>
    <n v="1"/>
    <x v="1"/>
    <s v="Infection"/>
    <s v="Transfusion"/>
    <s v="Transfusé"/>
    <s v="NON"/>
    <s v="NON"/>
    <n v="13"/>
    <n v="13"/>
    <s v="Inconnu"/>
    <n v="13"/>
    <n v="13"/>
    <s v="Inconnu"/>
    <s v="Transfusé"/>
    <n v="6"/>
    <s v="CT"/>
    <s v="Aucun"/>
    <s v="Aucun"/>
    <s v="OUI"/>
  </r>
  <r>
    <x v="7"/>
    <s v="FILIPPIN"/>
    <s v="561209MF01"/>
    <d v="1956-12-09T00:00:00"/>
    <n v="60.747945205479454"/>
    <s v=" "/>
    <s v="MIRICA"/>
    <s v="ERASME CARDIO"/>
    <s v="ERASME CARDIO"/>
    <s v="BE"/>
    <s v="M"/>
    <d v="2017-08-24T00:00:00"/>
    <d v="2017-08-08T00:00:00"/>
    <s v="CABG"/>
    <x v="1"/>
    <x v="1"/>
    <n v="0"/>
    <n v="0"/>
    <n v="3"/>
    <s v="PC"/>
    <m/>
    <m/>
    <m/>
    <m/>
    <m/>
    <m/>
    <m/>
    <m/>
    <m/>
    <m/>
    <m/>
    <m/>
    <s v="1R"/>
    <n v="1"/>
    <n v="1"/>
    <d v="2017-08-29T00:00:00"/>
    <n v="5"/>
    <d v="2017-09-15T00:00:00"/>
    <n v="22"/>
    <x v="0"/>
    <n v="1"/>
    <s v="ELECTIVE"/>
    <s v="R"/>
    <m/>
    <m/>
    <m/>
    <s v="FILIPPIN"/>
    <d v="2017-10-13T00:00:00"/>
    <d v="2017-10-03T00:00:00"/>
    <s v="Y"/>
    <s v="Toux grasse"/>
    <m/>
    <m/>
    <m/>
    <n v="0"/>
    <n v="1"/>
    <n v="1"/>
    <x v="0"/>
    <s v="Aucune"/>
    <s v="Transfusion"/>
    <s v="Transfusé"/>
    <s v="NON"/>
    <s v="NON"/>
    <n v="22"/>
    <n v="22"/>
    <s v="Inconnu"/>
    <n v="5"/>
    <n v="5"/>
    <s v="Inconnu"/>
    <s v="Transfusé"/>
    <n v="1"/>
    <s v="ERASME"/>
    <s v="Aucun"/>
    <s v="Aucun"/>
    <s v="OUI"/>
  </r>
  <r>
    <x v="7"/>
    <s v="RANSBOTIJN"/>
    <s v="570613MR01"/>
    <d v="1957-06-13T00:00:00"/>
    <n v="60.249315068493154"/>
    <s v=" "/>
    <s v="DETHY"/>
    <s v="ST-MICHEL"/>
    <s v="ST-MICHEL"/>
    <s v="BE"/>
    <s v="M"/>
    <d v="2017-08-28T00:00:00"/>
    <m/>
    <s v="CABG"/>
    <x v="1"/>
    <x v="1"/>
    <n v="0"/>
    <n v="0"/>
    <n v="3"/>
    <s v="PC"/>
    <m/>
    <m/>
    <m/>
    <m/>
    <m/>
    <m/>
    <m/>
    <m/>
    <m/>
    <m/>
    <m/>
    <m/>
    <m/>
    <m/>
    <n v="0"/>
    <d v="2017-08-29T00:00:00"/>
    <n v="1"/>
    <d v="2017-09-04T00:00:00"/>
    <n v="7"/>
    <x v="0"/>
    <n v="2"/>
    <s v="URGENCY"/>
    <s v="D"/>
    <m/>
    <m/>
    <m/>
    <s v="RANSBOTIJN"/>
    <d v="2017-09-29T00:00:00"/>
    <d v="2017-09-12T00:00:00"/>
    <s v="Y"/>
    <m/>
    <m/>
    <m/>
    <m/>
    <n v="0"/>
    <n v="0"/>
    <n v="1"/>
    <x v="2"/>
    <s v="Aucune"/>
    <s v="Aucune"/>
    <s v="Aucune"/>
    <s v="NON"/>
    <s v="NON"/>
    <n v="7"/>
    <n v="7"/>
    <s v="Inconnu"/>
    <n v="1"/>
    <n v="1"/>
    <s v="Inconnu"/>
    <s v="Aucune"/>
    <n v="0"/>
    <s v="ST-MICHEL"/>
    <s v="Aucun"/>
    <s v="Aucun"/>
    <s v="NON"/>
  </r>
  <r>
    <x v="7"/>
    <s v="CRISI "/>
    <s v="631211MC02"/>
    <d v="1963-12-11T00:00:00"/>
    <n v="53.753424657534246"/>
    <s v=" "/>
    <s v="VACHIERY"/>
    <s v="ERASME CARDIO"/>
    <s v="ERASME CARDIO"/>
    <s v="FV"/>
    <s v="M"/>
    <d v="2017-08-29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9-06T00:00:00"/>
    <n v="8"/>
    <d v="2017-09-29T00:00:00"/>
    <n v="31"/>
    <x v="0"/>
    <n v="2"/>
    <s v="URGENCY"/>
    <m/>
    <m/>
    <m/>
    <m/>
    <s v="CRISI "/>
    <s v="/"/>
    <s v="/"/>
    <m/>
    <s v="HTX"/>
    <s v="/"/>
    <m/>
    <s v="HTX"/>
    <n v="0"/>
    <n v="0"/>
    <n v="1"/>
    <x v="2"/>
    <s v="Aucune"/>
    <s v="Aucune"/>
    <s v="Aucune"/>
    <s v="NON"/>
    <s v="NON"/>
    <n v="31"/>
    <s v="Inconnu"/>
    <n v="31"/>
    <n v="8"/>
    <s v="Inconnu"/>
    <n v="8"/>
    <s v="Aucune"/>
    <n v="0"/>
    <s v="ERASME"/>
    <s v="Aucun"/>
    <s v="Aucun"/>
    <s v="NON"/>
  </r>
  <r>
    <x v="7"/>
    <s v="GERVASI"/>
    <s v="470804FG01"/>
    <d v="1947-08-04T00:00:00"/>
    <n v="70.120547945205473"/>
    <s v=" "/>
    <s v="URGENCES"/>
    <s v="ERASME URGENCES"/>
    <s v="ERASME URGENCES"/>
    <s v="BE"/>
    <s v="F"/>
    <d v="2017-08-30T00:00:00"/>
    <m/>
    <s v="CDA"/>
    <x v="4"/>
    <x v="3"/>
    <n v="0"/>
    <n v="0"/>
    <m/>
    <m/>
    <m/>
    <m/>
    <n v="28"/>
    <m/>
    <m/>
    <m/>
    <m/>
    <m/>
    <m/>
    <m/>
    <s v="4R/4Plas/6Plaq"/>
    <n v="14"/>
    <s v="2R"/>
    <n v="2"/>
    <n v="16"/>
    <d v="2017-09-07T00:00:00"/>
    <n v="8"/>
    <d v="2017-09-07T00:00:00"/>
    <n v="8"/>
    <x v="0"/>
    <n v="3"/>
    <s v="EMERGENCY"/>
    <s v="Neuro"/>
    <m/>
    <m/>
    <m/>
    <s v="GERVASI"/>
    <s v="/"/>
    <m/>
    <m/>
    <s v="pas de cardio"/>
    <m/>
    <m/>
    <m/>
    <n v="0"/>
    <n v="1"/>
    <n v="1"/>
    <x v="1"/>
    <s v="Aucune"/>
    <s v="Transfusion"/>
    <s v="Transfusé"/>
    <s v="NON"/>
    <s v="NON"/>
    <n v="8"/>
    <n v="8"/>
    <s v="Inconnu"/>
    <n v="8"/>
    <n v="8"/>
    <s v="Inconnu"/>
    <s v="Transfusé"/>
    <n v="16"/>
    <s v="ERASME"/>
    <s v="Aucun"/>
    <s v="Aucun"/>
    <s v="NON"/>
  </r>
  <r>
    <x v="7"/>
    <s v="MAKA"/>
    <s v="511112MMAA"/>
    <d v="1951-11-12T00:00:00"/>
    <n v="65.843835616438355"/>
    <s v=" "/>
    <s v="ROGOWSKY"/>
    <s v="CHIREC PARC LEOPOLD"/>
    <s v="CHIREC PARC LEOPOLD"/>
    <s v="FV"/>
    <s v="M"/>
    <d v="2017-08-30T00:00:00"/>
    <d v="2017-08-08T00:00:00"/>
    <s v="CABG"/>
    <x v="1"/>
    <x v="1"/>
    <n v="0"/>
    <n v="0"/>
    <m/>
    <m/>
    <m/>
    <m/>
    <m/>
    <m/>
    <m/>
    <m/>
    <m/>
    <m/>
    <m/>
    <m/>
    <m/>
    <m/>
    <m/>
    <m/>
    <n v="0"/>
    <d v="2017-08-31T00:00:00"/>
    <n v="1"/>
    <d v="2017-09-05T00:00:00"/>
    <n v="6"/>
    <x v="0"/>
    <n v="1"/>
    <s v="ELECTIVE"/>
    <s v="D"/>
    <m/>
    <m/>
    <m/>
    <s v="MAKA"/>
    <d v="2017-10-03T00:00:00"/>
    <d v="2017-09-12T00:00:00"/>
    <s v="Y"/>
    <m/>
    <m/>
    <m/>
    <m/>
    <n v="0"/>
    <n v="0"/>
    <n v="1"/>
    <x v="0"/>
    <s v="Aucune"/>
    <s v="Aucune"/>
    <s v="Aucune"/>
    <s v="NON"/>
    <s v="NON"/>
    <n v="6"/>
    <n v="6"/>
    <s v="Inconnu"/>
    <n v="1"/>
    <n v="1"/>
    <s v="Inconnu"/>
    <s v="Aucune"/>
    <n v="0"/>
    <s v="CHIREC"/>
    <s v="Aucun"/>
    <s v="Aucun"/>
    <s v="OUI"/>
  </r>
  <r>
    <x v="8"/>
    <s v="OMBA"/>
    <s v="380408MO02"/>
    <d v="1938-04-08T00:00:00"/>
    <n v="79.454794520547949"/>
    <s v=" "/>
    <s v="VAN DE BORNE"/>
    <s v="ERASME CARDIO"/>
    <s v="ERASME CARDIO"/>
    <s v="BE"/>
    <s v="M"/>
    <d v="2017-09-01T00:00:00"/>
    <d v="2017-07-11T00:00:00"/>
    <s v="CABG"/>
    <x v="1"/>
    <x v="1"/>
    <n v="0"/>
    <n v="0"/>
    <n v="3"/>
    <s v="PC"/>
    <m/>
    <m/>
    <m/>
    <m/>
    <m/>
    <m/>
    <m/>
    <m/>
    <m/>
    <n v="1"/>
    <s v="5R/2Plas/1Plaq"/>
    <n v="8"/>
    <s v="1R"/>
    <n v="1"/>
    <n v="9"/>
    <d v="2017-09-04T00:00:00"/>
    <n v="3"/>
    <d v="2017-09-08T00:00:00"/>
    <n v="7"/>
    <x v="0"/>
    <n v="1"/>
    <s v="ELECTIVE"/>
    <s v="D"/>
    <m/>
    <m/>
    <m/>
    <s v="OMBA"/>
    <d v="2017-10-13T00:00:00"/>
    <d v="2017-09-12T00:00:00"/>
    <s v="Y"/>
    <m/>
    <m/>
    <m/>
    <m/>
    <n v="1"/>
    <n v="1"/>
    <n v="1"/>
    <x v="0"/>
    <s v="Infection"/>
    <s v="Transfusion"/>
    <s v="Transfusé"/>
    <s v="NON"/>
    <s v="NON"/>
    <n v="7"/>
    <n v="7"/>
    <s v="Inconnu"/>
    <n v="3"/>
    <n v="3"/>
    <s v="Inconnu"/>
    <s v="Transfusé"/>
    <n v="9"/>
    <s v="ERASME"/>
    <s v="Aucun"/>
    <s v="Aucun"/>
    <s v="OUI"/>
  </r>
  <r>
    <x v="8"/>
    <s v="DESTERBECQ"/>
    <s v="471031MD06"/>
    <d v="1947-10-31T00:00:00"/>
    <n v="69.893150684931513"/>
    <s v=" "/>
    <s v="HEDESHI"/>
    <s v="CHR HAUTE SENNE"/>
    <s v="CHR HAUTE SENNE"/>
    <s v="FV"/>
    <s v="M"/>
    <d v="2017-09-04T00:00:00"/>
    <d v="2017-05-02T00:00:00"/>
    <s v="? (CABG)"/>
    <x v="1"/>
    <x v="1"/>
    <n v="0"/>
    <n v="0"/>
    <m/>
    <m/>
    <m/>
    <m/>
    <m/>
    <m/>
    <m/>
    <m/>
    <m/>
    <m/>
    <m/>
    <m/>
    <s v="1R"/>
    <n v="1"/>
    <m/>
    <m/>
    <n v="1"/>
    <d v="2017-09-06T00:00:00"/>
    <n v="2"/>
    <d v="2017-09-12T00:00:00"/>
    <n v="8"/>
    <x v="0"/>
    <n v="1"/>
    <s v="ELECTIVE"/>
    <s v="D"/>
    <m/>
    <m/>
    <m/>
    <s v="DESTERBECQ"/>
    <d v="2017-10-10T00:00:00"/>
    <d v="2017-09-19T00:00:00"/>
    <s v="Y"/>
    <m/>
    <m/>
    <m/>
    <m/>
    <n v="0"/>
    <n v="1"/>
    <n v="1"/>
    <x v="0"/>
    <s v="Aucune"/>
    <s v="Transfusion"/>
    <s v="Aucune"/>
    <s v="NON"/>
    <s v="NON"/>
    <n v="8"/>
    <n v="8"/>
    <s v="Inconnu"/>
    <n v="2"/>
    <n v="2"/>
    <s v="Inconnu"/>
    <s v="Transfusé"/>
    <n v="1"/>
    <s v="CHR HAUTE SENNE"/>
    <s v="Aucun"/>
    <s v="Aucun"/>
    <s v="OUI"/>
  </r>
  <r>
    <x v="8"/>
    <s v="VAST"/>
    <s v="460606MV01"/>
    <d v="1946-06-06T00:00:00"/>
    <n v="71.298630136986304"/>
    <s v=" "/>
    <s v="HEDESHI"/>
    <s v="CHR HAUTE SENNE"/>
    <s v="CHR HAUTE SENNE"/>
    <s v="FV"/>
    <s v="M"/>
    <d v="2017-09-05T00:00:00"/>
    <d v="2017-07-18T00:00:00"/>
    <s v="CABG"/>
    <x v="1"/>
    <x v="1"/>
    <n v="0"/>
    <n v="0"/>
    <n v="4"/>
    <s v="PC"/>
    <m/>
    <m/>
    <m/>
    <m/>
    <m/>
    <m/>
    <m/>
    <m/>
    <m/>
    <n v="1"/>
    <s v="1R/1Plas"/>
    <n v="2"/>
    <s v="4R"/>
    <n v="4"/>
    <n v="6"/>
    <d v="2017-10-03T00:00:00"/>
    <n v="28"/>
    <d v="2017-10-03T00:00:00"/>
    <n v="28"/>
    <x v="1"/>
    <n v="1"/>
    <s v="ELECTIVE"/>
    <s v="/"/>
    <m/>
    <m/>
    <m/>
    <s v="VAST"/>
    <s v="/"/>
    <d v="2017-10-03T00:00:00"/>
    <s v="N"/>
    <s v="DCD"/>
    <s v="/"/>
    <s v="N"/>
    <s v="DCD"/>
    <n v="1"/>
    <n v="1"/>
    <n v="1"/>
    <x v="0"/>
    <s v="Infection"/>
    <s v="Transfusion"/>
    <s v="Transfusé"/>
    <s v="NON"/>
    <s v="NON"/>
    <n v="28"/>
    <n v="28"/>
    <s v="Inconnu"/>
    <n v="28"/>
    <n v="28"/>
    <s v="Inconnu"/>
    <s v="Transfusé"/>
    <n v="6"/>
    <s v="CHR HAUTE SENNE"/>
    <s v="Aucun"/>
    <s v="Aucun"/>
    <s v="OUI"/>
  </r>
  <r>
    <x v="8"/>
    <s v="VERCAMMEN"/>
    <s v="340901MV03"/>
    <d v="1934-09-01T00:00:00"/>
    <n v="83.07397260273973"/>
    <s v="1"/>
    <s v="VELEZ"/>
    <s v="ERASME CARDIO"/>
    <s v="ERASME CARDIO"/>
    <s v="FV"/>
    <s v="M"/>
    <d v="2017-09-07T00:00:00"/>
    <d v="2017-08-29T00:00:00"/>
    <s v="MVR + CABG"/>
    <x v="3"/>
    <x v="0"/>
    <s v="CABG + V"/>
    <n v="0"/>
    <n v="3"/>
    <s v="PC"/>
    <s v="CE"/>
    <s v="B"/>
    <n v="29"/>
    <m/>
    <m/>
    <m/>
    <m/>
    <m/>
    <m/>
    <m/>
    <s v="3R"/>
    <n v="3"/>
    <m/>
    <m/>
    <n v="3"/>
    <d v="2017-09-09T00:00:00"/>
    <n v="2"/>
    <d v="2017-09-21T00:00:00"/>
    <n v="14"/>
    <x v="0"/>
    <n v="1"/>
    <s v="ELECTIVE"/>
    <s v="R"/>
    <m/>
    <m/>
    <m/>
    <s v="VERCAMMEN"/>
    <d v="2017-10-24T00:00:00"/>
    <d v="2017-10-03T00:00:00"/>
    <s v="Y"/>
    <s v="Message"/>
    <m/>
    <m/>
    <m/>
    <n v="0"/>
    <n v="1"/>
    <n v="1"/>
    <x v="0"/>
    <s v="Aucune"/>
    <s v="Transfusion"/>
    <s v="Aucune"/>
    <s v="NON"/>
    <s v="NON"/>
    <n v="14"/>
    <n v="14"/>
    <s v="Inconnu"/>
    <n v="2"/>
    <n v="2"/>
    <s v="Inconnu"/>
    <s v="Transfusé"/>
    <n v="3"/>
    <s v="ERASME"/>
    <s v="Aucun"/>
    <s v="Aucun"/>
    <s v="OUI"/>
  </r>
  <r>
    <x v="8"/>
    <s v="BOUFERDAT"/>
    <s v="390701FB08"/>
    <d v="1939-07-01T00:00:00"/>
    <n v="78.243835616438361"/>
    <s v=" "/>
    <s v="URGENCES"/>
    <s v="ERASME URGENCES"/>
    <s v="ERASME URGENCES"/>
    <s v="BE"/>
    <s v="F"/>
    <d v="2017-09-08T00:00:00"/>
    <m/>
    <s v="CABG"/>
    <x v="1"/>
    <x v="1"/>
    <n v="0"/>
    <n v="0"/>
    <n v="2"/>
    <s v="OPCAB"/>
    <m/>
    <m/>
    <m/>
    <m/>
    <m/>
    <m/>
    <m/>
    <m/>
    <m/>
    <n v="1"/>
    <m/>
    <m/>
    <m/>
    <m/>
    <n v="0"/>
    <d v="2017-09-11T00:00:00"/>
    <n v="3"/>
    <d v="2017-09-15T00:00:00"/>
    <n v="7"/>
    <x v="0"/>
    <n v="2"/>
    <s v="URGENCY"/>
    <s v="D"/>
    <m/>
    <m/>
    <m/>
    <s v="BOUFERDAT"/>
    <d v="2017-10-13T00:00:00"/>
    <d v="2017-09-27T00:00:00"/>
    <s v="Y"/>
    <s v="pas de cardio-"/>
    <m/>
    <m/>
    <m/>
    <n v="1"/>
    <n v="0"/>
    <n v="1"/>
    <x v="2"/>
    <s v="Infection"/>
    <s v="Aucune"/>
    <s v="Aucune"/>
    <s v="NON"/>
    <s v="NON"/>
    <n v="7"/>
    <n v="7"/>
    <s v="Inconnu"/>
    <n v="3"/>
    <n v="3"/>
    <s v="Inconnu"/>
    <s v="Aucune"/>
    <n v="0"/>
    <s v="ERASME"/>
    <s v="Aucun"/>
    <s v="Aucun"/>
    <s v="NON"/>
  </r>
  <r>
    <x v="8"/>
    <s v="DEBRUYN"/>
    <s v="440831MDAA"/>
    <d v="1944-08-31T00:00:00"/>
    <n v="73.079452054794515"/>
    <s v=" "/>
    <s v="ZENAGUI"/>
    <s v="ZENAGUI"/>
    <s v="CT"/>
    <s v="FV"/>
    <s v="M"/>
    <d v="2017-09-11T00:00:00"/>
    <d v="2017-09-05T00:00:00"/>
    <s v="CABG"/>
    <x v="1"/>
    <x v="1"/>
    <n v="0"/>
    <n v="0"/>
    <n v="4"/>
    <s v="PC"/>
    <m/>
    <m/>
    <m/>
    <m/>
    <m/>
    <m/>
    <m/>
    <m/>
    <m/>
    <m/>
    <m/>
    <m/>
    <m/>
    <m/>
    <n v="0"/>
    <d v="2017-09-12T00:00:00"/>
    <n v="1"/>
    <d v="2017-09-20T00:00:00"/>
    <n v="9"/>
    <x v="0"/>
    <n v="1"/>
    <s v="ELECTIVE"/>
    <s v="D"/>
    <m/>
    <m/>
    <m/>
    <s v="DEBRUYN"/>
    <d v="2017-10-24T00:00:00"/>
    <d v="2017-10-03T00:00:00"/>
    <s v="Y"/>
    <m/>
    <m/>
    <m/>
    <m/>
    <n v="0"/>
    <n v="0"/>
    <n v="1"/>
    <x v="0"/>
    <s v="Aucune"/>
    <s v="Aucune"/>
    <s v="Aucune"/>
    <s v="NON"/>
    <s v="NON"/>
    <n v="9"/>
    <n v="9"/>
    <s v="Inconnu"/>
    <n v="1"/>
    <n v="1"/>
    <s v="Inconnu"/>
    <s v="Aucune"/>
    <n v="0"/>
    <s v="CT"/>
    <s v="Aucun"/>
    <s v="Aucun"/>
    <s v="OUI"/>
  </r>
  <r>
    <x v="8"/>
    <s v="FALLAY"/>
    <s v="430323MFAA"/>
    <d v="1943-03-23T00:00:00"/>
    <n v="74.523287671232879"/>
    <s v=" "/>
    <s v="CAILLEAU"/>
    <s v="CAILLEAU"/>
    <s v="CT"/>
    <s v="MLC"/>
    <s v="M"/>
    <d v="2017-09-11T00:00:00"/>
    <m/>
    <s v="CABG"/>
    <x v="1"/>
    <x v="1"/>
    <n v="0"/>
    <n v="0"/>
    <n v="3"/>
    <s v="PC"/>
    <m/>
    <m/>
    <m/>
    <m/>
    <m/>
    <m/>
    <m/>
    <m/>
    <m/>
    <m/>
    <m/>
    <m/>
    <m/>
    <m/>
    <n v="0"/>
    <d v="2017-09-12T00:00:00"/>
    <n v="1"/>
    <d v="2017-09-18T00:00:00"/>
    <n v="7"/>
    <x v="0"/>
    <n v="2"/>
    <s v="URGENCY"/>
    <s v="D"/>
    <m/>
    <m/>
    <m/>
    <s v="FALLAY"/>
    <d v="2017-10-19T00:00:00"/>
    <d v="2017-10-03T00:00:00"/>
    <s v="Y"/>
    <m/>
    <m/>
    <m/>
    <m/>
    <n v="0"/>
    <n v="0"/>
    <n v="1"/>
    <x v="2"/>
    <s v="Aucune"/>
    <s v="Aucune"/>
    <s v="Aucune"/>
    <s v="NON"/>
    <s v="NON"/>
    <n v="7"/>
    <n v="7"/>
    <s v="Inconnu"/>
    <n v="1"/>
    <n v="1"/>
    <s v="Inconnu"/>
    <s v="Aucune"/>
    <n v="0"/>
    <s v="CT"/>
    <s v="Aucun"/>
    <s v="Aucun"/>
    <s v="NON"/>
  </r>
  <r>
    <x v="8"/>
    <s v="DUPRIEZ"/>
    <s v="580424MD04"/>
    <d v="1958-04-24T00:00:00"/>
    <n v="59.424657534246577"/>
    <s v=" "/>
    <s v="ROUSSOULIERES"/>
    <s v="ERASME VAD"/>
    <s v="ERASME VAD"/>
    <s v="FV"/>
    <s v="M"/>
    <d v="2017-09-11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9-20T00:00:00"/>
    <n v="9"/>
    <d v="2017-10-03T00:00:00"/>
    <n v="22"/>
    <x v="0"/>
    <n v="2"/>
    <s v="URGENCY"/>
    <s v="D"/>
    <m/>
    <m/>
    <m/>
    <s v="DUPRIEZ"/>
    <s v="/"/>
    <s v="/"/>
    <m/>
    <s v="HTX"/>
    <s v="/"/>
    <m/>
    <s v="HTX"/>
    <n v="0"/>
    <n v="0"/>
    <n v="1"/>
    <x v="2"/>
    <s v="Aucune"/>
    <s v="Aucune"/>
    <s v="Aucune"/>
    <s v="NON"/>
    <s v="NON"/>
    <n v="22"/>
    <s v="Inconnu"/>
    <n v="22"/>
    <n v="9"/>
    <s v="Inconnu"/>
    <n v="9"/>
    <s v="Aucune"/>
    <n v="0"/>
    <s v="ERASME"/>
    <s v="Aucun"/>
    <s v="Aucun"/>
    <s v="NON"/>
  </r>
  <r>
    <x v="8"/>
    <s v="MERCKX"/>
    <s v="281214FM01"/>
    <d v="1928-12-14T00:00:00"/>
    <n v="88.808219178082197"/>
    <s v="1"/>
    <s v="MIRICA"/>
    <s v="ERASME CARDIO"/>
    <s v="ERASME CARDIO"/>
    <s v="FV"/>
    <s v="F"/>
    <d v="2017-09-13T00:00:00"/>
    <d v="2017-07-18T00:00:00"/>
    <s v="Résection bourrelet septal"/>
    <x v="4"/>
    <x v="3"/>
    <n v="0"/>
    <n v="0"/>
    <m/>
    <m/>
    <s v="Perceval"/>
    <s v="B"/>
    <s v="XL"/>
    <m/>
    <m/>
    <m/>
    <m/>
    <m/>
    <m/>
    <n v="1"/>
    <m/>
    <m/>
    <m/>
    <m/>
    <n v="0"/>
    <d v="2017-09-14T00:00:00"/>
    <n v="1"/>
    <d v="2017-09-28T00:00:00"/>
    <n v="15"/>
    <x v="0"/>
    <n v="1"/>
    <s v="ELECTIVE"/>
    <s v="R"/>
    <d v="2017-10-05T00:00:00"/>
    <n v="1"/>
    <s v="NC"/>
    <s v="MERCKX"/>
    <s v="/"/>
    <d v="2017-10-04T00:00:00"/>
    <s v="Y"/>
    <m/>
    <m/>
    <m/>
    <m/>
    <n v="1"/>
    <n v="0"/>
    <n v="1"/>
    <x v="0"/>
    <s v="Infection"/>
    <s v="Aucune"/>
    <s v="Aucune"/>
    <s v="NON"/>
    <s v="OUI"/>
    <n v="15"/>
    <n v="15"/>
    <s v="Inconnu"/>
    <n v="1"/>
    <n v="1"/>
    <s v="Inconnu"/>
    <s v="Aucune"/>
    <n v="0"/>
    <s v="ERASME"/>
    <s v="Aucun"/>
    <s v="Aucun"/>
    <s v="OUI"/>
  </r>
  <r>
    <x v="8"/>
    <s v="MORREALE"/>
    <s v="420214FM01"/>
    <d v="1942-02-14T00:00:00"/>
    <n v="75.632876712328766"/>
    <s v=" "/>
    <s v="GERIATRIE"/>
    <s v="ERASME GERIATRIE"/>
    <s v="ERASME GERIATRIE"/>
    <s v="BE"/>
    <s v="F"/>
    <d v="2017-09-14T00:00:00"/>
    <d v="2017-09-12T00:00:00"/>
    <s v="Fibroelastome + ferm PFO"/>
    <x v="4"/>
    <x v="3"/>
    <n v="0"/>
    <n v="0"/>
    <m/>
    <m/>
    <m/>
    <m/>
    <m/>
    <m/>
    <m/>
    <m/>
    <m/>
    <m/>
    <m/>
    <n v="1"/>
    <s v="1Plaq"/>
    <n v="1"/>
    <s v="2R"/>
    <n v="2"/>
    <n v="3"/>
    <d v="2017-09-15T00:00:00"/>
    <n v="1"/>
    <d v="2017-09-22T00:00:00"/>
    <n v="8"/>
    <x v="0"/>
    <n v="2"/>
    <s v="URGENCY"/>
    <s v="Rhumato"/>
    <m/>
    <m/>
    <m/>
    <s v="MORREALE"/>
    <s v="/"/>
    <d v="2017-10-31T00:00:00"/>
    <s v="Y"/>
    <m/>
    <m/>
    <m/>
    <m/>
    <n v="1"/>
    <n v="1"/>
    <n v="1"/>
    <x v="2"/>
    <s v="Infection"/>
    <s v="Transfusion"/>
    <s v="Transfusé"/>
    <s v="NON"/>
    <s v="NON"/>
    <n v="8"/>
    <n v="8"/>
    <s v="Inconnu"/>
    <n v="1"/>
    <n v="1"/>
    <s v="Inconnu"/>
    <s v="Transfusé"/>
    <n v="3"/>
    <s v="ERASME"/>
    <s v="Aucun"/>
    <s v="Aucun"/>
    <s v="OUI"/>
  </r>
  <r>
    <x v="8"/>
    <s v="ABDELLAOUI"/>
    <s v="430701MA27"/>
    <d v="1943-07-01T00:00:00"/>
    <n v="74.260273972602747"/>
    <s v=" "/>
    <s v="HAGE"/>
    <s v="HAGE"/>
    <s v="CT"/>
    <s v="BE"/>
    <s v="M"/>
    <d v="2017-09-15T00:00:00"/>
    <d v="2017-09-12T00:00:00"/>
    <s v="CABG"/>
    <x v="1"/>
    <x v="1"/>
    <n v="0"/>
    <n v="0"/>
    <n v="2"/>
    <s v="PC"/>
    <m/>
    <m/>
    <m/>
    <m/>
    <m/>
    <m/>
    <m/>
    <m/>
    <m/>
    <m/>
    <m/>
    <m/>
    <m/>
    <m/>
    <n v="0"/>
    <d v="2017-09-16T00:00:00"/>
    <n v="1"/>
    <d v="2017-09-23T00:00:00"/>
    <n v="8"/>
    <x v="0"/>
    <n v="2"/>
    <s v="URGENCY"/>
    <s v="D"/>
    <m/>
    <m/>
    <m/>
    <s v="ABDELLAOUI"/>
    <d v="2017-10-27T00:00:00"/>
    <d v="2017-10-04T00:00:00"/>
    <s v="Y"/>
    <m/>
    <m/>
    <m/>
    <m/>
    <n v="0"/>
    <n v="0"/>
    <n v="1"/>
    <x v="2"/>
    <s v="Aucune"/>
    <s v="Aucune"/>
    <s v="Aucune"/>
    <s v="NON"/>
    <s v="NON"/>
    <n v="8"/>
    <n v="8"/>
    <s v="Inconnu"/>
    <n v="1"/>
    <n v="1"/>
    <s v="Inconnu"/>
    <s v="Aucune"/>
    <n v="0"/>
    <s v="CT"/>
    <s v="Aucun"/>
    <s v="Aucun"/>
    <s v="OUI"/>
  </r>
  <r>
    <x v="8"/>
    <s v="BOUILLON"/>
    <s v="710418MB01"/>
    <d v="1971-04-18T00:00:00"/>
    <n v="46.452054794520549"/>
    <s v=" "/>
    <s v="VACHIERY"/>
    <s v="ERASME CARDIO"/>
    <s v="ERASME CARDIO"/>
    <s v="FV"/>
    <s v="M"/>
    <d v="2017-09-18T00:00:00"/>
    <m/>
    <s v="LVAD"/>
    <x v="6"/>
    <x v="5"/>
    <s v="LVAD/HTX"/>
    <n v="0"/>
    <m/>
    <m/>
    <m/>
    <m/>
    <m/>
    <m/>
    <m/>
    <m/>
    <m/>
    <m/>
    <m/>
    <m/>
    <m/>
    <m/>
    <m/>
    <m/>
    <n v="0"/>
    <d v="2017-09-23T00:00:00"/>
    <n v="5"/>
    <m/>
    <n v="-42996"/>
    <x v="0"/>
    <n v="2"/>
    <s v="URGENCY"/>
    <m/>
    <m/>
    <m/>
    <m/>
    <s v="BOUILLON"/>
    <s v="/"/>
    <s v="/"/>
    <m/>
    <s v="LVAD"/>
    <s v="/"/>
    <m/>
    <s v="LVAD"/>
    <n v="0"/>
    <n v="0"/>
    <n v="1"/>
    <x v="2"/>
    <s v="Aucune"/>
    <s v="Aucune"/>
    <s v="Aucune"/>
    <s v="NON"/>
    <s v="NON"/>
    <s v="Inconnu"/>
    <s v="Inconnu"/>
    <s v="Inconnu"/>
    <n v="5"/>
    <s v="Inconnu"/>
    <n v="5"/>
    <s v="Aucune"/>
    <n v="0"/>
    <s v="ERASME"/>
    <s v="Aucun"/>
    <s v="Aucun"/>
    <s v="NON"/>
  </r>
  <r>
    <x v="8"/>
    <s v="BLAMPAIN"/>
    <s v="330711FB01"/>
    <d v="1933-07-11T00:00:00"/>
    <n v="84.246575342465746"/>
    <s v="1"/>
    <s v="URGENCES"/>
    <s v="ERASME URGENCES"/>
    <s v="ERASME URGENCES"/>
    <s v="FV"/>
    <s v="F"/>
    <d v="2017-09-18T00:00:00"/>
    <m/>
    <s v="CDA"/>
    <x v="4"/>
    <x v="3"/>
    <n v="0"/>
    <n v="0"/>
    <m/>
    <m/>
    <m/>
    <m/>
    <m/>
    <m/>
    <m/>
    <m/>
    <m/>
    <m/>
    <m/>
    <n v="1"/>
    <s v="4R/8Plas/2Plaq"/>
    <n v="14"/>
    <m/>
    <m/>
    <n v="14"/>
    <d v="2017-09-21T00:00:00"/>
    <n v="3"/>
    <d v="2017-10-03T00:00:00"/>
    <n v="15"/>
    <x v="0"/>
    <n v="3"/>
    <s v="EMERGENCY"/>
    <s v="D"/>
    <m/>
    <m/>
    <m/>
    <s v="BLAMPAIN"/>
    <d v="2017-11-07T00:00:00"/>
    <d v="2017-10-11T00:00:00"/>
    <s v="Y"/>
    <s v="Message fils"/>
    <m/>
    <m/>
    <m/>
    <n v="1"/>
    <n v="1"/>
    <n v="1"/>
    <x v="1"/>
    <s v="Infection"/>
    <s v="Transfusion"/>
    <s v="Aucune"/>
    <s v="NON"/>
    <s v="NON"/>
    <n v="15"/>
    <n v="15"/>
    <s v="Inconnu"/>
    <n v="3"/>
    <n v="3"/>
    <s v="Inconnu"/>
    <s v="Transfusé"/>
    <n v="14"/>
    <s v="ERASME"/>
    <s v="Aucun"/>
    <s v="Aucun"/>
    <s v="NON"/>
  </r>
  <r>
    <x v="8"/>
    <s v="POTOT GODINEZ"/>
    <s v="460725MG01"/>
    <d v="1946-07-25T00:00:00"/>
    <n v="71.202739726027403"/>
    <s v=" "/>
    <s v="LOMMEL"/>
    <s v="ERASME CARDIO"/>
    <s v="ERASME CARDIO"/>
    <s v="BE"/>
    <s v="M"/>
    <d v="2017-09-19T00:00:00"/>
    <d v="2017-09-19T00:00:00"/>
    <s v="CABG"/>
    <x v="1"/>
    <x v="1"/>
    <n v="0"/>
    <n v="0"/>
    <n v="2"/>
    <s v="PC"/>
    <m/>
    <m/>
    <m/>
    <m/>
    <m/>
    <m/>
    <m/>
    <m/>
    <m/>
    <m/>
    <m/>
    <m/>
    <m/>
    <m/>
    <n v="0"/>
    <d v="2017-09-21T00:00:00"/>
    <n v="2"/>
    <d v="2017-09-29T00:00:00"/>
    <n v="10"/>
    <x v="0"/>
    <n v="2"/>
    <s v="URGENCY"/>
    <s v="D"/>
    <d v="2017-10-05T00:00:00"/>
    <n v="1"/>
    <s v="C"/>
    <s v="POTOT GODINEZ"/>
    <d v="2017-10-27T00:00:00"/>
    <m/>
    <m/>
    <m/>
    <m/>
    <m/>
    <m/>
    <n v="0"/>
    <n v="0"/>
    <n v="1"/>
    <x v="2"/>
    <s v="Aucune"/>
    <s v="Aucune"/>
    <s v="Aucune"/>
    <s v="NON"/>
    <s v="OUI"/>
    <n v="10"/>
    <n v="10"/>
    <s v="Inconnu"/>
    <n v="2"/>
    <n v="2"/>
    <s v="Inconnu"/>
    <s v="Aucune"/>
    <n v="0"/>
    <s v="ERASME"/>
    <s v="Aucun"/>
    <s v="Aucun"/>
    <s v="OUI"/>
  </r>
  <r>
    <x v="8"/>
    <s v="TIHON"/>
    <s v="300822MT03"/>
    <d v="1930-08-22T00:00:00"/>
    <n v="87.139726027397259"/>
    <s v="1"/>
    <s v="GREGOIRE"/>
    <s v="GREGOIRE"/>
    <s v="CT"/>
    <s v="FV"/>
    <s v="M"/>
    <d v="2017-09-20T00:00:00"/>
    <d v="2017-08-29T00:00:00"/>
    <s v="AVR + TVP + CABG"/>
    <x v="9"/>
    <x v="0"/>
    <s v="CABG + V"/>
    <n v="0"/>
    <n v="1"/>
    <s v="PC"/>
    <s v="CE/CE"/>
    <s v="B"/>
    <s v="27/32"/>
    <m/>
    <m/>
    <m/>
    <m/>
    <m/>
    <m/>
    <m/>
    <s v="1R"/>
    <n v="1"/>
    <m/>
    <m/>
    <n v="1"/>
    <d v="2017-09-22T00:00:00"/>
    <n v="2"/>
    <d v="2017-10-04T00:00:00"/>
    <n v="14"/>
    <x v="0"/>
    <n v="1"/>
    <s v="ELECTIVE"/>
    <s v="D"/>
    <m/>
    <m/>
    <m/>
    <s v="TIHON"/>
    <d v="2017-10-31T00:00:00"/>
    <d v="2017-10-11T00:00:00"/>
    <s v="Y"/>
    <m/>
    <m/>
    <m/>
    <m/>
    <n v="0"/>
    <n v="1"/>
    <n v="1"/>
    <x v="0"/>
    <s v="Aucune"/>
    <s v="Transfusion"/>
    <s v="Aucune"/>
    <s v="NON"/>
    <s v="NON"/>
    <n v="14"/>
    <n v="14"/>
    <s v="Inconnu"/>
    <n v="2"/>
    <n v="2"/>
    <s v="Inconnu"/>
    <s v="Transfusé"/>
    <n v="1"/>
    <s v="CT"/>
    <s v="Aucun"/>
    <s v="Aucun"/>
    <s v="OUI"/>
  </r>
  <r>
    <x v="8"/>
    <s v="DE FONSECA"/>
    <s v="660305MD02"/>
    <d v="1966-03-05T00:00:00"/>
    <n v="51.580821917808223"/>
    <s v=" "/>
    <s v="ROUSSOULIERES"/>
    <s v="ERASME VAD"/>
    <s v="ERASME VAD"/>
    <s v="MA"/>
    <s v="M"/>
    <d v="2017-09-20T00:00:00"/>
    <m/>
    <s v="HTX"/>
    <x v="8"/>
    <x v="6"/>
    <s v="LVAD/HTX"/>
    <n v="0"/>
    <m/>
    <m/>
    <m/>
    <m/>
    <m/>
    <m/>
    <m/>
    <m/>
    <m/>
    <m/>
    <m/>
    <m/>
    <m/>
    <m/>
    <m/>
    <m/>
    <n v="0"/>
    <d v="2017-09-29T00:00:00"/>
    <n v="9"/>
    <d v="2017-09-29T00:00:00"/>
    <n v="9"/>
    <x v="1"/>
    <n v="2"/>
    <s v="URGENCY"/>
    <s v="/"/>
    <m/>
    <m/>
    <m/>
    <s v="DE FONSECA"/>
    <s v="/"/>
    <s v="/"/>
    <s v="N"/>
    <s v="HTX-DCD"/>
    <s v="/"/>
    <s v="N"/>
    <s v="HTX-DCD"/>
    <n v="0"/>
    <n v="0"/>
    <n v="1"/>
    <x v="2"/>
    <s v="Aucune"/>
    <s v="Aucune"/>
    <s v="Aucune"/>
    <s v="NON"/>
    <s v="NON"/>
    <n v="9"/>
    <s v="Inconnu"/>
    <n v="9"/>
    <n v="9"/>
    <s v="Inconnu"/>
    <n v="9"/>
    <s v="Aucune"/>
    <n v="0"/>
    <s v="ERASME"/>
    <s v="Aucun"/>
    <s v="Aucun"/>
    <s v="NON"/>
  </r>
  <r>
    <x v="8"/>
    <s v="MEULEMANS"/>
    <s v="520215MMAA"/>
    <d v="1952-02-15T00:00:00"/>
    <n v="65.643835616438352"/>
    <s v=" "/>
    <s v="CHAPELLE"/>
    <s v="CHAPELLE"/>
    <s v="CT"/>
    <s v="FV"/>
    <s v="M"/>
    <d v="2017-09-21T00:00:00"/>
    <d v="2017-09-19T00:00:00"/>
    <s v="CABG"/>
    <x v="1"/>
    <x v="1"/>
    <n v="0"/>
    <n v="0"/>
    <n v="1"/>
    <s v="MIDCAB"/>
    <m/>
    <m/>
    <m/>
    <m/>
    <m/>
    <m/>
    <m/>
    <m/>
    <m/>
    <n v="1"/>
    <m/>
    <m/>
    <s v="1R"/>
    <n v="1"/>
    <n v="1"/>
    <d v="2017-09-22T00:00:00"/>
    <n v="1"/>
    <d v="2017-10-04T00:00:00"/>
    <n v="13"/>
    <x v="0"/>
    <n v="1"/>
    <s v="ELECTIVE"/>
    <s v="D"/>
    <m/>
    <m/>
    <m/>
    <s v="MEULEMANS"/>
    <d v="2017-11-07T00:00:00"/>
    <d v="2017-10-11T00:00:00"/>
    <s v="Y"/>
    <m/>
    <m/>
    <m/>
    <m/>
    <n v="1"/>
    <n v="1"/>
    <n v="1"/>
    <x v="0"/>
    <s v="Infection"/>
    <s v="Transfusion"/>
    <s v="Transfusé"/>
    <s v="NON"/>
    <s v="NON"/>
    <n v="13"/>
    <n v="13"/>
    <s v="Inconnu"/>
    <n v="1"/>
    <n v="1"/>
    <s v="Inconnu"/>
    <s v="Transfusé"/>
    <n v="1"/>
    <s v="CT"/>
    <s v="Aucun"/>
    <s v="Aucun"/>
    <s v="OUI"/>
  </r>
  <r>
    <x v="8"/>
    <s v="LUSANGI"/>
    <s v="571119ML01"/>
    <d v="1957-11-19T00:00:00"/>
    <n v="59.88219178082192"/>
    <s v=" "/>
    <s v="BERKENBOOM"/>
    <s v="ERASME CARDIO"/>
    <s v="ERASME CARDIO"/>
    <s v="FV"/>
    <s v="M"/>
    <d v="2017-09-22T00:00:00"/>
    <d v="2017-04-25T00:00:00"/>
    <s v="AVR"/>
    <x v="2"/>
    <x v="2"/>
    <s v="AVR"/>
    <s v="AVR"/>
    <m/>
    <m/>
    <s v="Perceval"/>
    <s v="B"/>
    <s v="S"/>
    <m/>
    <m/>
    <m/>
    <n v="1"/>
    <m/>
    <m/>
    <n v="1"/>
    <m/>
    <m/>
    <s v="2R"/>
    <n v="2"/>
    <n v="2"/>
    <d v="2017-09-23T00:00:00"/>
    <n v="1"/>
    <m/>
    <n v="-43000"/>
    <x v="0"/>
    <n v="1"/>
    <s v="ELECTIVE"/>
    <m/>
    <m/>
    <m/>
    <m/>
    <s v="LUSANGI"/>
    <m/>
    <m/>
    <m/>
    <m/>
    <m/>
    <m/>
    <m/>
    <n v="1"/>
    <n v="1"/>
    <n v="1"/>
    <x v="0"/>
    <s v="Infection"/>
    <s v="Transfusion"/>
    <s v="Transfusé"/>
    <s v="NON"/>
    <s v="NON"/>
    <s v="Inconnu"/>
    <s v="Inconnu"/>
    <s v="Inconnu"/>
    <n v="1"/>
    <n v="1"/>
    <s v="Inconnu"/>
    <s v="Transfusé"/>
    <n v="2"/>
    <s v="ERASME"/>
    <s v="Aucun"/>
    <s v="Aucun"/>
    <s v="OUI"/>
  </r>
  <r>
    <x v="8"/>
    <s v="FERNANDES"/>
    <s v="710607FFAA"/>
    <d v="1977-06-07T00:00:00"/>
    <n v="40.323287671232876"/>
    <s v=" "/>
    <s v="DAYEH"/>
    <s v="CHIREC PARC LEOPOLD"/>
    <s v="CHIREC PARC LEOPOLD"/>
    <s v="BE"/>
    <s v="F"/>
    <d v="2017-09-23T00:00:00"/>
    <m/>
    <s v="CABG"/>
    <x v="1"/>
    <x v="1"/>
    <n v="0"/>
    <n v="0"/>
    <n v="2"/>
    <s v="PC"/>
    <m/>
    <m/>
    <m/>
    <m/>
    <m/>
    <m/>
    <m/>
    <m/>
    <m/>
    <n v="1"/>
    <m/>
    <m/>
    <m/>
    <m/>
    <n v="0"/>
    <d v="2017-09-24T00:00:00"/>
    <n v="1"/>
    <d v="2017-09-29T00:00:00"/>
    <n v="6"/>
    <x v="0"/>
    <n v="2"/>
    <s v="URGENCY"/>
    <s v="D"/>
    <m/>
    <m/>
    <m/>
    <s v="FERNANDES"/>
    <d v="2017-10-27T00:00:00"/>
    <d v="2017-10-11T00:00:00"/>
    <s v="Y"/>
    <m/>
    <m/>
    <m/>
    <m/>
    <n v="1"/>
    <n v="0"/>
    <n v="1"/>
    <x v="2"/>
    <s v="Infection"/>
    <s v="Aucune"/>
    <s v="Aucune"/>
    <s v="NON"/>
    <s v="NON"/>
    <n v="6"/>
    <n v="6"/>
    <s v="Inconnu"/>
    <n v="1"/>
    <n v="1"/>
    <s v="Inconnu"/>
    <s v="Aucune"/>
    <n v="0"/>
    <s v="CHIREC"/>
    <s v="Aucun"/>
    <s v="Aucun"/>
    <s v="NON"/>
  </r>
  <r>
    <x v="8"/>
    <s v="DEMEYER"/>
    <s v="361110MD03"/>
    <d v="1936-11-10T00:00:00"/>
    <n v="80.92876712328767"/>
    <s v="1"/>
    <s v="LOMMEL"/>
    <s v="ERASME CARDIO"/>
    <s v="ERASME CARDIO"/>
    <s v="FV"/>
    <s v="M"/>
    <d v="2017-09-25T00:00:00"/>
    <d v="2017-09-19T00:00:00"/>
    <s v="AVR + MVP + TVP"/>
    <x v="0"/>
    <x v="0"/>
    <n v="0"/>
    <s v="2 V ou plus"/>
    <m/>
    <m/>
    <s v="Perceval/CE/CE"/>
    <s v="B"/>
    <s v="L/28/32"/>
    <m/>
    <m/>
    <m/>
    <m/>
    <m/>
    <m/>
    <m/>
    <s v="5R/2Plas/1Plaq"/>
    <n v="8"/>
    <s v="1R/1Plaq"/>
    <n v="2"/>
    <n v="10"/>
    <d v="2017-09-29T00:00:00"/>
    <n v="4"/>
    <d v="2017-10-09T00:00:00"/>
    <n v="43017"/>
    <x v="0"/>
    <n v="1"/>
    <s v="ELECTIVE"/>
    <s v="D"/>
    <m/>
    <m/>
    <m/>
    <s v="DEMEYER"/>
    <d v="2017-11-07T00:00:00"/>
    <d v="2017-10-25T00:00:00"/>
    <s v="Y"/>
    <s v="pas de réponse"/>
    <d v="2017-11-03T00:00:00"/>
    <s v="Y"/>
    <s v="toujours pas de réponse"/>
    <n v="0"/>
    <n v="1"/>
    <n v="1"/>
    <x v="0"/>
    <s v="Aucune"/>
    <s v="Transfusion"/>
    <s v="Transfusé"/>
    <s v="NON"/>
    <s v="NON"/>
    <n v="14"/>
    <n v="14"/>
    <s v="Inconnu"/>
    <n v="4"/>
    <n v="4"/>
    <s v="Inconnu"/>
    <s v="Transfusé"/>
    <n v="10"/>
    <s v="ERASME"/>
    <s v="Aucun"/>
    <s v="Aucun"/>
    <s v="OUI"/>
  </r>
  <r>
    <x v="8"/>
    <s v="HURREN"/>
    <s v="241106MH01"/>
    <d v="1924-11-06T00:00:00"/>
    <n v="92.950684931506856"/>
    <s v="1"/>
    <s v="VAN NOOTEN"/>
    <s v="ERASME CHIR CAR"/>
    <s v="ERASME CHIR CAR"/>
    <s v="BE"/>
    <s v="M"/>
    <d v="2017-09-26T00:00:00"/>
    <d v="2017-09-19T00:00:00"/>
    <s v="CABG"/>
    <x v="1"/>
    <x v="1"/>
    <n v="0"/>
    <n v="0"/>
    <n v="1"/>
    <s v="OPCAB"/>
    <m/>
    <m/>
    <m/>
    <m/>
    <m/>
    <m/>
    <n v="1"/>
    <m/>
    <m/>
    <n v="1"/>
    <m/>
    <m/>
    <m/>
    <m/>
    <n v="0"/>
    <d v="2017-09-27T00:00:00"/>
    <n v="1"/>
    <d v="2017-10-02T00:00:00"/>
    <n v="6"/>
    <x v="0"/>
    <n v="1"/>
    <s v="ELECTIVE"/>
    <s v="D"/>
    <m/>
    <m/>
    <m/>
    <s v="HURREN"/>
    <d v="2017-10-30T00:00:00"/>
    <d v="2017-10-11T00:00:00"/>
    <s v="Y"/>
    <m/>
    <m/>
    <m/>
    <m/>
    <n v="1"/>
    <n v="0"/>
    <n v="1"/>
    <x v="0"/>
    <s v="Infection"/>
    <s v="Aucune"/>
    <s v="Aucune"/>
    <s v="NON"/>
    <s v="NON"/>
    <n v="6"/>
    <n v="6"/>
    <s v="Inconnu"/>
    <n v="1"/>
    <n v="1"/>
    <s v="Inconnu"/>
    <s v="Aucune"/>
    <n v="0"/>
    <s v="ERASME"/>
    <s v="Aucun"/>
    <s v="Aucun"/>
    <s v="OUI"/>
  </r>
  <r>
    <x v="8"/>
    <s v="FLAMENT"/>
    <s v="550302MF03"/>
    <d v="1955-03-02T00:00:00"/>
    <n v="62.61917808219178"/>
    <s v=" "/>
    <s v="ZENAGUI"/>
    <s v="ZENAGUI"/>
    <s v="CT"/>
    <s v="FV"/>
    <s v="M"/>
    <d v="2017-09-28T00:00:00"/>
    <d v="2017-09-26T00:00:00"/>
    <s v="? (CABG)"/>
    <x v="1"/>
    <x v="1"/>
    <n v="0"/>
    <n v="0"/>
    <m/>
    <m/>
    <m/>
    <m/>
    <m/>
    <m/>
    <m/>
    <m/>
    <m/>
    <m/>
    <m/>
    <m/>
    <m/>
    <m/>
    <m/>
    <m/>
    <n v="0"/>
    <d v="2017-09-29T00:00:00"/>
    <n v="1"/>
    <d v="2017-10-05T00:00:00"/>
    <n v="7"/>
    <x v="0"/>
    <n v="1"/>
    <s v="ELECTIVE"/>
    <s v="D"/>
    <m/>
    <m/>
    <m/>
    <s v="FLAMENT"/>
    <d v="2017-11-14T00:00:00"/>
    <d v="2017-10-11T00:00:00"/>
    <s v="Y"/>
    <m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T"/>
    <s v="Aucun"/>
    <s v="Aucun"/>
    <s v="OUI"/>
  </r>
  <r>
    <x v="8"/>
    <s v="DE MUNCK"/>
    <s v="430425FDAA "/>
    <d v="1943-04-25T00:00:00"/>
    <n v="74.479452054794521"/>
    <s v=" "/>
    <s v="DESCAMPS"/>
    <s v="CHWAPI TOURNAI"/>
    <s v="CHWAPI TOURNAI"/>
    <s v="BE"/>
    <s v="F"/>
    <d v="2017-09-28T00:00:00"/>
    <m/>
    <s v="AVR"/>
    <x v="2"/>
    <x v="2"/>
    <s v="AVR"/>
    <s v="AVR"/>
    <m/>
    <m/>
    <s v="CE"/>
    <s v="B"/>
    <n v="21"/>
    <m/>
    <m/>
    <m/>
    <m/>
    <m/>
    <m/>
    <n v="1"/>
    <s v="8R/2Plas"/>
    <n v="10"/>
    <m/>
    <m/>
    <n v="10"/>
    <d v="2017-10-03T00:00:00"/>
    <n v="5"/>
    <d v="2017-10-13T00:00:00"/>
    <n v="15"/>
    <x v="0"/>
    <n v="2"/>
    <s v="URGENCY"/>
    <s v="Tournai"/>
    <m/>
    <m/>
    <m/>
    <s v="DE MUNCK"/>
    <d v="2017-11-17T00:00:00"/>
    <d v="2017-10-31T00:00:00"/>
    <s v="Y"/>
    <m/>
    <m/>
    <m/>
    <m/>
    <n v="1"/>
    <n v="1"/>
    <n v="1"/>
    <x v="2"/>
    <s v="Infection"/>
    <s v="Transfusion"/>
    <s v="Aucune"/>
    <s v="NON"/>
    <s v="NON"/>
    <n v="15"/>
    <n v="15"/>
    <s v="Inconnu"/>
    <n v="5"/>
    <n v="5"/>
    <s v="Inconnu"/>
    <s v="Transfusé"/>
    <n v="10"/>
    <s v="CHWAPI TOURNAI"/>
    <s v="Aucun"/>
    <s v="Aucun"/>
    <s v="NON"/>
  </r>
  <r>
    <x v="8"/>
    <s v="SCUTENAIRE"/>
    <s v="421012MS03"/>
    <d v="1942-10-12T00:00:00"/>
    <n v="75.016438356164386"/>
    <s v=" "/>
    <s v="BERKENBOOM"/>
    <s v="ERASME CARDIO"/>
    <s v="ERASME CARDIO"/>
    <s v="MLC"/>
    <s v="M"/>
    <d v="2017-09-29T00:00:00"/>
    <d v="2017-09-19T00:00:00"/>
    <s v="CABG"/>
    <x v="1"/>
    <x v="1"/>
    <n v="0"/>
    <n v="0"/>
    <n v="3"/>
    <s v="PC"/>
    <m/>
    <m/>
    <m/>
    <m/>
    <m/>
    <m/>
    <m/>
    <m/>
    <m/>
    <m/>
    <m/>
    <m/>
    <m/>
    <m/>
    <n v="0"/>
    <d v="2017-09-30T00:00:00"/>
    <n v="1"/>
    <d v="2017-10-06T00:00:00"/>
    <n v="7"/>
    <x v="0"/>
    <n v="1"/>
    <s v="ELECTIVE"/>
    <s v="D"/>
    <m/>
    <m/>
    <m/>
    <s v="SCUTENAIRE"/>
    <d v="2017-11-09T00:00:00"/>
    <d v="2017-10-11T00:00:00"/>
    <s v="Y"/>
    <s v="escarre sacree"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ERASME"/>
    <s v="Aucun"/>
    <s v="Aucun"/>
    <s v="OUI"/>
  </r>
  <r>
    <x v="8"/>
    <s v="MOULAY"/>
    <s v="550204MM06"/>
    <d v="1955-02-04T00:00:00"/>
    <n v="62.69315068493151"/>
    <s v=" "/>
    <s v="USI"/>
    <s v="ERASME USI"/>
    <s v="ERASME USI"/>
    <s v="FV"/>
    <s v="M"/>
    <d v="2017-09-29T00:00:00"/>
    <m/>
    <s v="CABG"/>
    <x v="1"/>
    <x v="1"/>
    <n v="0"/>
    <n v="0"/>
    <n v="4"/>
    <s v="PC"/>
    <m/>
    <m/>
    <m/>
    <m/>
    <m/>
    <m/>
    <m/>
    <m/>
    <m/>
    <m/>
    <s v="1R/5Plas"/>
    <n v="6"/>
    <s v="5R"/>
    <n v="5"/>
    <n v="11"/>
    <m/>
    <n v="-43007"/>
    <m/>
    <n v="-43007"/>
    <x v="0"/>
    <n v="3"/>
    <s v="EMERGENCY"/>
    <m/>
    <m/>
    <m/>
    <m/>
    <s v="MOULAY"/>
    <m/>
    <m/>
    <m/>
    <m/>
    <m/>
    <m/>
    <m/>
    <n v="0"/>
    <n v="1"/>
    <n v="1"/>
    <x v="1"/>
    <s v="Aucune"/>
    <s v="Transfusion"/>
    <s v="Transfusé"/>
    <s v="NON"/>
    <s v="NON"/>
    <s v="Inconnu"/>
    <s v="Inconnu"/>
    <s v="Inconnu"/>
    <s v="Inconnu"/>
    <s v="Inconnu"/>
    <s v="Inconnu"/>
    <s v="Transfusé"/>
    <n v="11"/>
    <s v="ERASME"/>
    <s v="Aucun"/>
    <s v="Aucun"/>
    <s v="NON"/>
  </r>
  <r>
    <x v="9"/>
    <s v="BRAL"/>
    <s v="460215MB01 "/>
    <d v="1946-02-15T00:00:00"/>
    <n v="71.679452054794524"/>
    <s v=" "/>
    <s v="DESCAMPS"/>
    <s v="CHWAPI TOURNAI"/>
    <s v="CHWAPI TOURNAI"/>
    <s v="FV"/>
    <s v="M"/>
    <d v="2017-10-03T00:00:00"/>
    <m/>
    <s v="AVR + CABG"/>
    <x v="3"/>
    <x v="0"/>
    <s v="CABG + V"/>
    <n v="0"/>
    <n v="3"/>
    <s v="PC"/>
    <s v="CE"/>
    <s v="B"/>
    <n v="25"/>
    <m/>
    <m/>
    <m/>
    <m/>
    <m/>
    <m/>
    <m/>
    <s v="3Plas/1Plaq"/>
    <n v="4"/>
    <m/>
    <m/>
    <n v="4"/>
    <d v="2017-10-04T00:00:00"/>
    <n v="1"/>
    <d v="2017-10-10T00:00:00"/>
    <n v="7"/>
    <x v="0"/>
    <n v="3"/>
    <s v="EMERGENCY"/>
    <s v="D"/>
    <m/>
    <m/>
    <m/>
    <s v="BRAL"/>
    <d v="2017-11-14T00:00:00"/>
    <d v="2017-10-25T00:00:00"/>
    <s v="Y"/>
    <m/>
    <m/>
    <m/>
    <m/>
    <n v="0"/>
    <n v="1"/>
    <n v="1"/>
    <x v="1"/>
    <s v="Aucune"/>
    <s v="Transfusion"/>
    <s v="Aucune"/>
    <s v="NON"/>
    <s v="NON"/>
    <n v="7"/>
    <n v="7"/>
    <s v="Inconnu"/>
    <n v="1"/>
    <n v="1"/>
    <s v="Inconnu"/>
    <s v="Transfusé"/>
    <n v="4"/>
    <s v="CHWAPI TOURNAI"/>
    <s v="Aucun"/>
    <s v="Aucun"/>
    <s v="NON"/>
  </r>
  <r>
    <x v="9"/>
    <s v="MAIORANA"/>
    <s v="371128MM02"/>
    <d v="1937-11-28T00:00:00"/>
    <n v="79.904109589041099"/>
    <s v=" "/>
    <s v="CONTU"/>
    <s v="CHIREC BASILIQUE"/>
    <s v="CHIREC BASILIQUE"/>
    <s v="FV"/>
    <s v="M"/>
    <d v="2017-10-04T00:00:00"/>
    <m/>
    <s v="? (CABG)"/>
    <x v="1"/>
    <x v="1"/>
    <n v="0"/>
    <n v="0"/>
    <m/>
    <m/>
    <m/>
    <m/>
    <m/>
    <m/>
    <m/>
    <m/>
    <m/>
    <m/>
    <m/>
    <m/>
    <s v="1R/3Plas/2Plaq"/>
    <n v="6"/>
    <m/>
    <m/>
    <n v="6"/>
    <d v="2017-10-05T00:00:00"/>
    <n v="1"/>
    <d v="2017-10-13T00:00:00"/>
    <n v="9"/>
    <x v="0"/>
    <n v="1"/>
    <s v="ELECTIVE"/>
    <s v="D"/>
    <m/>
    <m/>
    <m/>
    <s v="MAIORANA"/>
    <d v="2017-11-14T00:00:00"/>
    <d v="2017-10-31T00:00:00"/>
    <s v="Y"/>
    <m/>
    <m/>
    <m/>
    <m/>
    <n v="0"/>
    <n v="1"/>
    <n v="1"/>
    <x v="0"/>
    <s v="Aucune"/>
    <s v="Transfusion"/>
    <s v="Aucune"/>
    <s v="NON"/>
    <s v="NON"/>
    <n v="9"/>
    <n v="9"/>
    <s v="Inconnu"/>
    <n v="1"/>
    <n v="1"/>
    <s v="Inconnu"/>
    <s v="Transfusé"/>
    <n v="6"/>
    <s v="CHIREC"/>
    <s v="Aucun"/>
    <s v="Aucun"/>
    <s v="NON"/>
  </r>
  <r>
    <x v="9"/>
    <s v="VAN EYCKEN"/>
    <s v="521019FVAA"/>
    <d v="1952-10-19T00:00:00"/>
    <n v="65.0054794520548"/>
    <s v=" "/>
    <s v="MARCHAND"/>
    <s v="POLY ENGHIEN"/>
    <s v="POLY ENGHIEN"/>
    <s v="FV"/>
    <s v="F"/>
    <d v="2017-10-05T00:00:00"/>
    <d v="2017-10-03T00:00:00"/>
    <s v="? (AVR)"/>
    <x v="2"/>
    <x v="2"/>
    <s v="AVR"/>
    <s v="AVR"/>
    <m/>
    <m/>
    <m/>
    <m/>
    <m/>
    <m/>
    <m/>
    <m/>
    <m/>
    <m/>
    <m/>
    <m/>
    <m/>
    <m/>
    <m/>
    <m/>
    <n v="0"/>
    <d v="2017-10-11T00:00:00"/>
    <n v="6"/>
    <d v="2017-10-14T00:00:00"/>
    <n v="9"/>
    <x v="0"/>
    <n v="1"/>
    <s v="ELECTIVE"/>
    <s v="D"/>
    <m/>
    <m/>
    <m/>
    <s v="VAN EYCKEN"/>
    <s v="/"/>
    <d v="2017-10-23T00:00:00"/>
    <s v="Y"/>
    <m/>
    <m/>
    <m/>
    <m/>
    <n v="0"/>
    <n v="0"/>
    <n v="1"/>
    <x v="0"/>
    <s v="Aucune"/>
    <s v="Aucune"/>
    <s v="Aucune"/>
    <s v="NON"/>
    <s v="NON"/>
    <n v="9"/>
    <n v="9"/>
    <s v="Inconnu"/>
    <n v="6"/>
    <n v="6"/>
    <s v="Inconnu"/>
    <s v="Aucune"/>
    <n v="0"/>
    <s v="POLY ENGHIEN"/>
    <s v="Aucun"/>
    <s v="Aucun"/>
    <s v="OUI"/>
  </r>
  <r>
    <x v="9"/>
    <s v="KANKELJ"/>
    <s v="630808MKAA"/>
    <d v="1963-08-08T00:00:00"/>
    <n v="54.197260273972603"/>
    <s v=" "/>
    <s v="USI"/>
    <s v="ERASME USI"/>
    <s v="ERASME USI"/>
    <s v="FV"/>
    <s v="M"/>
    <d v="2017-10-05T00:00:00"/>
    <m/>
    <s v="CABG + ECMO"/>
    <x v="1"/>
    <x v="1"/>
    <n v="0"/>
    <n v="0"/>
    <n v="4"/>
    <s v="PC"/>
    <m/>
    <m/>
    <m/>
    <m/>
    <m/>
    <m/>
    <m/>
    <m/>
    <m/>
    <m/>
    <s v="3R"/>
    <n v="3"/>
    <s v="16R"/>
    <n v="16"/>
    <n v="19"/>
    <m/>
    <n v="-43013"/>
    <d v="2017-11-03T00:00:00"/>
    <n v="29"/>
    <x v="0"/>
    <n v="3"/>
    <s v="EMERGENCY"/>
    <s v="D"/>
    <m/>
    <m/>
    <m/>
    <s v="KANKELJ"/>
    <d v="2017-12-05T00:00:00"/>
    <d v="2017-11-13T00:00:00"/>
    <s v="Y"/>
    <s v="sensibilité jbe d (ecmo)- toux "/>
    <m/>
    <m/>
    <m/>
    <n v="0"/>
    <n v="1"/>
    <n v="1"/>
    <x v="1"/>
    <s v="Aucune"/>
    <s v="Transfusion"/>
    <s v="Transfusé"/>
    <s v="NON"/>
    <s v="NON"/>
    <n v="29"/>
    <n v="29"/>
    <s v="Inconnu"/>
    <s v="Inconnu"/>
    <s v="Inconnu"/>
    <s v="Inconnu"/>
    <s v="Transfusé"/>
    <n v="19"/>
    <s v="ERASME"/>
    <s v="Aucun"/>
    <s v="Aucun"/>
    <s v="NON"/>
  </r>
  <r>
    <x v="9"/>
    <s v="EL MAWLA"/>
    <s v="690108ME01"/>
    <d v="1969-01-08T00:00:00"/>
    <n v="48.775342465753425"/>
    <s v=" "/>
    <s v="VACHIERY"/>
    <s v="ERASME CARDIO"/>
    <s v="ERASME CARDIO"/>
    <s v="FV"/>
    <s v="M"/>
    <d v="2017-10-06T00:00:00"/>
    <m/>
    <s v="LVAD + ECMO"/>
    <x v="6"/>
    <x v="5"/>
    <s v="LVAD/HTX"/>
    <n v="0"/>
    <m/>
    <m/>
    <m/>
    <m/>
    <m/>
    <m/>
    <n v="1"/>
    <m/>
    <m/>
    <m/>
    <m/>
    <m/>
    <m/>
    <m/>
    <m/>
    <m/>
    <n v="0"/>
    <d v="2017-10-09T00:00:00"/>
    <n v="3"/>
    <d v="2017-10-09T00:00:00"/>
    <n v="3"/>
    <x v="1"/>
    <n v="2"/>
    <s v="URGENCY"/>
    <s v="/"/>
    <m/>
    <m/>
    <m/>
    <s v="EL MAWLA"/>
    <s v="/"/>
    <s v="/"/>
    <s v="N"/>
    <s v="LVAD-DCD"/>
    <s v="/"/>
    <s v="N"/>
    <s v="LVAD-DCD"/>
    <n v="0"/>
    <n v="0"/>
    <n v="1"/>
    <x v="2"/>
    <s v="Aucune"/>
    <s v="Aucune"/>
    <s v="Aucune"/>
    <s v="NON"/>
    <s v="NON"/>
    <n v="3"/>
    <s v="Inconnu"/>
    <n v="3"/>
    <n v="3"/>
    <s v="Inconnu"/>
    <n v="3"/>
    <s v="Aucune"/>
    <n v="0"/>
    <s v="ERASME"/>
    <s v="Aucun"/>
    <s v="Aucun"/>
    <s v="NON"/>
  </r>
  <r>
    <x v="9"/>
    <s v="VANDER CAMMEN"/>
    <s v="590702FV03"/>
    <d v="1959-07-02T00:00:00"/>
    <n v="58.31232876712329"/>
    <s v=" "/>
    <s v="KHODADADI"/>
    <s v="BRACOPS"/>
    <s v="BRACOPS"/>
    <s v="MLC"/>
    <s v="F"/>
    <d v="2017-10-09T00:00:00"/>
    <m/>
    <s v="AVR"/>
    <x v="2"/>
    <x v="2"/>
    <s v="AVR"/>
    <s v="AVR"/>
    <m/>
    <m/>
    <s v="Medtronic"/>
    <s v="M"/>
    <n v="23"/>
    <m/>
    <m/>
    <m/>
    <m/>
    <m/>
    <m/>
    <m/>
    <m/>
    <m/>
    <m/>
    <m/>
    <n v="0"/>
    <d v="2017-10-11T00:00:00"/>
    <n v="2"/>
    <d v="2017-10-17T00:00:00"/>
    <n v="8"/>
    <x v="0"/>
    <n v="1"/>
    <s v="ELECTIVE"/>
    <s v="D"/>
    <m/>
    <m/>
    <m/>
    <s v="VANDER CAMMEN"/>
    <d v="2017-11-16T00:00:00"/>
    <d v="2017-10-31T00:00:00"/>
    <s v="Y"/>
    <m/>
    <m/>
    <m/>
    <m/>
    <n v="0"/>
    <n v="0"/>
    <n v="1"/>
    <x v="0"/>
    <s v="Aucune"/>
    <s v="Aucune"/>
    <s v="Aucune"/>
    <s v="NON"/>
    <s v="NON"/>
    <n v="8"/>
    <n v="8"/>
    <s v="Inconnu"/>
    <n v="2"/>
    <n v="2"/>
    <s v="Inconnu"/>
    <s v="Aucune"/>
    <n v="0"/>
    <s v="BRACOPS"/>
    <s v="Aucun"/>
    <s v="Aucun"/>
    <s v="NON"/>
  </r>
  <r>
    <x v="9"/>
    <s v="DE ROP"/>
    <s v="470128MD03 "/>
    <d v="1947-01-28T00:00:00"/>
    <n v="70.750684931506854"/>
    <s v=" "/>
    <s v="CONTU"/>
    <s v="CHIREC BASILIQUE"/>
    <s v="CHIREC BASILIQUE"/>
    <s v="MLC"/>
    <s v="M"/>
    <d v="2017-10-11T00:00:00"/>
    <d v="2017-10-10T00:00:00"/>
    <s v="CABG"/>
    <x v="1"/>
    <x v="1"/>
    <n v="0"/>
    <n v="0"/>
    <n v="3"/>
    <s v="PC"/>
    <m/>
    <m/>
    <m/>
    <m/>
    <m/>
    <m/>
    <m/>
    <m/>
    <m/>
    <m/>
    <s v="3R"/>
    <n v="3"/>
    <m/>
    <m/>
    <n v="3"/>
    <d v="2017-10-13T00:00:00"/>
    <n v="2"/>
    <d v="2017-10-18T00:00:00"/>
    <n v="7"/>
    <x v="0"/>
    <n v="1"/>
    <s v="ELECTIVE"/>
    <s v="D"/>
    <m/>
    <m/>
    <m/>
    <s v="DE ROP"/>
    <d v="2017-11-16T00:00:00"/>
    <d v="2017-10-31T00:00:00"/>
    <s v="Y"/>
    <m/>
    <m/>
    <m/>
    <m/>
    <n v="0"/>
    <n v="1"/>
    <n v="1"/>
    <x v="0"/>
    <s v="Aucune"/>
    <s v="Transfusion"/>
    <s v="Aucune"/>
    <s v="NON"/>
    <s v="NON"/>
    <n v="7"/>
    <n v="7"/>
    <s v="Inconnu"/>
    <n v="2"/>
    <n v="2"/>
    <s v="Inconnu"/>
    <s v="Transfusé"/>
    <n v="3"/>
    <s v="CHIREC"/>
    <s v="Aucun"/>
    <s v="Aucun"/>
    <s v="OUI"/>
  </r>
  <r>
    <x v="9"/>
    <s v="MONET"/>
    <s v="440616MM01"/>
    <d v="1944-06-16T00:00:00"/>
    <n v="73.372602739726034"/>
    <s v=" "/>
    <s v="DAYEH"/>
    <s v="CHIREC BASILIQUE"/>
    <s v="CHIREC BASILIQUE"/>
    <s v="BE"/>
    <s v="M"/>
    <d v="2017-10-12T00:00:00"/>
    <d v="2017-09-12T00:00:00"/>
    <s v="CABG"/>
    <x v="1"/>
    <x v="1"/>
    <n v="0"/>
    <n v="0"/>
    <n v="2"/>
    <s v="PC"/>
    <m/>
    <m/>
    <m/>
    <m/>
    <m/>
    <m/>
    <m/>
    <m/>
    <m/>
    <n v="1"/>
    <s v="3R"/>
    <n v="3"/>
    <s v="1R"/>
    <n v="1"/>
    <n v="4"/>
    <d v="2017-10-15T00:00:00"/>
    <n v="3"/>
    <d v="2017-10-20T00:00:00"/>
    <n v="8"/>
    <x v="0"/>
    <n v="1"/>
    <s v="ELECTIVE"/>
    <s v="D"/>
    <m/>
    <m/>
    <m/>
    <s v="MONET"/>
    <d v="2017-11-24T00:00:00"/>
    <d v="2017-10-31T00:00:00"/>
    <s v="Y"/>
    <m/>
    <m/>
    <m/>
    <m/>
    <n v="1"/>
    <n v="1"/>
    <n v="1"/>
    <x v="0"/>
    <s v="Infection"/>
    <s v="Transfusion"/>
    <s v="Transfusé"/>
    <s v="NON"/>
    <s v="NON"/>
    <n v="8"/>
    <n v="8"/>
    <s v="Inconnu"/>
    <n v="3"/>
    <n v="3"/>
    <s v="Inconnu"/>
    <s v="Transfusé"/>
    <n v="4"/>
    <s v="CHIREC"/>
    <s v="Aucun"/>
    <s v="Aucun"/>
    <s v="OUI"/>
  </r>
  <r>
    <x v="9"/>
    <s v="TZOUROS"/>
    <s v="440117MT02 "/>
    <d v="1944-01-17T00:00:00"/>
    <n v="73.789041095890411"/>
    <s v=" "/>
    <s v="KHODADADI"/>
    <s v="BRACOPS"/>
    <s v="BRACOPS"/>
    <s v="BE"/>
    <s v="M"/>
    <d v="2017-10-13T00:00:00"/>
    <d v="2017-10-10T00:00:00"/>
    <s v="CABG"/>
    <x v="1"/>
    <x v="1"/>
    <n v="0"/>
    <n v="0"/>
    <n v="1"/>
    <s v="MIDCAB"/>
    <m/>
    <m/>
    <m/>
    <m/>
    <m/>
    <m/>
    <m/>
    <m/>
    <m/>
    <m/>
    <m/>
    <m/>
    <m/>
    <m/>
    <n v="0"/>
    <d v="2017-10-14T00:00:00"/>
    <n v="1"/>
    <d v="2017-10-18T00:00:00"/>
    <n v="5"/>
    <x v="0"/>
    <n v="1"/>
    <s v="ELECTIVE"/>
    <s v="D"/>
    <m/>
    <m/>
    <m/>
    <s v="TZOUROS"/>
    <d v="2017-11-17T00:00:00"/>
    <d v="2017-10-31T00:00:00"/>
    <s v="Y"/>
    <s v="plaie sternale infecté"/>
    <m/>
    <m/>
    <m/>
    <n v="0"/>
    <n v="0"/>
    <n v="1"/>
    <x v="0"/>
    <s v="Aucune"/>
    <s v="Aucune"/>
    <s v="Aucune"/>
    <s v="NON"/>
    <s v="NON"/>
    <n v="5"/>
    <n v="5"/>
    <s v="Inconnu"/>
    <n v="1"/>
    <n v="1"/>
    <s v="Inconnu"/>
    <s v="Aucune"/>
    <n v="0"/>
    <s v="BRACOPS"/>
    <s v="Aucun"/>
    <s v="Aucun"/>
    <s v="OUI"/>
  </r>
  <r>
    <x v="9"/>
    <s v="KAGOYIRE"/>
    <s v="601016FK01"/>
    <d v="1960-10-16T00:00:00"/>
    <n v="57.038356164383565"/>
    <s v=" "/>
    <s v="PREUMONT"/>
    <s v="ERASME CARDIO"/>
    <s v="ERASME CARDIO"/>
    <s v="MLC"/>
    <s v="F"/>
    <d v="2017-10-16T00:00:00"/>
    <d v="2017-10-10T00:00:00"/>
    <s v="CABG"/>
    <x v="1"/>
    <x v="1"/>
    <n v="0"/>
    <n v="0"/>
    <n v="3"/>
    <s v="PC"/>
    <m/>
    <m/>
    <m/>
    <m/>
    <m/>
    <m/>
    <m/>
    <m/>
    <m/>
    <m/>
    <m/>
    <m/>
    <m/>
    <m/>
    <n v="0"/>
    <d v="2017-10-17T00:00:00"/>
    <n v="1"/>
    <d v="2017-10-24T00:00:00"/>
    <n v="8"/>
    <x v="0"/>
    <n v="1"/>
    <s v="ELECTIVE"/>
    <s v="D"/>
    <m/>
    <m/>
    <m/>
    <s v="KAGOYIRE"/>
    <d v="2017-10-23T00:00:00"/>
    <d v="2017-10-31T00:00:00"/>
    <s v="Y"/>
    <s v="eu la sœur"/>
    <m/>
    <m/>
    <m/>
    <n v="0"/>
    <n v="0"/>
    <n v="1"/>
    <x v="0"/>
    <s v="Aucune"/>
    <s v="Aucune"/>
    <s v="Aucune"/>
    <s v="NON"/>
    <s v="NON"/>
    <n v="8"/>
    <n v="8"/>
    <s v="Inconnu"/>
    <n v="1"/>
    <n v="1"/>
    <s v="Inconnu"/>
    <s v="Aucune"/>
    <n v="0"/>
    <s v="ERASME"/>
    <s v="Aucun"/>
    <s v="Aucun"/>
    <s v="OUI"/>
  </r>
  <r>
    <x v="9"/>
    <s v="DUVIVIER"/>
    <s v="470121FDAA"/>
    <d v="1947-01-21T00:00:00"/>
    <n v="70.786301369863011"/>
    <s v=" "/>
    <s v="VAN DE BORNE"/>
    <s v="ERASME CARDIO"/>
    <s v="ERASME CARDIO"/>
    <s v="FV"/>
    <s v="F"/>
    <d v="2017-10-17T00:00:00"/>
    <d v="2017-06-27T00:00:00"/>
    <s v="TVR + ferm FOP"/>
    <x v="2"/>
    <x v="2"/>
    <s v="TVR"/>
    <s v="TVR"/>
    <m/>
    <m/>
    <s v="CE"/>
    <s v="B"/>
    <n v="27"/>
    <m/>
    <m/>
    <m/>
    <m/>
    <m/>
    <m/>
    <m/>
    <m/>
    <m/>
    <m/>
    <m/>
    <n v="0"/>
    <d v="2017-10-22T00:00:00"/>
    <n v="5"/>
    <d v="2017-11-08T00:00:00"/>
    <n v="22"/>
    <x v="0"/>
    <n v="1"/>
    <s v="ELECTIVE"/>
    <s v="R"/>
    <m/>
    <m/>
    <m/>
    <s v="DUVIVIER"/>
    <d v="2017-12-05T00:00:00"/>
    <m/>
    <m/>
    <m/>
    <m/>
    <m/>
    <m/>
    <n v="0"/>
    <n v="0"/>
    <n v="1"/>
    <x v="0"/>
    <s v="Aucune"/>
    <s v="Aucune"/>
    <s v="Aucune"/>
    <s v="NON"/>
    <s v="NON"/>
    <n v="22"/>
    <n v="22"/>
    <s v="Inconnu"/>
    <n v="5"/>
    <n v="5"/>
    <s v="Inconnu"/>
    <s v="Aucune"/>
    <n v="0"/>
    <s v="ERASME"/>
    <s v="Aucun"/>
    <s v="Aucun"/>
    <s v="OUI"/>
  </r>
  <r>
    <x v="9"/>
    <s v="DUBOIS"/>
    <s v="421001FD03"/>
    <d v="1942-10-01T00:00:00"/>
    <n v="75.098630136986301"/>
    <s v=" "/>
    <s v="HEDESHI"/>
    <s v="CHR HAUTE SENNE"/>
    <s v="CHR HAUTE SENNE"/>
    <s v="FV"/>
    <s v="F"/>
    <d v="2017-10-18T00:00:00"/>
    <d v="2017-10-10T00:00:00"/>
    <s v="? (CABG)"/>
    <x v="1"/>
    <x v="1"/>
    <n v="0"/>
    <n v="0"/>
    <m/>
    <m/>
    <m/>
    <m/>
    <m/>
    <m/>
    <m/>
    <m/>
    <m/>
    <m/>
    <m/>
    <m/>
    <m/>
    <m/>
    <m/>
    <m/>
    <n v="0"/>
    <d v="2017-10-20T00:00:00"/>
    <n v="2"/>
    <d v="2017-10-30T00:00:00"/>
    <n v="12"/>
    <x v="0"/>
    <n v="1"/>
    <s v="ELECTIVE"/>
    <s v="D"/>
    <m/>
    <m/>
    <m/>
    <s v="DUBOIS"/>
    <d v="2017-11-28T00:00:00"/>
    <d v="2017-11-10T00:00:00"/>
    <s v="Y"/>
    <s v="Message"/>
    <m/>
    <m/>
    <m/>
    <n v="0"/>
    <n v="0"/>
    <n v="1"/>
    <x v="0"/>
    <s v="Aucune"/>
    <s v="Aucune"/>
    <s v="Aucune"/>
    <s v="NON"/>
    <s v="NON"/>
    <n v="12"/>
    <n v="12"/>
    <s v="Inconnu"/>
    <n v="2"/>
    <n v="2"/>
    <s v="Inconnu"/>
    <s v="Aucune"/>
    <n v="0"/>
    <s v="CHR HAUTE SENNE"/>
    <s v="Aucun"/>
    <s v="Aucun"/>
    <s v="OUI"/>
  </r>
  <r>
    <x v="9"/>
    <s v="LIESSENS"/>
    <s v="311027ML01"/>
    <d v="1931-10-27T00:00:00"/>
    <n v="86.035616438356158"/>
    <s v="1"/>
    <s v="LOMMEL"/>
    <s v="ERASME CARDIO"/>
    <s v="ERASME CARDIO"/>
    <s v="BE"/>
    <s v="M"/>
    <d v="2017-10-18T00:00:00"/>
    <d v="2017-10-16T00:00:00"/>
    <s v="AVR + CABG"/>
    <x v="3"/>
    <x v="0"/>
    <s v="CABG + V"/>
    <n v="0"/>
    <n v="2"/>
    <s v="PC"/>
    <s v="CE"/>
    <s v="B"/>
    <n v="27"/>
    <m/>
    <m/>
    <m/>
    <m/>
    <m/>
    <m/>
    <m/>
    <s v="2R/2Plas"/>
    <n v="4"/>
    <s v="2R"/>
    <n v="2"/>
    <n v="6"/>
    <d v="2017-10-24T00:00:00"/>
    <n v="6"/>
    <d v="2017-11-03T00:00:00"/>
    <n v="16"/>
    <x v="0"/>
    <n v="2"/>
    <s v="URGENCY"/>
    <s v="R"/>
    <m/>
    <m/>
    <m/>
    <s v="LIESSENS"/>
    <d v="2017-12-08T00:00:00"/>
    <d v="2017-11-13T00:00:00"/>
    <s v="Y"/>
    <m/>
    <m/>
    <m/>
    <m/>
    <n v="0"/>
    <n v="1"/>
    <n v="1"/>
    <x v="2"/>
    <s v="Aucune"/>
    <s v="Transfusion"/>
    <s v="Transfusé"/>
    <s v="NON"/>
    <s v="NON"/>
    <n v="16"/>
    <n v="16"/>
    <s v="Inconnu"/>
    <n v="6"/>
    <n v="6"/>
    <s v="Inconnu"/>
    <s v="Transfusé"/>
    <n v="6"/>
    <s v="ERASME"/>
    <s v="Aucun"/>
    <s v="Aucun"/>
    <s v="OUI"/>
  </r>
  <r>
    <x v="9"/>
    <s v="MICHELS"/>
    <s v="410406FM01"/>
    <d v="1941-04-06T00:00:00"/>
    <n v="76.589041095890408"/>
    <s v=" "/>
    <s v="URGENCES"/>
    <s v="ERASME URGENCES"/>
    <s v="ERASME URGENCES"/>
    <s v="BE"/>
    <s v="F"/>
    <d v="2017-10-19T00:00:00"/>
    <d v="2017-10-10T00:00:00"/>
    <s v="CABG"/>
    <x v="1"/>
    <x v="1"/>
    <n v="0"/>
    <n v="0"/>
    <n v="2"/>
    <s v="OPCAB"/>
    <m/>
    <m/>
    <m/>
    <m/>
    <m/>
    <m/>
    <m/>
    <m/>
    <m/>
    <m/>
    <m/>
    <m/>
    <m/>
    <m/>
    <n v="0"/>
    <d v="2017-10-19T00:00:00"/>
    <n v="0"/>
    <d v="2017-10-19T00:00:00"/>
    <n v="0"/>
    <x v="1"/>
    <n v="2"/>
    <s v="URGENCY"/>
    <s v="/"/>
    <m/>
    <m/>
    <m/>
    <s v="MICHELS"/>
    <s v="/"/>
    <s v="/"/>
    <s v="N"/>
    <s v="DCD"/>
    <s v="/"/>
    <s v="N"/>
    <s v="DCD"/>
    <n v="0"/>
    <n v="0"/>
    <n v="1"/>
    <x v="2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9"/>
    <s v="BRICHETTE"/>
    <s v="621208MB01 "/>
    <d v="1962-12-08T00:00:00"/>
    <n v="54.901369863013699"/>
    <s v=" "/>
    <s v="CONTU"/>
    <s v="CHIREC BASILIQUE"/>
    <s v="CHIREC BASILIQUE"/>
    <s v="FV"/>
    <s v="M"/>
    <d v="2017-10-19T00:00:00"/>
    <m/>
    <s v="? (CABG)"/>
    <x v="1"/>
    <x v="1"/>
    <n v="0"/>
    <n v="0"/>
    <m/>
    <m/>
    <m/>
    <m/>
    <m/>
    <m/>
    <m/>
    <m/>
    <m/>
    <m/>
    <m/>
    <m/>
    <m/>
    <m/>
    <m/>
    <m/>
    <n v="0"/>
    <d v="2017-10-20T00:00:00"/>
    <n v="1"/>
    <d v="2017-10-26T00:00:00"/>
    <n v="7"/>
    <x v="0"/>
    <n v="3"/>
    <s v="EMERGENCY"/>
    <s v="D"/>
    <m/>
    <m/>
    <m/>
    <s v="BRICHETTE"/>
    <d v="2017-11-28T00:00:00"/>
    <d v="2017-11-03T00:00:00"/>
    <s v="Y"/>
    <m/>
    <m/>
    <m/>
    <m/>
    <n v="0"/>
    <n v="0"/>
    <n v="1"/>
    <x v="1"/>
    <s v="Aucune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NON"/>
  </r>
  <r>
    <x v="9"/>
    <s v="EGGEN"/>
    <s v="530917MEAA "/>
    <d v="1953-09-17T00:00:00"/>
    <n v="64.134246575342459"/>
    <s v=" "/>
    <s v="DAYEH"/>
    <s v="CHIREC BASILIQUE"/>
    <s v="CHIREC BASILIQUE"/>
    <s v="BE"/>
    <s v="M"/>
    <d v="2017-10-20T00:00:00"/>
    <d v="2017-09-12T00:00:00"/>
    <s v="? (CABG)"/>
    <x v="1"/>
    <x v="1"/>
    <n v="0"/>
    <n v="0"/>
    <m/>
    <m/>
    <m/>
    <m/>
    <m/>
    <m/>
    <m/>
    <m/>
    <m/>
    <m/>
    <m/>
    <m/>
    <m/>
    <m/>
    <m/>
    <m/>
    <n v="0"/>
    <d v="2017-10-21T00:00:00"/>
    <n v="1"/>
    <d v="2017-10-27T00:00:00"/>
    <n v="7"/>
    <x v="0"/>
    <n v="1"/>
    <s v="ELECTIVE"/>
    <s v="D"/>
    <m/>
    <m/>
    <m/>
    <s v="EGGEN"/>
    <d v="2017-11-28T00:00:00"/>
    <d v="2017-11-03T00:00:00"/>
    <s v="Y"/>
    <m/>
    <m/>
    <m/>
    <m/>
    <n v="0"/>
    <n v="0"/>
    <n v="1"/>
    <x v="0"/>
    <s v="Aucune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OUI"/>
  </r>
  <r>
    <x v="9"/>
    <s v="COLIN"/>
    <s v="350708MC03"/>
    <d v="1935-07-08T00:00:00"/>
    <n v="82.342465753424662"/>
    <s v="1"/>
    <s v="URGENCES"/>
    <s v="ERASME URGENCES"/>
    <s v="ERASME URGENCES"/>
    <s v="MLC"/>
    <s v="M"/>
    <d v="2017-10-20T00:00:00"/>
    <d v="2017-09-12T00:00:00"/>
    <s v="CABG"/>
    <x v="1"/>
    <x v="1"/>
    <n v="0"/>
    <n v="0"/>
    <n v="3"/>
    <s v="PC"/>
    <m/>
    <m/>
    <m/>
    <m/>
    <m/>
    <m/>
    <m/>
    <m/>
    <m/>
    <m/>
    <m/>
    <m/>
    <m/>
    <m/>
    <n v="0"/>
    <d v="2017-10-21T00:00:00"/>
    <n v="1"/>
    <d v="2017-11-07T00:00:00"/>
    <n v="18"/>
    <x v="0"/>
    <n v="2"/>
    <s v="URGENCY"/>
    <s v="D"/>
    <m/>
    <m/>
    <m/>
    <s v="COLIN"/>
    <d v="2017-12-07T00:00:00"/>
    <m/>
    <m/>
    <m/>
    <m/>
    <m/>
    <m/>
    <n v="0"/>
    <n v="0"/>
    <n v="1"/>
    <x v="2"/>
    <s v="Aucune"/>
    <s v="Aucune"/>
    <s v="Aucune"/>
    <s v="NON"/>
    <s v="NON"/>
    <n v="18"/>
    <n v="18"/>
    <s v="Inconnu"/>
    <n v="1"/>
    <n v="1"/>
    <s v="Inconnu"/>
    <s v="Aucune"/>
    <n v="0"/>
    <s v="ERASME"/>
    <s v="Aucun"/>
    <s v="Aucun"/>
    <s v="OUI"/>
  </r>
  <r>
    <x v="9"/>
    <s v="TUMELAIRE"/>
    <s v="370922MT02 "/>
    <d v="1937-09-22T00:00:00"/>
    <n v="80.139726027397259"/>
    <s v="1"/>
    <s v="VISEUR"/>
    <s v="EPICURA ATH"/>
    <s v="EPICURA ATH"/>
    <s v="MLC"/>
    <s v="M"/>
    <d v="2017-10-23T00:00:00"/>
    <d v="2017-09-12T00:00:00"/>
    <s v="CABG"/>
    <x v="1"/>
    <x v="1"/>
    <n v="0"/>
    <n v="0"/>
    <n v="2"/>
    <s v="PC"/>
    <m/>
    <m/>
    <m/>
    <m/>
    <m/>
    <m/>
    <m/>
    <m/>
    <m/>
    <n v="1"/>
    <m/>
    <m/>
    <m/>
    <m/>
    <n v="0"/>
    <d v="2017-10-24T00:00:00"/>
    <n v="1"/>
    <d v="2017-11-07T00:00:00"/>
    <n v="15"/>
    <x v="0"/>
    <n v="1"/>
    <s v="ELECTIVE"/>
    <s v="R"/>
    <m/>
    <m/>
    <m/>
    <s v="TUMELAIRE"/>
    <d v="2017-12-07T00:00:00"/>
    <m/>
    <m/>
    <m/>
    <m/>
    <m/>
    <m/>
    <n v="1"/>
    <n v="0"/>
    <n v="1"/>
    <x v="0"/>
    <s v="Infection"/>
    <s v="Aucune"/>
    <s v="Aucune"/>
    <s v="NON"/>
    <s v="NON"/>
    <n v="15"/>
    <n v="15"/>
    <s v="Inconnu"/>
    <n v="1"/>
    <n v="1"/>
    <s v="Inconnu"/>
    <s v="Aucune"/>
    <n v="0"/>
    <s v="EPICURA"/>
    <s v="Aucun"/>
    <s v="Aucun"/>
    <s v="OUI"/>
  </r>
  <r>
    <x v="9"/>
    <s v="HUYGENS"/>
    <s v="451126MH01"/>
    <d v="1945-11-26T00:00:00"/>
    <n v="71.956164383561642"/>
    <s v=" "/>
    <s v="KHOUZAM"/>
    <s v="CHR HAUTE SENNE"/>
    <s v="CHR HAUTE SENNE"/>
    <s v="FV"/>
    <s v="M"/>
    <d v="2017-10-23T00:00:00"/>
    <m/>
    <s v="? (CABG)"/>
    <x v="1"/>
    <x v="1"/>
    <n v="0"/>
    <n v="0"/>
    <m/>
    <m/>
    <m/>
    <m/>
    <m/>
    <m/>
    <m/>
    <m/>
    <m/>
    <m/>
    <m/>
    <m/>
    <m/>
    <m/>
    <m/>
    <m/>
    <n v="0"/>
    <d v="2017-10-27T00:00:00"/>
    <n v="4"/>
    <d v="2017-11-03T00:00:00"/>
    <n v="11"/>
    <x v="0"/>
    <n v="2"/>
    <s v="URGENCY"/>
    <s v="D"/>
    <m/>
    <m/>
    <m/>
    <s v="HUYGENS"/>
    <d v="2017-12-05T00:00:00"/>
    <d v="2017-11-13T00:00:00"/>
    <s v="Y"/>
    <m/>
    <m/>
    <m/>
    <m/>
    <n v="0"/>
    <n v="0"/>
    <n v="1"/>
    <x v="2"/>
    <s v="Aucune"/>
    <s v="Aucune"/>
    <s v="Aucune"/>
    <s v="NON"/>
    <s v="NON"/>
    <n v="11"/>
    <n v="11"/>
    <s v="Inconnu"/>
    <n v="4"/>
    <n v="4"/>
    <s v="Inconnu"/>
    <s v="Aucune"/>
    <n v="0"/>
    <s v="CHR HAUTE SENNE"/>
    <s v="Aucun"/>
    <s v="Aucun"/>
    <s v="NON"/>
  </r>
  <r>
    <x v="9"/>
    <s v="CURRAN"/>
    <s v="501122MCAA "/>
    <d v="1950-11-22T00:00:00"/>
    <n v="66.967123287671228"/>
    <s v=" "/>
    <s v="LIPSKI"/>
    <s v="CHIREC EDITH CAVELL"/>
    <s v="CHIREC EDITH CAVELL"/>
    <s v="FV"/>
    <s v="M"/>
    <d v="2017-10-24T00:00:00"/>
    <m/>
    <s v="? (CABG)"/>
    <x v="1"/>
    <x v="1"/>
    <n v="0"/>
    <n v="0"/>
    <m/>
    <m/>
    <m/>
    <m/>
    <m/>
    <m/>
    <m/>
    <m/>
    <m/>
    <m/>
    <m/>
    <n v="1"/>
    <m/>
    <m/>
    <m/>
    <m/>
    <n v="0"/>
    <d v="2017-10-25T00:00:00"/>
    <n v="1"/>
    <d v="2017-10-30T00:00:00"/>
    <n v="6"/>
    <x v="0"/>
    <n v="1"/>
    <s v="ELECTIVE"/>
    <s v="D"/>
    <m/>
    <m/>
    <m/>
    <s v="CURRAN"/>
    <d v="2017-11-28T00:00:00"/>
    <d v="2017-11-10T00:00:00"/>
    <s v="Y"/>
    <m/>
    <m/>
    <m/>
    <m/>
    <n v="1"/>
    <n v="0"/>
    <n v="1"/>
    <x v="0"/>
    <s v="Infection"/>
    <s v="Aucune"/>
    <s v="Aucune"/>
    <s v="NON"/>
    <s v="NON"/>
    <n v="6"/>
    <n v="6"/>
    <s v="Inconnu"/>
    <n v="1"/>
    <n v="1"/>
    <s v="Inconnu"/>
    <s v="Aucune"/>
    <n v="0"/>
    <s v="CHIREC"/>
    <s v="Aucun"/>
    <s v="Aucun"/>
    <s v="NON"/>
  </r>
  <r>
    <x v="9"/>
    <s v="D'HAUFAYT"/>
    <s v="470329MD05"/>
    <d v="1947-03-29T00:00:00"/>
    <n v="70.62191780821918"/>
    <s v=" "/>
    <s v="ZENAGUI"/>
    <s v="EPICURA HORNU"/>
    <s v="EPICURA HORNU"/>
    <s v="BE"/>
    <s v="M"/>
    <d v="2017-10-24T00:00:00"/>
    <d v="2017-10-23T00:00:00"/>
    <s v="AVR + CABG"/>
    <x v="3"/>
    <x v="0"/>
    <s v="CABG + V"/>
    <n v="0"/>
    <n v="3"/>
    <s v="PC"/>
    <s v="CE"/>
    <s v="B"/>
    <n v="27"/>
    <m/>
    <m/>
    <m/>
    <m/>
    <m/>
    <m/>
    <m/>
    <m/>
    <m/>
    <m/>
    <m/>
    <n v="0"/>
    <d v="2017-10-25T00:00:00"/>
    <n v="1"/>
    <d v="2017-11-02T00:00:00"/>
    <n v="9"/>
    <x v="0"/>
    <n v="2"/>
    <s v="URGENCY"/>
    <s v="D"/>
    <m/>
    <m/>
    <m/>
    <s v="D'HAUFAYT"/>
    <d v="2017-12-01T00:00:00"/>
    <d v="2017-11-10T00:00:00"/>
    <s v="Y"/>
    <m/>
    <m/>
    <m/>
    <m/>
    <n v="0"/>
    <n v="0"/>
    <n v="1"/>
    <x v="2"/>
    <s v="Aucune"/>
    <s v="Aucune"/>
    <s v="Aucune"/>
    <s v="NON"/>
    <s v="NON"/>
    <n v="9"/>
    <n v="9"/>
    <s v="Inconnu"/>
    <n v="1"/>
    <n v="1"/>
    <s v="Inconnu"/>
    <s v="Aucune"/>
    <n v="0"/>
    <s v="EPICURA"/>
    <s v="Aucun"/>
    <s v="Aucun"/>
    <s v="OUI"/>
  </r>
  <r>
    <x v="9"/>
    <s v="PHILIPPE"/>
    <s v="521124FP01 "/>
    <d v="1952-11-24T00:00:00"/>
    <n v="64.961643835616442"/>
    <s v=" "/>
    <s v="VACHIERY"/>
    <s v="ERASME CARDIO"/>
    <s v="ERASME CARDIO"/>
    <s v="FV"/>
    <s v="F"/>
    <d v="2017-10-25T00:00:00"/>
    <d v="2017-09-05T00:00:00"/>
    <s v="? (EAP)"/>
    <x v="4"/>
    <x v="3"/>
    <n v="0"/>
    <n v="0"/>
    <m/>
    <m/>
    <m/>
    <m/>
    <m/>
    <m/>
    <m/>
    <m/>
    <m/>
    <m/>
    <m/>
    <m/>
    <m/>
    <m/>
    <m/>
    <m/>
    <n v="0"/>
    <m/>
    <n v="-43033"/>
    <m/>
    <n v="-43033"/>
    <x v="0"/>
    <n v="1"/>
    <s v="ELECTIVE"/>
    <m/>
    <m/>
    <m/>
    <m/>
    <s v="PHILIPPE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9"/>
    <s v="CASA"/>
    <s v="460329MCAA "/>
    <d v="1946-03-29T00:00:00"/>
    <n v="71.62465753424658"/>
    <s v=" "/>
    <s v="USI"/>
    <s v="ERASME USI"/>
    <s v="ERASME USI"/>
    <s v="BE"/>
    <s v="M"/>
    <d v="2017-10-25T00:00:00"/>
    <m/>
    <s v="CDA"/>
    <x v="4"/>
    <x v="3"/>
    <n v="0"/>
    <n v="0"/>
    <m/>
    <m/>
    <s v="ATS"/>
    <s v="M"/>
    <s v="25/28"/>
    <m/>
    <m/>
    <m/>
    <m/>
    <m/>
    <m/>
    <m/>
    <m/>
    <m/>
    <m/>
    <m/>
    <n v="0"/>
    <d v="2017-10-25T00:00:00"/>
    <n v="0"/>
    <d v="2017-10-25T00:00:00"/>
    <n v="0"/>
    <x v="1"/>
    <n v="3"/>
    <s v="EMERGENCY"/>
    <s v="/"/>
    <m/>
    <m/>
    <m/>
    <s v="CASA"/>
    <s v="/"/>
    <s v="/"/>
    <s v="N"/>
    <s v="DCD"/>
    <s v="/"/>
    <s v="N"/>
    <s v="DCD"/>
    <n v="0"/>
    <n v="0"/>
    <n v="1"/>
    <x v="1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NON"/>
  </r>
  <r>
    <x v="9"/>
    <s v="STEVART"/>
    <s v="800116FS04"/>
    <d v="1980-01-16T00:00:00"/>
    <n v="37.799999999999997"/>
    <s v=" "/>
    <s v="ROUSSOULIERES"/>
    <s v="ERASME VAD"/>
    <s v="ERASME VAD"/>
    <s v="FV"/>
    <s v="F"/>
    <d v="2017-10-25T00:00:00"/>
    <m/>
    <s v="HTX"/>
    <x v="8"/>
    <x v="6"/>
    <s v="LVAD/HTX"/>
    <n v="0"/>
    <m/>
    <m/>
    <m/>
    <m/>
    <m/>
    <m/>
    <m/>
    <m/>
    <m/>
    <m/>
    <m/>
    <m/>
    <m/>
    <m/>
    <m/>
    <m/>
    <n v="0"/>
    <m/>
    <n v="-43033"/>
    <m/>
    <n v="-43033"/>
    <x v="0"/>
    <n v="2"/>
    <s v="URGENCY"/>
    <m/>
    <m/>
    <m/>
    <m/>
    <s v="STEVART"/>
    <s v="/"/>
    <s v="/"/>
    <m/>
    <s v="HTX"/>
    <s v="/"/>
    <m/>
    <s v="HTX"/>
    <n v="0"/>
    <n v="0"/>
    <n v="1"/>
    <x v="2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NON"/>
  </r>
  <r>
    <x v="9"/>
    <s v="EVELE MBALEA"/>
    <s v="580719FE01 "/>
    <d v="1958-07-19T00:00:00"/>
    <n v="59.31232876712329"/>
    <m/>
    <s v="VACHIERY"/>
    <s v="ERASME CARDIO"/>
    <s v="ERASME CARDIO"/>
    <s v="FV"/>
    <s v="F"/>
    <d v="2017-10-26T00:00:00"/>
    <d v="2017-09-05T00:00:00"/>
    <s v="TVR + CABG"/>
    <x v="3"/>
    <x v="0"/>
    <s v="CABG + V"/>
    <n v="0"/>
    <n v="1"/>
    <s v="PC"/>
    <s v="CE"/>
    <s v="B"/>
    <n v="31"/>
    <m/>
    <m/>
    <m/>
    <m/>
    <m/>
    <m/>
    <m/>
    <m/>
    <m/>
    <m/>
    <m/>
    <n v="0"/>
    <d v="2017-10-31T00:00:00"/>
    <n v="5"/>
    <m/>
    <n v="-43034"/>
    <x v="0"/>
    <n v="1"/>
    <s v="ELECTIVE"/>
    <m/>
    <m/>
    <m/>
    <m/>
    <s v="EVELE MBALEA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n v="5"/>
    <n v="5"/>
    <s v="Inconnu"/>
    <s v="Aucune"/>
    <n v="0"/>
    <s v="ERASME"/>
    <s v="Aucun"/>
    <s v="Aucun"/>
    <s v="OUI"/>
  </r>
  <r>
    <x v="9"/>
    <s v="KONINGS"/>
    <s v="680304MK01 "/>
    <d v="1968-03-04T00:00:00"/>
    <n v="49.682191780821917"/>
    <m/>
    <s v="DAYEH"/>
    <s v="CHIREC BASILIQUE"/>
    <s v="CHIREC BASILIQUE"/>
    <s v="FV"/>
    <s v="M"/>
    <d v="2017-10-27T00:00:00"/>
    <d v="2017-09-19T00:00:00"/>
    <s v="? (AVR)"/>
    <x v="2"/>
    <x v="2"/>
    <s v="AVR"/>
    <s v="AVR"/>
    <m/>
    <m/>
    <m/>
    <m/>
    <m/>
    <m/>
    <m/>
    <m/>
    <m/>
    <m/>
    <m/>
    <n v="1"/>
    <m/>
    <m/>
    <m/>
    <m/>
    <n v="0"/>
    <d v="2017-10-28T00:00:00"/>
    <n v="1"/>
    <d v="2017-11-03T00:00:00"/>
    <n v="7"/>
    <x v="0"/>
    <n v="1"/>
    <s v="ELECTIVE"/>
    <s v="D"/>
    <m/>
    <m/>
    <m/>
    <s v="KONINGS"/>
    <d v="2017-12-05T00:00:00"/>
    <d v="2017-11-13T00:00:00"/>
    <s v="Y"/>
    <s v="Message"/>
    <m/>
    <m/>
    <m/>
    <n v="1"/>
    <n v="0"/>
    <n v="1"/>
    <x v="0"/>
    <s v="Infection"/>
    <s v="Aucune"/>
    <s v="Aucune"/>
    <s v="NON"/>
    <s v="NON"/>
    <n v="7"/>
    <n v="7"/>
    <s v="Inconnu"/>
    <n v="1"/>
    <n v="1"/>
    <s v="Inconnu"/>
    <s v="Aucune"/>
    <n v="0"/>
    <s v="CHIREC"/>
    <s v="Aucun"/>
    <s v="Aucun"/>
    <s v="OUI"/>
  </r>
  <r>
    <x v="9"/>
    <s v="FALZONE"/>
    <s v="410701MFAA "/>
    <d v="1941-07-01T00:00:00"/>
    <n v="76.37534246575342"/>
    <m/>
    <s v="USI"/>
    <s v="BRACOPS"/>
    <s v="BRACOPS"/>
    <s v="BE"/>
    <s v="M"/>
    <d v="2017-10-27T00:00:00"/>
    <m/>
    <s v="CABG"/>
    <x v="1"/>
    <x v="1"/>
    <n v="0"/>
    <n v="0"/>
    <n v="3"/>
    <s v="PC"/>
    <m/>
    <m/>
    <m/>
    <m/>
    <m/>
    <m/>
    <m/>
    <m/>
    <m/>
    <m/>
    <s v="7R/4Plas/3Plaq"/>
    <n v="14"/>
    <s v="1R"/>
    <n v="1"/>
    <n v="15"/>
    <d v="2017-10-30T00:00:00"/>
    <n v="3"/>
    <d v="2017-10-30T00:00:00"/>
    <n v="3"/>
    <x v="1"/>
    <n v="2"/>
    <s v="URGENCY"/>
    <s v="/"/>
    <m/>
    <m/>
    <m/>
    <s v="FALZONE"/>
    <s v="/"/>
    <s v="/"/>
    <s v="N"/>
    <s v="DCD"/>
    <s v="/"/>
    <s v="N"/>
    <s v="DCD"/>
    <n v="0"/>
    <n v="1"/>
    <n v="1"/>
    <x v="2"/>
    <s v="Aucune"/>
    <s v="Transfusion"/>
    <s v="Transfusé"/>
    <s v="NON"/>
    <s v="NON"/>
    <n v="3"/>
    <n v="3"/>
    <s v="Inconnu"/>
    <n v="3"/>
    <n v="3"/>
    <s v="Inconnu"/>
    <s v="Transfusé"/>
    <n v="15"/>
    <s v="BRACOPS"/>
    <s v="Aucun"/>
    <s v="Aucun"/>
    <s v="NON"/>
  </r>
  <r>
    <x v="9"/>
    <s v="EVRARD"/>
    <s v="291113ME01 "/>
    <d v="1929-11-13T00:00:00"/>
    <n v="88.021917808219172"/>
    <m/>
    <s v="MENASSEL"/>
    <s v="CHIREC BRAINE"/>
    <s v="CHIREC BRAINE"/>
    <s v="FV"/>
    <s v="M"/>
    <d v="2017-10-30T00:00:00"/>
    <d v="2017-10-24T00:00:00"/>
    <s v="? (AVR)"/>
    <x v="2"/>
    <x v="2"/>
    <s v="AVR"/>
    <s v="AVR"/>
    <m/>
    <m/>
    <m/>
    <m/>
    <m/>
    <m/>
    <m/>
    <m/>
    <m/>
    <m/>
    <m/>
    <m/>
    <m/>
    <m/>
    <m/>
    <m/>
    <n v="0"/>
    <m/>
    <n v="-43038"/>
    <d v="2017-11-10T00:00:00"/>
    <n v="11"/>
    <x v="0"/>
    <n v="2"/>
    <s v="URGENCY"/>
    <m/>
    <m/>
    <m/>
    <m/>
    <s v="EVRARD"/>
    <d v="2017-12-12T00:00:00"/>
    <m/>
    <m/>
    <m/>
    <m/>
    <m/>
    <m/>
    <n v="0"/>
    <n v="0"/>
    <n v="1"/>
    <x v="2"/>
    <s v="Aucune"/>
    <s v="Aucune"/>
    <s v="Aucune"/>
    <s v="NON"/>
    <s v="NON"/>
    <n v="11"/>
    <n v="11"/>
    <s v="Inconnu"/>
    <s v="Inconnu"/>
    <s v="Inconnu"/>
    <s v="Inconnu"/>
    <s v="Aucune"/>
    <n v="0"/>
    <s v="CHIREC"/>
    <s v="Aucun"/>
    <s v="Aucun"/>
    <s v="OUI"/>
  </r>
  <r>
    <x v="9"/>
    <s v="VAN DEN BREMPT"/>
    <s v="490214MV01 "/>
    <d v="1949-02-14T00:00:00"/>
    <n v="68.753424657534254"/>
    <m/>
    <s v="ROUSSOULIERES"/>
    <s v="ERASME CARDIO"/>
    <s v="ERASME CARDIO"/>
    <s v="BE"/>
    <s v="M"/>
    <d v="2017-10-30T00:00:00"/>
    <d v="2017-10-17T00:00:00"/>
    <s v="CABG"/>
    <x v="1"/>
    <x v="1"/>
    <n v="0"/>
    <n v="0"/>
    <n v="1"/>
    <s v="MIDCAB"/>
    <m/>
    <m/>
    <m/>
    <m/>
    <m/>
    <m/>
    <m/>
    <m/>
    <m/>
    <m/>
    <m/>
    <m/>
    <m/>
    <m/>
    <n v="0"/>
    <m/>
    <n v="-43038"/>
    <m/>
    <n v="-43038"/>
    <x v="0"/>
    <n v="1"/>
    <s v="ELECTIVE"/>
    <m/>
    <m/>
    <m/>
    <m/>
    <s v="VAN DEN BREMPT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9"/>
    <s v="LECOCQ"/>
    <s v="441103ML01 "/>
    <d v="1944-11-03T00:00:00"/>
    <n v="73.041095890410958"/>
    <m/>
    <s v="URGENCES"/>
    <s v="ERASME URGENCES"/>
    <s v="ERASME URGENCES"/>
    <s v="FV"/>
    <s v="M"/>
    <d v="2017-10-31T00:00:00"/>
    <d v="2017-10-31T00:00:00"/>
    <s v="? (CABG)"/>
    <x v="1"/>
    <x v="1"/>
    <n v="0"/>
    <n v="0"/>
    <m/>
    <m/>
    <m/>
    <m/>
    <m/>
    <m/>
    <m/>
    <m/>
    <m/>
    <m/>
    <m/>
    <m/>
    <m/>
    <m/>
    <m/>
    <m/>
    <n v="0"/>
    <m/>
    <n v="-43039"/>
    <d v="2017-11-10T00:00:00"/>
    <n v="10"/>
    <x v="0"/>
    <n v="2"/>
    <s v="URGENCY"/>
    <m/>
    <m/>
    <m/>
    <m/>
    <s v="LECOCQ"/>
    <d v="2017-12-12T00:00:00"/>
    <m/>
    <m/>
    <m/>
    <m/>
    <m/>
    <m/>
    <n v="0"/>
    <n v="0"/>
    <n v="1"/>
    <x v="2"/>
    <s v="Aucune"/>
    <s v="Aucune"/>
    <s v="Aucune"/>
    <s v="NON"/>
    <s v="NON"/>
    <n v="10"/>
    <n v="10"/>
    <s v="Inconnu"/>
    <s v="Inconnu"/>
    <s v="Inconnu"/>
    <s v="Inconnu"/>
    <s v="Aucune"/>
    <n v="0"/>
    <s v="ERASME"/>
    <s v="Aucun"/>
    <s v="Aucun"/>
    <s v="OUI"/>
  </r>
  <r>
    <x v="9"/>
    <s v="PEETERS"/>
    <s v="630324MP02 "/>
    <d v="1963-03-24T00:00:00"/>
    <n v="54.643835616438359"/>
    <m/>
    <s v="URGENCES"/>
    <s v="ERASME URGENCES"/>
    <s v="ERASME URGENCES"/>
    <s v="FV"/>
    <s v="M"/>
    <d v="2017-10-31T00:00:00"/>
    <m/>
    <s v="CABG"/>
    <x v="1"/>
    <x v="1"/>
    <n v="0"/>
    <n v="0"/>
    <n v="5"/>
    <s v="PC"/>
    <m/>
    <m/>
    <m/>
    <m/>
    <m/>
    <m/>
    <m/>
    <m/>
    <m/>
    <m/>
    <m/>
    <m/>
    <m/>
    <m/>
    <n v="0"/>
    <m/>
    <n v="-43039"/>
    <d v="2017-11-09T00:00:00"/>
    <n v="9"/>
    <x v="0"/>
    <n v="3"/>
    <s v="EMERGENCY"/>
    <m/>
    <m/>
    <m/>
    <m/>
    <s v="PEETERS"/>
    <d v="2017-12-12T00:00:00"/>
    <m/>
    <m/>
    <m/>
    <m/>
    <m/>
    <m/>
    <n v="0"/>
    <n v="0"/>
    <n v="1"/>
    <x v="1"/>
    <s v="Aucune"/>
    <s v="Aucune"/>
    <s v="Aucune"/>
    <s v="NON"/>
    <s v="NON"/>
    <n v="9"/>
    <n v="9"/>
    <s v="Inconnu"/>
    <s v="Inconnu"/>
    <s v="Inconnu"/>
    <s v="Inconnu"/>
    <s v="Aucune"/>
    <n v="0"/>
    <s v="ERASME"/>
    <s v="Aucun"/>
    <s v="Aucun"/>
    <s v="NON"/>
  </r>
  <r>
    <x v="9"/>
    <s v="VAN NIEUWENBORGH"/>
    <s v="441231MV01 "/>
    <d v="1944-12-31T00:00:00"/>
    <n v="72.882191780821913"/>
    <s v=" "/>
    <s v="URGENCES"/>
    <s v="ERASME URGENCES"/>
    <s v="ERASME URGENCES"/>
    <s v="BE"/>
    <s v="M"/>
    <d v="2017-10-31T00:00:00"/>
    <d v="2017-10-31T00:00:00"/>
    <s v="AVR + CABG"/>
    <x v="3"/>
    <x v="0"/>
    <s v="CABG + V"/>
    <n v="0"/>
    <n v="2"/>
    <s v="PC"/>
    <s v="CE"/>
    <s v="B"/>
    <n v="27"/>
    <m/>
    <m/>
    <m/>
    <m/>
    <m/>
    <m/>
    <m/>
    <s v="1Plaq"/>
    <n v="1"/>
    <m/>
    <m/>
    <n v="1"/>
    <m/>
    <n v="-43039"/>
    <d v="2017-11-07T00:00:00"/>
    <n v="7"/>
    <x v="0"/>
    <n v="3"/>
    <s v="EMERGENCY"/>
    <s v="D"/>
    <m/>
    <m/>
    <m/>
    <s v="VAN NIEUWENBORGH"/>
    <m/>
    <m/>
    <m/>
    <m/>
    <m/>
    <m/>
    <m/>
    <n v="0"/>
    <n v="1"/>
    <n v="1"/>
    <x v="1"/>
    <s v="Aucune"/>
    <s v="Transfusion"/>
    <s v="Aucune"/>
    <s v="NON"/>
    <s v="NON"/>
    <n v="7"/>
    <n v="7"/>
    <s v="Inconnu"/>
    <s v="Inconnu"/>
    <s v="Inconnu"/>
    <s v="Inconnu"/>
    <s v="Transfusé"/>
    <n v="1"/>
    <s v="ERASME"/>
    <s v="Aucun"/>
    <s v="Aucun"/>
    <s v="OUI"/>
  </r>
  <r>
    <x v="10"/>
    <s v="HUIN"/>
    <s v="520329MH01 "/>
    <d v="1952-03-29T00:00:00"/>
    <n v="65.641095890410952"/>
    <s v=" "/>
    <s v="BAROUD"/>
    <s v="ERASME CARDIO"/>
    <s v="ERASME CARDIO"/>
    <s v="BE"/>
    <s v="M"/>
    <d v="2017-11-02T00:00:00"/>
    <d v="2017-10-17T00:00:00"/>
    <s v="MVP + CABG"/>
    <x v="3"/>
    <x v="0"/>
    <s v="CABG + V"/>
    <n v="0"/>
    <n v="3"/>
    <s v="PC"/>
    <s v="CE"/>
    <m/>
    <n v="30"/>
    <m/>
    <m/>
    <m/>
    <m/>
    <m/>
    <m/>
    <m/>
    <m/>
    <m/>
    <m/>
    <m/>
    <n v="0"/>
    <m/>
    <n v="-43041"/>
    <m/>
    <n v="-43041"/>
    <x v="2"/>
    <n v="1"/>
    <s v="ELECTIVE"/>
    <m/>
    <m/>
    <m/>
    <m/>
    <s v="HUIN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10"/>
    <s v="GUEVAR"/>
    <s v="920507MG02"/>
    <d v="1992-05-07T00:00:00"/>
    <n v="25.509589041095889"/>
    <s v=" "/>
    <s v="ROUSSOULIERES"/>
    <s v="ERASME VAD"/>
    <s v="ERASME VAD"/>
    <s v="FV"/>
    <s v="M"/>
    <d v="2017-11-03T00:00:00"/>
    <m/>
    <s v="HTX"/>
    <x v="8"/>
    <x v="6"/>
    <s v="LVAD/HTX"/>
    <n v="0"/>
    <m/>
    <m/>
    <m/>
    <m/>
    <m/>
    <m/>
    <m/>
    <m/>
    <m/>
    <m/>
    <m/>
    <m/>
    <m/>
    <m/>
    <m/>
    <m/>
    <n v="0"/>
    <m/>
    <n v="-43042"/>
    <m/>
    <n v="-43042"/>
    <x v="2"/>
    <n v="2"/>
    <s v="URGENCY"/>
    <m/>
    <m/>
    <m/>
    <m/>
    <s v="GUEVAR"/>
    <m/>
    <m/>
    <m/>
    <m/>
    <m/>
    <m/>
    <m/>
    <n v="0"/>
    <n v="0"/>
    <n v="1"/>
    <x v="2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NON"/>
  </r>
  <r>
    <x v="10"/>
    <s v="SCHLISSINGER"/>
    <s v="460807MS02"/>
    <d v="1946-08-07T00:00:00"/>
    <n v="71.298630136986304"/>
    <s v=" "/>
    <s v="MIRICA"/>
    <s v="ERASME CARDIO"/>
    <s v="ERASME CARDIO"/>
    <s v="FV"/>
    <s v="M"/>
    <d v="2017-11-06T00:00:00"/>
    <d v="2017-10-31T00:00:00"/>
    <s v="AVR + CABG"/>
    <x v="3"/>
    <x v="0"/>
    <s v="CABG + V"/>
    <n v="0"/>
    <n v="3"/>
    <s v="PC"/>
    <s v="CE"/>
    <s v="B"/>
    <n v="27"/>
    <m/>
    <m/>
    <m/>
    <m/>
    <m/>
    <m/>
    <m/>
    <m/>
    <m/>
    <m/>
    <m/>
    <n v="0"/>
    <m/>
    <n v="-43045"/>
    <m/>
    <n v="-43045"/>
    <x v="2"/>
    <n v="1"/>
    <s v="ELECTIVE"/>
    <m/>
    <m/>
    <m/>
    <m/>
    <s v="SCHLISSINGER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10"/>
    <s v="ALBERT"/>
    <s v="420822MA01"/>
    <d v="1942-08-22T00:00:00"/>
    <n v="75.263013698630132"/>
    <s v=" "/>
    <s v="BERKENBOOM"/>
    <s v="ERASME CARDIO"/>
    <s v="ERASME CARDIO"/>
    <s v="BE"/>
    <s v="M"/>
    <d v="2017-11-07T00:00:00"/>
    <d v="2017-10-31T00:00:00"/>
    <s v="CABG"/>
    <x v="1"/>
    <x v="1"/>
    <n v="0"/>
    <n v="0"/>
    <n v="1"/>
    <s v="OPCAB"/>
    <m/>
    <m/>
    <m/>
    <m/>
    <m/>
    <m/>
    <n v="1"/>
    <m/>
    <m/>
    <m/>
    <m/>
    <m/>
    <m/>
    <m/>
    <n v="0"/>
    <m/>
    <n v="-43046"/>
    <m/>
    <n v="-43046"/>
    <x v="2"/>
    <n v="1"/>
    <s v="ELECTIVE"/>
    <m/>
    <m/>
    <m/>
    <m/>
    <s v="ALBERT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10"/>
    <s v="OILITI"/>
    <s v="390701MO02"/>
    <d v="1939-07-01T00:00:00"/>
    <n v="78.408219178082192"/>
    <s v=" "/>
    <s v="EL MOURAD"/>
    <s v="ERASME CARDIO"/>
    <s v="ERASME CARDIO"/>
    <s v="BE"/>
    <s v="M"/>
    <d v="2017-11-07T00:00:00"/>
    <d v="2017-10-24T00:00:00"/>
    <s v="CABG"/>
    <x v="1"/>
    <x v="1"/>
    <n v="0"/>
    <n v="0"/>
    <n v="3"/>
    <s v="PC"/>
    <m/>
    <m/>
    <m/>
    <m/>
    <m/>
    <m/>
    <m/>
    <m/>
    <m/>
    <n v="1"/>
    <m/>
    <m/>
    <m/>
    <m/>
    <n v="0"/>
    <m/>
    <n v="-43046"/>
    <m/>
    <n v="-43046"/>
    <x v="2"/>
    <n v="2"/>
    <s v="URGENCY"/>
    <m/>
    <m/>
    <m/>
    <m/>
    <s v="OILITI"/>
    <m/>
    <m/>
    <m/>
    <m/>
    <m/>
    <m/>
    <m/>
    <n v="1"/>
    <n v="0"/>
    <n v="1"/>
    <x v="2"/>
    <s v="Infection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10"/>
    <s v="TARALLO"/>
    <s v="370819MT04 "/>
    <d v="1937-08-19T00:00:00"/>
    <n v="80.276712328767118"/>
    <s v="1"/>
    <s v="SARTIEAUX"/>
    <s v="SARTIEAUX"/>
    <s v="CT"/>
    <s v="BE"/>
    <s v="M"/>
    <d v="2017-11-08T00:00:00"/>
    <d v="2017-10-17T00:00:00"/>
    <s v="AVR + CABG"/>
    <x v="3"/>
    <x v="0"/>
    <s v="CABG + V"/>
    <n v="0"/>
    <n v="2"/>
    <s v="PC"/>
    <s v="Perceval"/>
    <s v="B"/>
    <s v="XL"/>
    <m/>
    <m/>
    <m/>
    <m/>
    <m/>
    <m/>
    <m/>
    <m/>
    <m/>
    <m/>
    <m/>
    <n v="0"/>
    <m/>
    <n v="-43047"/>
    <m/>
    <n v="-43047"/>
    <x v="2"/>
    <n v="1"/>
    <s v="ELECTIVE"/>
    <m/>
    <m/>
    <m/>
    <m/>
    <s v="TARALLO"/>
    <m/>
    <m/>
    <m/>
    <m/>
    <m/>
    <m/>
    <m/>
    <n v="0"/>
    <n v="0"/>
    <n v="1"/>
    <x v="0"/>
    <s v="Aucune"/>
    <s v="Aucune"/>
    <s v="Aucune"/>
    <s v="NON"/>
    <s v="NON"/>
    <s v="Inconnu"/>
    <s v="Inconnu"/>
    <s v="Inconnu"/>
    <s v="Inconnu"/>
    <s v="Inconnu"/>
    <s v="Inconnu"/>
    <s v="Aucune"/>
    <n v="0"/>
    <s v="CT"/>
    <s v="Aucun"/>
    <s v="Aucun"/>
    <s v="OUI"/>
  </r>
  <r>
    <x v="10"/>
    <s v="LAPAGE"/>
    <s v="411207ML01 "/>
    <d v="1941-12-07T00:00:00"/>
    <n v="75.972602739726028"/>
    <s v=" "/>
    <s v="EL MOURAD"/>
    <s v="ERASME CARDIO"/>
    <s v="ERASME CARDIO"/>
    <s v="FV"/>
    <s v="M"/>
    <d v="2017-11-08T00:00:00"/>
    <d v="2017-10-10T00:00:00"/>
    <s v="TVP + CABG + MAZE"/>
    <x v="3"/>
    <x v="0"/>
    <s v="CABG + V"/>
    <n v="0"/>
    <n v="4"/>
    <s v="PC"/>
    <s v="CE"/>
    <m/>
    <n v="32"/>
    <m/>
    <m/>
    <m/>
    <m/>
    <m/>
    <m/>
    <m/>
    <m/>
    <m/>
    <m/>
    <m/>
    <n v="0"/>
    <m/>
    <n v="-43047"/>
    <m/>
    <n v="-43047"/>
    <x v="2"/>
    <n v="2"/>
    <s v="URGENCY"/>
    <m/>
    <m/>
    <m/>
    <m/>
    <s v="LAPAGE"/>
    <m/>
    <m/>
    <m/>
    <m/>
    <m/>
    <m/>
    <m/>
    <n v="0"/>
    <n v="0"/>
    <n v="1"/>
    <x v="2"/>
    <s v="Aucune"/>
    <s v="Aucune"/>
    <s v="Aucune"/>
    <s v="NON"/>
    <s v="NON"/>
    <s v="Inconnu"/>
    <s v="Inconnu"/>
    <s v="Inconnu"/>
    <s v="Inconnu"/>
    <s v="Inconnu"/>
    <s v="Inconnu"/>
    <s v="Aucune"/>
    <n v="0"/>
    <s v="ERASME"/>
    <s v="Aucun"/>
    <s v="Aucun"/>
    <s v="OUI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1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1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3"/>
    <m/>
    <m/>
    <m/>
    <n v="0"/>
    <s v=" "/>
    <m/>
    <m/>
    <m/>
    <m/>
    <m/>
    <m/>
    <m/>
    <m/>
    <x v="10"/>
    <x v="7"/>
    <s v=" "/>
    <s v=" "/>
    <m/>
    <m/>
    <m/>
    <m/>
    <m/>
    <m/>
    <m/>
    <m/>
    <m/>
    <m/>
    <m/>
    <m/>
    <m/>
    <m/>
    <m/>
    <m/>
    <n v="0"/>
    <m/>
    <n v="0"/>
    <m/>
    <n v="0"/>
    <x v="2"/>
    <m/>
    <s v=" "/>
    <m/>
    <m/>
    <m/>
    <m/>
    <m/>
    <m/>
    <m/>
    <m/>
    <m/>
    <m/>
    <m/>
    <m/>
    <n v="0"/>
    <n v="0"/>
    <n v="1"/>
    <x v="4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08"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8"/>
    <m/>
    <n v="15"/>
    <n v="23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n v="15"/>
    <m/>
    <n v="15"/>
    <n v="30"/>
    <m/>
    <n v="0"/>
    <m/>
    <n v="0"/>
    <x v="0"/>
    <m/>
    <x v="0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n v="1"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1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3"/>
    <m/>
    <m/>
    <m/>
    <n v="0"/>
    <s v=" "/>
    <m/>
    <m/>
    <m/>
    <m/>
    <m/>
    <m/>
    <m/>
    <m/>
    <x v="0"/>
    <x v="0"/>
    <s v=" "/>
    <s v=" "/>
    <m/>
    <m/>
    <m/>
    <m/>
    <m/>
    <m/>
    <m/>
    <m/>
    <m/>
    <m/>
    <m/>
    <m/>
    <m/>
    <m/>
    <m/>
    <m/>
    <n v="0"/>
    <m/>
    <n v="0"/>
    <m/>
    <n v="0"/>
    <x v="0"/>
    <m/>
    <x v="0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25"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15"/>
    <m/>
    <n v="15"/>
    <n v="30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s v="TVR"/>
    <s v="1 V"/>
    <s v="TVR"/>
    <s v="T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s v="MVR"/>
    <s v="1 V"/>
    <s v="MVR"/>
    <s v="M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s v="AVR"/>
    <s v="1 V"/>
    <s v="AVR"/>
    <s v="A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s v="MVP"/>
    <s v="1 Pl"/>
    <s v="MVP"/>
    <s v="MV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314"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15"/>
    <m/>
    <n v="15"/>
    <n v="30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x v="0"/>
  </r>
  <r>
    <x v="13"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x v="1"/>
  </r>
  <r>
    <x v="13"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x v="1"/>
  </r>
  <r>
    <x v="13"/>
    <m/>
    <m/>
    <m/>
    <m/>
    <m/>
    <m/>
    <m/>
    <m/>
    <m/>
    <m/>
    <m/>
    <m/>
    <s v="TVR"/>
    <x v="1"/>
    <s v="TVR"/>
    <s v="T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x v="1"/>
  </r>
  <r>
    <x v="13"/>
    <m/>
    <m/>
    <m/>
    <m/>
    <m/>
    <m/>
    <m/>
    <m/>
    <m/>
    <m/>
    <m/>
    <m/>
    <s v="MVR"/>
    <x v="1"/>
    <s v="MVR"/>
    <s v="M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x v="1"/>
  </r>
  <r>
    <x v="13"/>
    <m/>
    <m/>
    <m/>
    <m/>
    <m/>
    <m/>
    <m/>
    <m/>
    <m/>
    <m/>
    <m/>
    <m/>
    <s v="AVR"/>
    <x v="1"/>
    <s v="AVR"/>
    <s v="A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x v="1"/>
  </r>
  <r>
    <x v="13"/>
    <m/>
    <m/>
    <m/>
    <m/>
    <m/>
    <m/>
    <m/>
    <m/>
    <m/>
    <m/>
    <m/>
    <m/>
    <s v="MVP"/>
    <x v="2"/>
    <s v="MVP"/>
    <s v="MV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x v="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309"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15"/>
    <m/>
    <n v="15"/>
    <n v="30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x v="0"/>
    <s v="Aucun"/>
    <s v="NON"/>
  </r>
  <r>
    <x v="13"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12">
  <r>
    <x v="0"/>
    <n v="27"/>
    <m/>
  </r>
  <r>
    <x v="1"/>
    <n v="29"/>
    <m/>
  </r>
  <r>
    <x v="2"/>
    <n v="30"/>
    <m/>
  </r>
  <r>
    <x v="3"/>
    <n v="29"/>
    <m/>
  </r>
  <r>
    <x v="4"/>
    <n v="32"/>
    <m/>
  </r>
  <r>
    <x v="5"/>
    <n v="21"/>
    <m/>
  </r>
  <r>
    <x v="6"/>
    <n v="13"/>
    <m/>
  </r>
  <r>
    <x v="7"/>
    <n v="19"/>
    <m/>
  </r>
  <r>
    <x v="8"/>
    <n v="25"/>
    <m/>
  </r>
  <r>
    <x v="9"/>
    <n v="31"/>
    <m/>
  </r>
  <r>
    <x v="10"/>
    <m/>
    <m/>
  </r>
  <r>
    <x v="11"/>
    <m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313"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n v="15"/>
    <m/>
    <n v="15"/>
    <n v="30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0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4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5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6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7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8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m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9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0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1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2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3"/>
    <m/>
    <m/>
    <m/>
    <n v="0"/>
    <s v=" 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x v="0"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</r>
  <r>
    <x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</r>
  <r>
    <x v="13"/>
    <m/>
    <m/>
    <m/>
    <m/>
    <m/>
    <m/>
    <m/>
    <m/>
    <m/>
    <m/>
    <m/>
    <m/>
    <s v="TVR"/>
    <s v="1 V"/>
    <s v="TVR"/>
    <s v="T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</r>
  <r>
    <x v="13"/>
    <m/>
    <m/>
    <m/>
    <m/>
    <m/>
    <m/>
    <m/>
    <m/>
    <m/>
    <m/>
    <m/>
    <m/>
    <s v="MVR"/>
    <s v="1 V"/>
    <s v="MVR"/>
    <s v="M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</r>
  <r>
    <x v="13"/>
    <m/>
    <m/>
    <m/>
    <m/>
    <m/>
    <m/>
    <m/>
    <m/>
    <m/>
    <m/>
    <m/>
    <m/>
    <s v="AVR"/>
    <s v="1 V"/>
    <s v="AVR"/>
    <s v="A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317"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n v="15"/>
    <m/>
    <n v="15"/>
    <n v="30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0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4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5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6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7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8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1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9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0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1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2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3"/>
    <m/>
    <m/>
    <m/>
    <n v="0"/>
    <x v="0"/>
    <m/>
    <m/>
    <m/>
    <m/>
    <m/>
    <m/>
    <m/>
    <m/>
    <m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s v="Aucun"/>
    <s v="NON"/>
  </r>
  <r>
    <x v="13"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s v="TVR"/>
    <s v="1 V"/>
    <s v="TVR"/>
    <s v="T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s v="MVR"/>
    <s v="1 V"/>
    <s v="MVR"/>
    <s v="M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s v="AVR"/>
    <s v="1 V"/>
    <s v="AVR"/>
    <s v="A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s v="MVP"/>
    <s v="1 Pl"/>
    <s v="MVP"/>
    <s v="MV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3"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311"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8"/>
    <m/>
    <n v="15"/>
    <n v="23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23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n v="15"/>
    <m/>
    <n v="15"/>
    <n v="30"/>
    <m/>
    <n v="0"/>
    <m/>
    <n v="0"/>
    <m/>
    <m/>
    <s v=" "/>
    <m/>
    <m/>
    <m/>
    <m/>
    <m/>
    <m/>
    <m/>
    <m/>
    <m/>
    <m/>
    <s v="Y"/>
    <m/>
    <n v="0"/>
    <n v="1"/>
    <n v="1"/>
    <s v="ALIVE"/>
    <s v="Aucune"/>
    <s v="Transfusion"/>
    <s v="Aucune"/>
    <s v="NON"/>
    <s v="NON"/>
    <s v="Inconnu"/>
    <s v="Inconnu"/>
    <s v="Inconnu"/>
    <s v="Inconnu"/>
    <s v="Inconnu"/>
    <s v="Inconnu"/>
    <s v="Transfusé"/>
    <n v="3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0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n v="1"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e v="#REF!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4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5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6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7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Y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8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s v="N"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m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9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0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1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2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3"/>
    <m/>
    <m/>
    <m/>
    <n v="0"/>
    <s v=" "/>
    <m/>
    <m/>
    <m/>
    <m/>
    <m/>
    <m/>
    <m/>
    <m/>
    <x v="0"/>
    <s v=" "/>
    <s v=" "/>
    <s v=" "/>
    <m/>
    <m/>
    <m/>
    <m/>
    <m/>
    <m/>
    <m/>
    <m/>
    <m/>
    <m/>
    <m/>
    <m/>
    <m/>
    <m/>
    <m/>
    <m/>
    <n v="0"/>
    <m/>
    <n v="0"/>
    <m/>
    <n v="0"/>
    <m/>
    <m/>
    <s v=" "/>
    <m/>
    <m/>
    <m/>
    <m/>
    <m/>
    <m/>
    <m/>
    <m/>
    <m/>
    <m/>
    <m/>
    <m/>
    <n v="0"/>
    <n v="0"/>
    <n v="1"/>
    <s v="ALIVE"/>
    <s v="Aucune"/>
    <s v="Aucune"/>
    <s v="Aucune"/>
    <s v="NON"/>
    <s v="NON"/>
    <s v="Inconnu"/>
    <s v="Inconnu"/>
    <s v="Inconnu"/>
    <s v="Inconnu"/>
    <s v="Inconnu"/>
    <s v="Inconnu"/>
    <s v="Aucune"/>
    <n v="0"/>
    <e v="#N/A"/>
    <s v="Aucun"/>
    <x v="0"/>
    <s v="NON"/>
  </r>
  <r>
    <x v="13"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</r>
  <r>
    <x v="13"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</r>
  <r>
    <x v="13"/>
    <m/>
    <m/>
    <m/>
    <m/>
    <m/>
    <m/>
    <m/>
    <m/>
    <m/>
    <m/>
    <m/>
    <m/>
    <s v="TVR"/>
    <x v="1"/>
    <s v="TVR"/>
    <s v="TV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755"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8"/>
    <m/>
    <n v="15"/>
    <n v="23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23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n v="15"/>
    <m/>
    <n v="15"/>
    <n v="30"/>
    <m/>
    <n v="0"/>
    <m/>
    <n v="0"/>
    <x v="0"/>
    <m/>
    <s v=" "/>
    <m/>
    <m/>
    <m/>
    <x v="0"/>
    <m/>
    <m/>
    <m/>
    <m/>
    <m/>
    <m/>
    <s v="Y"/>
    <m/>
    <n v="0"/>
    <n v="1"/>
    <n v="1"/>
    <s v="ALIVE"/>
    <x v="0"/>
    <x v="0"/>
    <x v="0"/>
    <x v="0"/>
    <x v="0"/>
    <x v="0"/>
    <s v="Inconnu"/>
    <s v="Inconnu"/>
    <x v="0"/>
    <s v="Inconnu"/>
    <s v="Inconnu"/>
    <x v="0"/>
    <n v="3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n v="1"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e v="#REF!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4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5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6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7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Y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8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s v="N"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m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9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0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1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2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3"/>
    <m/>
    <x v="0"/>
    <m/>
    <n v="0"/>
    <s v=" "/>
    <x v="0"/>
    <x v="0"/>
    <m/>
    <x v="0"/>
    <m/>
    <x v="0"/>
    <m/>
    <m/>
    <x v="0"/>
    <s v=" "/>
    <s v=" "/>
    <x v="0"/>
    <m/>
    <m/>
    <m/>
    <m/>
    <m/>
    <m/>
    <m/>
    <m/>
    <m/>
    <m/>
    <m/>
    <m/>
    <m/>
    <m/>
    <m/>
    <m/>
    <n v="0"/>
    <m/>
    <n v="0"/>
    <m/>
    <n v="0"/>
    <x v="0"/>
    <m/>
    <s v=" "/>
    <m/>
    <m/>
    <m/>
    <x v="0"/>
    <m/>
    <m/>
    <m/>
    <m/>
    <m/>
    <m/>
    <m/>
    <m/>
    <n v="0"/>
    <n v="0"/>
    <n v="1"/>
    <s v="ALIVE"/>
    <x v="0"/>
    <x v="1"/>
    <x v="0"/>
    <x v="0"/>
    <x v="0"/>
    <x v="0"/>
    <s v="Inconnu"/>
    <s v="Inconnu"/>
    <x v="0"/>
    <s v="Inconnu"/>
    <s v="Inconnu"/>
    <x v="1"/>
    <n v="0"/>
    <x v="0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s v="TVR"/>
    <x v="1"/>
    <s v="TVR"/>
    <s v="TVR"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s v="MVR"/>
    <x v="1"/>
    <s v="MVR"/>
    <s v="MVR"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s v="AVR"/>
    <x v="1"/>
    <s v="AVR"/>
    <s v="AVR"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s v="MVP"/>
    <x v="2"/>
    <s v="MVP"/>
    <s v="MVP"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n v="0"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s v="=SI(AM2=1;&quot;ELECTIVE&quot;; &amp; SI(AM2=2;URGENCY; &amp; SI(AM2=3;EMERGENCY; &amp; SI (AM2=4;SALVAGE;&quot; &quot;))))"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  <r>
    <x v="13"/>
    <m/>
    <x v="0"/>
    <m/>
    <m/>
    <m/>
    <x v="0"/>
    <x v="0"/>
    <m/>
    <x v="0"/>
    <m/>
    <x v="0"/>
    <m/>
    <m/>
    <x v="0"/>
    <m/>
    <m/>
    <x v="1"/>
    <m/>
    <m/>
    <m/>
    <m/>
    <m/>
    <m/>
    <m/>
    <m/>
    <m/>
    <m/>
    <m/>
    <m/>
    <m/>
    <m/>
    <m/>
    <m/>
    <m/>
    <m/>
    <m/>
    <m/>
    <m/>
    <x v="0"/>
    <m/>
    <m/>
    <m/>
    <m/>
    <m/>
    <x v="0"/>
    <m/>
    <m/>
    <m/>
    <m/>
    <m/>
    <m/>
    <m/>
    <m/>
    <m/>
    <m/>
    <m/>
    <m/>
    <x v="1"/>
    <x v="2"/>
    <x v="1"/>
    <x v="1"/>
    <x v="1"/>
    <x v="1"/>
    <m/>
    <m/>
    <x v="1"/>
    <m/>
    <m/>
    <x v="2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4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5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7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8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8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pivotTable1.xml><?xml version="1.0" encoding="utf-8"?>
<pivotTableDefinition xmlns="http://schemas.openxmlformats.org/spreadsheetml/2006/main" name="Tableau croisé dynamique2" cacheId="149" applyNumberFormats="0" applyBorderFormats="0" applyFontFormats="0" applyPatternFormats="0" applyAlignmentFormats="0" applyWidthHeightFormats="1" dataCaption="Valeurs" updatedVersion="6" minRefreshableVersion="3" showCalcMbrs="0" useAutoFormatting="1" rowGrandTotals="0" itemPrintTitles="1" createdVersion="3" indent="0" outline="1" outlineData="1" multipleFieldFilters="0">
  <location ref="A3:B4" firstHeaderRow="1" firstDataRow="1" firstDataCol="1" rowPageCount="1" colPageCount="1"/>
  <pivotFields count="75">
    <pivotField axis="axisPage" multipleItemSelectionAllowed="1" showAll="0">
      <items count="34">
        <item h="1" m="1" x="23"/>
        <item h="1" m="1" x="25"/>
        <item m="1" x="15"/>
        <item m="1" x="28"/>
        <item m="1" x="26"/>
        <item m="1" x="18"/>
        <item m="1" x="21"/>
        <item m="1" x="16"/>
        <item m="1" x="20"/>
        <item m="1" x="14"/>
        <item h="1" m="1" x="30"/>
        <item h="1" m="1" x="31"/>
        <item m="1" x="17"/>
        <item x="13"/>
        <item h="1" m="1" x="19"/>
        <item h="1" m="1" x="27"/>
        <item h="1" m="1" x="24"/>
        <item h="1" m="1" x="22"/>
        <item x="0"/>
        <item x="1"/>
        <item x="2"/>
        <item x="3"/>
        <item x="4"/>
        <item h="1" m="1" x="32"/>
        <item x="5"/>
        <item x="6"/>
        <item x="7"/>
        <item h="1" m="1" x="29"/>
        <item x="8"/>
        <item x="9"/>
        <item x="10"/>
        <item x="11"/>
        <item x="12"/>
        <item t="default"/>
      </items>
    </pivotField>
    <pivotField showAll="0"/>
    <pivotField axis="axisRow" dataField="1" showAll="0">
      <items count="557">
        <item m="1" x="31"/>
        <item m="1" x="75"/>
        <item m="1" x="245"/>
        <item m="1" x="201"/>
        <item m="1" x="26"/>
        <item m="1" x="20"/>
        <item m="1" x="189"/>
        <item m="1" x="442"/>
        <item m="1" x="382"/>
        <item m="1" x="181"/>
        <item m="1" x="518"/>
        <item m="1" x="230"/>
        <item m="1" x="135"/>
        <item m="1" x="545"/>
        <item m="1" x="414"/>
        <item m="1" x="44"/>
        <item m="1" x="307"/>
        <item m="1" x="502"/>
        <item m="1" x="274"/>
        <item m="1" x="129"/>
        <item m="1" x="485"/>
        <item m="1" x="539"/>
        <item m="1" x="456"/>
        <item m="1" x="264"/>
        <item m="1" x="93"/>
        <item m="1" x="234"/>
        <item m="1" x="195"/>
        <item m="1" x="30"/>
        <item m="1" x="153"/>
        <item m="1" x="413"/>
        <item m="1" x="381"/>
        <item m="1" x="525"/>
        <item m="1" x="462"/>
        <item m="1" x="198"/>
        <item m="1" x="254"/>
        <item m="1" x="156"/>
        <item m="1" x="192"/>
        <item m="1" x="467"/>
        <item m="1" x="84"/>
        <item m="1" x="325"/>
        <item m="1" x="419"/>
        <item m="1" x="366"/>
        <item m="1" x="285"/>
        <item m="1" x="18"/>
        <item m="1" x="158"/>
        <item m="1" x="427"/>
        <item m="1" x="339"/>
        <item m="1" x="57"/>
        <item m="1" x="283"/>
        <item m="1" x="535"/>
        <item m="1" x="523"/>
        <item m="1" x="315"/>
        <item m="1" x="522"/>
        <item m="1" x="222"/>
        <item m="1" x="140"/>
        <item m="1" x="432"/>
        <item m="1" x="97"/>
        <item m="1" x="538"/>
        <item m="1" x="426"/>
        <item m="1" x="484"/>
        <item m="1" x="328"/>
        <item m="1" x="330"/>
        <item m="1" x="397"/>
        <item m="1" x="239"/>
        <item m="1" x="173"/>
        <item m="1" x="433"/>
        <item m="1" x="193"/>
        <item m="1" x="529"/>
        <item m="1" x="346"/>
        <item m="1" x="452"/>
        <item m="1" x="64"/>
        <item m="1" x="332"/>
        <item m="1" x="104"/>
        <item m="1" x="24"/>
        <item m="1" x="537"/>
        <item m="1" x="461"/>
        <item m="1" x="5"/>
        <item m="1" x="466"/>
        <item m="1" x="40"/>
        <item m="1" x="398"/>
        <item m="1" x="503"/>
        <item m="1" x="326"/>
        <item m="1" x="344"/>
        <item m="1" x="272"/>
        <item m="1" x="142"/>
        <item m="1" x="280"/>
        <item m="1" x="168"/>
        <item m="1" x="128"/>
        <item m="1" x="527"/>
        <item m="1" x="475"/>
        <item m="1" x="367"/>
        <item m="1" x="269"/>
        <item m="1" x="243"/>
        <item m="1" x="408"/>
        <item m="1" x="38"/>
        <item m="1" x="47"/>
        <item m="1" x="347"/>
        <item m="1" x="386"/>
        <item m="1" x="76"/>
        <item m="1" x="416"/>
        <item m="1" x="350"/>
        <item m="1" x="497"/>
        <item m="1" x="391"/>
        <item m="1" x="45"/>
        <item m="1" x="52"/>
        <item m="1" x="208"/>
        <item m="1" x="68"/>
        <item m="1" x="333"/>
        <item m="1" x="423"/>
        <item m="1" x="219"/>
        <item m="1" x="161"/>
        <item m="1" x="501"/>
        <item m="1" x="155"/>
        <item m="1" x="349"/>
        <item m="1" x="6"/>
        <item m="1" x="341"/>
        <item m="1" x="262"/>
        <item m="1" x="541"/>
        <item m="1" x="358"/>
        <item m="1" x="421"/>
        <item m="1" x="434"/>
        <item m="1" x="460"/>
        <item m="1" x="144"/>
        <item m="1" x="94"/>
        <item m="1" x="247"/>
        <item m="1" x="79"/>
        <item m="1" x="217"/>
        <item m="1" x="80"/>
        <item m="1" x="35"/>
        <item m="1" x="131"/>
        <item m="1" x="182"/>
        <item m="1" x="206"/>
        <item m="1" x="505"/>
        <item m="1" x="159"/>
        <item m="1" x="137"/>
        <item m="1" x="343"/>
        <item m="1" x="514"/>
        <item m="1" x="547"/>
        <item m="1" x="509"/>
        <item m="1" x="311"/>
        <item m="1" x="98"/>
        <item m="1" x="394"/>
        <item m="1" x="368"/>
        <item m="1" x="348"/>
        <item m="1" x="362"/>
        <item m="1" x="446"/>
        <item m="1" x="213"/>
        <item m="1" x="116"/>
        <item m="1" x="162"/>
        <item m="1" x="417"/>
        <item m="1" x="132"/>
        <item m="1" x="335"/>
        <item m="1" x="27"/>
        <item m="1" x="546"/>
        <item m="1" x="429"/>
        <item m="1" x="53"/>
        <item m="1" x="511"/>
        <item m="1" x="73"/>
        <item m="1" x="453"/>
        <item m="1" x="313"/>
        <item m="1" x="183"/>
        <item m="1" x="431"/>
        <item m="1" x="474"/>
        <item m="1" x="298"/>
        <item m="1" x="99"/>
        <item m="1" x="445"/>
        <item m="1" x="288"/>
        <item m="1" x="308"/>
        <item m="1" x="490"/>
        <item m="1" x="448"/>
        <item m="1" x="207"/>
        <item m="1" x="530"/>
        <item m="1" x="256"/>
        <item m="1" x="180"/>
        <item m="1" x="95"/>
        <item m="1" x="512"/>
        <item m="1" x="177"/>
        <item m="1" x="151"/>
        <item m="1" x="323"/>
        <item m="1" x="422"/>
        <item m="1" x="237"/>
        <item m="1" x="56"/>
        <item m="1" x="92"/>
        <item m="1" x="321"/>
        <item m="1" x="49"/>
        <item m="1" x="504"/>
        <item m="1" x="439"/>
        <item m="1" x="299"/>
        <item m="1" x="150"/>
        <item m="1" x="492"/>
        <item m="1" x="58"/>
        <item m="1" x="157"/>
        <item m="1" x="513"/>
        <item m="1" x="294"/>
        <item m="1" x="267"/>
        <item m="1" x="51"/>
        <item m="1" x="12"/>
        <item m="1" x="384"/>
        <item m="1" x="46"/>
        <item m="1" x="536"/>
        <item m="1" x="194"/>
        <item m="1" x="66"/>
        <item m="1" x="450"/>
        <item m="1" x="166"/>
        <item m="1" x="8"/>
        <item m="1" x="305"/>
        <item x="0"/>
        <item m="1" x="355"/>
        <item m="1" x="314"/>
        <item m="1" x="309"/>
        <item m="1" x="147"/>
        <item m="1" x="533"/>
        <item m="1" x="259"/>
        <item m="1" x="403"/>
        <item m="1" x="141"/>
        <item m="1" x="310"/>
        <item m="1" x="486"/>
        <item m="1" x="550"/>
        <item m="1" x="86"/>
        <item m="1" x="491"/>
        <item m="1" x="292"/>
        <item m="1" x="205"/>
        <item m="1" x="139"/>
        <item m="1" x="327"/>
        <item m="1" x="489"/>
        <item m="1" x="418"/>
        <item m="1" x="532"/>
        <item m="1" x="176"/>
        <item m="1" x="32"/>
        <item m="1" x="334"/>
        <item m="1" x="111"/>
        <item m="1" x="212"/>
        <item m="1" x="61"/>
        <item m="1" x="524"/>
        <item m="1" x="322"/>
        <item m="1" x="542"/>
        <item m="1" x="387"/>
        <item m="1" x="175"/>
        <item m="1" x="302"/>
        <item m="1" x="268"/>
        <item m="1" x="552"/>
        <item m="1" x="481"/>
        <item m="1" x="392"/>
        <item m="1" x="278"/>
        <item m="1" x="260"/>
        <item m="1" x="2"/>
        <item m="1" x="273"/>
        <item m="1" x="369"/>
        <item m="1" x="78"/>
        <item m="1" x="357"/>
        <item m="1" x="255"/>
        <item m="1" x="317"/>
        <item m="1" x="114"/>
        <item m="1" x="499"/>
        <item m="1" x="340"/>
        <item m="1" x="393"/>
        <item m="1" x="291"/>
        <item m="1" x="209"/>
        <item m="1" x="227"/>
        <item m="1" x="14"/>
        <item m="1" x="282"/>
        <item m="1" x="133"/>
        <item m="1" x="4"/>
        <item m="1" x="265"/>
        <item m="1" x="409"/>
        <item m="1" x="149"/>
        <item m="1" x="134"/>
        <item m="1" x="77"/>
        <item m="1" x="337"/>
        <item m="1" x="127"/>
        <item m="1" x="402"/>
        <item m="1" x="88"/>
        <item m="1" x="109"/>
        <item m="1" x="263"/>
        <item m="1" x="555"/>
        <item m="1" x="117"/>
        <item m="1" x="65"/>
        <item m="1" x="101"/>
        <item m="1" x="238"/>
        <item m="1" x="253"/>
        <item m="1" x="284"/>
        <item m="1" x="41"/>
        <item m="1" x="472"/>
        <item m="1" x="507"/>
        <item m="1" x="221"/>
        <item m="1" x="197"/>
        <item m="1" x="464"/>
        <item m="1" x="59"/>
        <item m="1" x="360"/>
        <item m="1" x="23"/>
        <item m="1" x="164"/>
        <item m="1" x="241"/>
        <item m="1" x="126"/>
        <item m="1" x="71"/>
        <item m="1" x="171"/>
        <item m="1" x="82"/>
        <item m="1" x="483"/>
        <item m="1" x="378"/>
        <item m="1" x="517"/>
        <item m="1" x="232"/>
        <item m="1" x="242"/>
        <item m="1" x="160"/>
        <item m="1" x="329"/>
        <item m="1" x="36"/>
        <item m="1" x="72"/>
        <item m="1" x="186"/>
        <item m="1" x="15"/>
        <item m="1" x="477"/>
        <item m="1" x="345"/>
        <item m="1" x="185"/>
        <item m="1" x="437"/>
        <item m="1" x="371"/>
        <item m="1" x="3"/>
        <item m="1" x="316"/>
        <item m="1" x="261"/>
        <item m="1" x="515"/>
        <item m="1" x="306"/>
        <item m="1" x="34"/>
        <item m="1" x="478"/>
        <item m="1" x="74"/>
        <item m="1" x="11"/>
        <item m="1" x="202"/>
        <item m="1" x="199"/>
        <item m="1" x="204"/>
        <item m="1" x="519"/>
        <item m="1" x="451"/>
        <item m="1" x="224"/>
        <item m="1" x="70"/>
        <item m="1" x="493"/>
        <item m="1" x="444"/>
        <item m="1" x="470"/>
        <item m="1" x="174"/>
        <item m="1" x="480"/>
        <item m="1" x="170"/>
        <item m="1" x="188"/>
        <item m="1" x="301"/>
        <item m="1" x="430"/>
        <item m="1" x="107"/>
        <item m="1" x="146"/>
        <item m="1" x="124"/>
        <item m="1" x="312"/>
        <item m="1" x="13"/>
        <item m="1" x="165"/>
        <item m="1" x="352"/>
        <item m="1" x="119"/>
        <item m="1" x="187"/>
        <item m="1" x="287"/>
        <item m="1" x="21"/>
        <item m="1" x="244"/>
        <item m="1" x="275"/>
        <item m="1" x="112"/>
        <item m="1" x="410"/>
        <item m="1" x="7"/>
        <item m="1" x="236"/>
        <item m="1" x="459"/>
        <item m="1" x="251"/>
        <item m="1" x="473"/>
        <item m="1" x="342"/>
        <item m="1" x="438"/>
        <item m="1" x="167"/>
        <item m="1" x="130"/>
        <item m="1" x="400"/>
        <item m="1" x="388"/>
        <item m="1" x="225"/>
        <item m="1" x="520"/>
        <item m="1" x="25"/>
        <item m="1" x="411"/>
        <item m="1" x="376"/>
        <item m="1" x="304"/>
        <item m="1" x="191"/>
        <item m="1" x="39"/>
        <item m="1" x="249"/>
        <item m="1" x="428"/>
        <item m="1" x="29"/>
        <item m="1" x="90"/>
        <item m="1" x="531"/>
        <item m="1" x="401"/>
        <item m="1" x="458"/>
        <item m="1" x="63"/>
        <item m="1" x="290"/>
        <item m="1" x="516"/>
        <item m="1" x="463"/>
        <item m="1" x="148"/>
        <item m="1" x="200"/>
        <item m="1" x="543"/>
        <item m="1" x="190"/>
        <item m="1" x="476"/>
        <item m="1" x="152"/>
        <item m="1" x="354"/>
        <item m="1" x="375"/>
        <item m="1" x="380"/>
        <item m="1" x="420"/>
        <item m="1" x="248"/>
        <item m="1" x="443"/>
        <item m="1" x="468"/>
        <item m="1" x="318"/>
        <item m="1" x="223"/>
        <item m="1" x="60"/>
        <item m="1" x="121"/>
        <item m="1" x="297"/>
        <item m="1" x="506"/>
        <item m="1" x="203"/>
        <item m="1" x="373"/>
        <item m="1" x="379"/>
        <item m="1" x="303"/>
        <item m="1" x="356"/>
        <item m="1" x="138"/>
        <item m="1" x="55"/>
        <item m="1" x="250"/>
        <item m="1" x="210"/>
        <item m="1" x="118"/>
        <item m="1" x="231"/>
        <item m="1" x="89"/>
        <item m="1" x="240"/>
        <item m="1" x="412"/>
        <item m="1" x="528"/>
        <item m="1" x="364"/>
        <item m="1" x="110"/>
        <item m="1" x="233"/>
        <item m="1" x="425"/>
        <item m="1" x="228"/>
        <item m="1" x="69"/>
        <item m="1" x="324"/>
        <item m="1" x="229"/>
        <item m="1" x="85"/>
        <item m="1" x="415"/>
        <item m="1" x="377"/>
        <item m="1" x="404"/>
        <item m="1" x="10"/>
        <item m="1" x="87"/>
        <item m="1" x="407"/>
        <item m="1" x="42"/>
        <item m="1" x="319"/>
        <item m="1" x="338"/>
        <item m="1" x="270"/>
        <item m="1" x="498"/>
        <item m="1" x="102"/>
        <item m="1" x="113"/>
        <item m="1" x="215"/>
        <item m="1" x="172"/>
        <item m="1" x="220"/>
        <item m="1" x="16"/>
        <item m="1" x="361"/>
        <item m="1" x="496"/>
        <item m="1" x="122"/>
        <item m="1" x="246"/>
        <item m="1" x="526"/>
        <item m="1" x="389"/>
        <item m="1" x="385"/>
        <item m="1" x="105"/>
        <item m="1" x="19"/>
        <item m="1" x="534"/>
        <item m="1" x="405"/>
        <item m="1" x="281"/>
        <item m="1" x="320"/>
        <item m="1" x="257"/>
        <item m="1" x="540"/>
        <item m="1" x="100"/>
        <item m="1" x="521"/>
        <item m="1" x="399"/>
        <item m="1" x="390"/>
        <item m="1" x="266"/>
        <item m="1" x="455"/>
        <item m="1" x="125"/>
        <item m="1" x="331"/>
        <item m="1" x="440"/>
        <item m="1" x="482"/>
        <item m="1" x="123"/>
        <item m="1" x="91"/>
        <item m="1" x="295"/>
        <item m="1" x="1"/>
        <item m="1" x="145"/>
        <item m="1" x="353"/>
        <item m="1" x="447"/>
        <item m="1" x="211"/>
        <item m="1" x="435"/>
        <item m="1" x="351"/>
        <item m="1" x="488"/>
        <item m="1" x="43"/>
        <item m="1" x="293"/>
        <item m="1" x="226"/>
        <item m="1" x="495"/>
        <item m="1" x="271"/>
        <item m="1" x="258"/>
        <item m="1" x="17"/>
        <item m="1" x="365"/>
        <item m="1" x="252"/>
        <item m="1" x="184"/>
        <item m="1" x="553"/>
        <item m="1" x="465"/>
        <item m="1" x="469"/>
        <item m="1" x="214"/>
        <item m="1" x="286"/>
        <item m="1" x="548"/>
        <item m="1" x="54"/>
        <item m="1" x="374"/>
        <item m="1" x="9"/>
        <item m="1" x="178"/>
        <item m="1" x="370"/>
        <item m="1" x="279"/>
        <item m="1" x="28"/>
        <item m="1" x="143"/>
        <item m="1" x="276"/>
        <item m="1" x="103"/>
        <item m="1" x="554"/>
        <item m="1" x="395"/>
        <item m="1" x="296"/>
        <item m="1" x="163"/>
        <item m="1" x="22"/>
        <item m="1" x="62"/>
        <item m="1" x="510"/>
        <item m="1" x="300"/>
        <item m="1" x="169"/>
        <item m="1" x="50"/>
        <item m="1" x="544"/>
        <item m="1" x="487"/>
        <item m="1" x="396"/>
        <item m="1" x="449"/>
        <item m="1" x="120"/>
        <item m="1" x="551"/>
        <item m="1" x="83"/>
        <item m="1" x="441"/>
        <item m="1" x="406"/>
        <item m="1" x="33"/>
        <item m="1" x="508"/>
        <item m="1" x="436"/>
        <item m="1" x="81"/>
        <item m="1" x="277"/>
        <item m="1" x="96"/>
        <item m="1" x="359"/>
        <item m="1" x="108"/>
        <item m="1" x="336"/>
        <item m="1" x="494"/>
        <item m="1" x="424"/>
        <item m="1" x="106"/>
        <item m="1" x="454"/>
        <item m="1" x="235"/>
        <item m="1" x="549"/>
        <item m="1" x="67"/>
        <item m="1" x="115"/>
        <item m="1" x="48"/>
        <item m="1" x="218"/>
        <item m="1" x="479"/>
        <item m="1" x="216"/>
        <item m="1" x="154"/>
        <item m="1" x="383"/>
        <item m="1" x="471"/>
        <item m="1" x="289"/>
        <item m="1" x="136"/>
        <item m="1" x="179"/>
        <item m="1" x="363"/>
        <item m="1" x="196"/>
        <item m="1" x="500"/>
        <item m="1" x="372"/>
        <item m="1" x="457"/>
        <item m="1" x="37"/>
        <item t="default"/>
      </items>
    </pivotField>
    <pivotField showAll="0"/>
    <pivotField showAll="0"/>
    <pivotField showAll="0" defaultSubtotal="0"/>
    <pivotField showAll="0"/>
    <pivotField showAll="0">
      <items count="64">
        <item m="1" x="12"/>
        <item m="1" x="53"/>
        <item m="1" x="25"/>
        <item m="1" x="49"/>
        <item m="1" x="19"/>
        <item m="1" x="8"/>
        <item m="1" x="29"/>
        <item m="1" x="60"/>
        <item m="1" x="38"/>
        <item m="1" x="31"/>
        <item m="1" x="17"/>
        <item m="1" x="10"/>
        <item m="1" x="14"/>
        <item m="1" x="24"/>
        <item m="1" x="2"/>
        <item m="1" x="52"/>
        <item m="1" x="41"/>
        <item m="1" x="46"/>
        <item m="1" x="1"/>
        <item m="1" x="47"/>
        <item m="1" x="16"/>
        <item m="1" x="13"/>
        <item m="1" x="56"/>
        <item m="1" x="59"/>
        <item m="1" x="26"/>
        <item m="1" x="48"/>
        <item m="1" x="21"/>
        <item x="0"/>
        <item m="1" x="5"/>
        <item m="1" x="58"/>
        <item m="1" x="35"/>
        <item m="1" x="54"/>
        <item m="1" x="43"/>
        <item m="1" x="39"/>
        <item m="1" x="40"/>
        <item m="1" x="36"/>
        <item m="1" x="34"/>
        <item m="1" x="3"/>
        <item m="1" x="30"/>
        <item m="1" x="20"/>
        <item m="1" x="11"/>
        <item m="1" x="51"/>
        <item m="1" x="28"/>
        <item m="1" x="33"/>
        <item m="1" x="37"/>
        <item m="1" x="44"/>
        <item m="1" x="4"/>
        <item m="1" x="55"/>
        <item m="1" x="23"/>
        <item m="1" x="62"/>
        <item m="1" x="15"/>
        <item m="1" x="32"/>
        <item m="1" x="45"/>
        <item m="1" x="6"/>
        <item m="1" x="18"/>
        <item m="1" x="57"/>
        <item m="1" x="22"/>
        <item m="1" x="7"/>
        <item m="1" x="61"/>
        <item m="1" x="42"/>
        <item m="1" x="9"/>
        <item m="1" x="50"/>
        <item m="1" x="27"/>
        <item t="default"/>
      </items>
    </pivotField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/>
    <pivotField dragToRow="0" dragToCol="0" dragToPage="0" showAll="0" defaultSubtotal="0"/>
  </pivotFields>
  <rowFields count="1">
    <field x="2"/>
  </rowFields>
  <rowItems count="1">
    <i>
      <x v="206"/>
    </i>
  </rowItems>
  <colItems count="1">
    <i/>
  </colItems>
  <pageFields count="1">
    <pageField fld="0" hier="-1"/>
  </pageFields>
  <dataFields count="1">
    <dataField name="Nombre de Référence" fld="2" subtotal="count" baseField="0" baseItem="0"/>
  </dataFields>
  <formats count="9">
    <format dxfId="530">
      <pivotArea type="all" dataOnly="0" outline="0" fieldPosition="0"/>
    </format>
    <format dxfId="529">
      <pivotArea field="0" type="button" dataOnly="0" labelOnly="1" outline="0" axis="axisPage" fieldPosition="0"/>
    </format>
    <format dxfId="528">
      <pivotArea field="2" type="button" dataOnly="0" labelOnly="1" outline="0" axis="axisRow" fieldPosition="0"/>
    </format>
    <format dxfId="527">
      <pivotArea dataOnly="0" labelOnly="1" grandRow="1" outline="0" fieldPosition="0"/>
    </format>
    <format dxfId="526">
      <pivotArea dataOnly="0" labelOnly="1" outline="0" fieldPosition="0">
        <references count="1">
          <reference field="0" count="0"/>
        </references>
      </pivotArea>
    </format>
    <format dxfId="525">
      <pivotArea dataOnly="0" labelOnly="1" outline="0" fieldPosition="0">
        <references count="1">
          <reference field="0" count="0"/>
        </references>
      </pivotArea>
    </format>
    <format dxfId="524">
      <pivotArea dataOnly="0" labelOnly="1" outline="0" fieldPosition="0">
        <references count="1">
          <reference field="0" count="0"/>
        </references>
      </pivotArea>
    </format>
    <format dxfId="523">
      <pivotArea collapsedLevelsAreSubtotals="1" fieldPosition="0">
        <references count="1">
          <reference field="2" count="1">
            <x v="153"/>
          </reference>
        </references>
      </pivotArea>
    </format>
    <format dxfId="522">
      <pivotArea collapsedLevelsAreSubtotals="1" fieldPosition="0">
        <references count="1">
          <reference field="2" count="1">
            <x v="202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2.xml><?xml version="1.0" encoding="utf-8"?>
<pivotTableDefinition xmlns="http://schemas.openxmlformats.org/spreadsheetml/2006/main" name="Tableau croisé dynamique3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3" fieldListSortAscending="1" customListSort="0">
  <location ref="A54:B55" firstHeaderRow="1" firstDataRow="1" firstDataCol="1" rowPageCount="1" colPageCount="1"/>
  <pivotFields count="75">
    <pivotField multipleItemSelectionAllowed="1" showAll="0" includeNewItemsInFilter="1"/>
    <pivotField showAll="0"/>
    <pivotField showAll="0"/>
    <pivotField showAll="0"/>
    <pivotField showAll="0"/>
    <pivotField showAll="0" defaultSubtotal="0"/>
    <pivotField showAll="0"/>
    <pivotField dataField="1"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>
      <items count="7">
        <item m="1" x="5"/>
        <item m="1" x="3"/>
        <item m="1" x="1"/>
        <item m="1" x="4"/>
        <item m="1" x="2"/>
        <item x="0"/>
        <item t="default"/>
      </items>
    </pivotField>
    <pivotField showAll="0"/>
    <pivotField axis="axisPage" multipleItemSelectionAllowed="1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21">
        <item m="1" x="5"/>
        <item m="1" x="19"/>
        <item m="1" x="2"/>
        <item m="1" x="20"/>
        <item m="1" x="6"/>
        <item m="1" x="4"/>
        <item m="1" x="9"/>
        <item m="1" x="15"/>
        <item m="1" x="8"/>
        <item m="1" x="17"/>
        <item m="1" x="7"/>
        <item x="1"/>
        <item x="0"/>
        <item m="1" x="14"/>
        <item m="1" x="16"/>
        <item m="1" x="13"/>
        <item m="1" x="10"/>
        <item m="1" x="11"/>
        <item m="1" x="12"/>
        <item m="1" x="3"/>
        <item m="1" x="18"/>
      </items>
    </pivotField>
    <pivotField axis="axisRow"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2">
    <field x="71"/>
    <field x="72"/>
  </rowFields>
  <rowItems count="1">
    <i t="grand">
      <x/>
    </i>
  </rowItems>
  <colItems count="1">
    <i/>
  </colItems>
  <pageFields count="1">
    <pageField fld="11" hier="-1"/>
  </pageFields>
  <dataFields count="1">
    <dataField name="Nombre" fld="7" subtotal="count" showDataAs="percentOfCol" baseField="47" baseItem="3" numFmtId="10"/>
  </dataFields>
  <formats count="1">
    <format dxfId="520">
      <pivotArea type="all" dataOnly="0" outline="0" fieldPosition="0"/>
    </format>
  </formats>
  <chartFormats count="2">
    <chartFormat chart="1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.xml><?xml version="1.0" encoding="utf-8"?>
<pivotTableDefinition xmlns="http://schemas.openxmlformats.org/spreadsheetml/2006/main" name="Tableau croisé dynamique1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59" fieldListSortAscending="1" customListSort="0">
  <location ref="A3:B4" firstHeaderRow="1" firstDataRow="1" firstDataCol="1" rowPageCount="1" colPageCount="1"/>
  <pivotFields count="75">
    <pivotField multipleItemSelectionAllowed="1" showAll="0" includeNewItemsInFilter="1"/>
    <pivotField showAll="0"/>
    <pivotField showAll="0"/>
    <pivotField showAll="0"/>
    <pivotField showAll="0"/>
    <pivotField showAll="0" defaultSubtotal="0"/>
    <pivotField showAll="0"/>
    <pivotField dataField="1"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includeNewItemsInFilter="1" defaultSubtotal="0">
      <items count="21">
        <item m="1" x="5"/>
        <item m="1" x="19"/>
        <item m="1" x="2"/>
        <item m="1" x="20"/>
        <item m="1" x="6"/>
        <item m="1" x="4"/>
        <item m="1" x="9"/>
        <item m="1" x="15"/>
        <item m="1" x="8"/>
        <item m="1" x="17"/>
        <item m="1" x="7"/>
        <item h="1" x="1"/>
        <item h="1" x="0"/>
        <item m="1" x="14"/>
        <item m="1" x="16"/>
        <item m="1" x="13"/>
        <item m="1" x="10"/>
        <item m="1" x="11"/>
        <item m="1" x="12"/>
        <item m="1" x="3"/>
        <item m="1" x="18"/>
      </items>
    </pivotField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71"/>
  </rowFields>
  <rowItems count="1">
    <i t="grand">
      <x/>
    </i>
  </rowItems>
  <colItems count="1">
    <i/>
  </colItems>
  <pageFields count="1">
    <pageField fld="11" hier="-1"/>
  </pageFields>
  <dataFields count="1">
    <dataField name="Provenance" fld="7" subtotal="count" baseField="0" baseItem="1635272"/>
  </dataFields>
  <chartFormats count="3">
    <chartFormat chart="3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4.xml><?xml version="1.0" encoding="utf-8"?>
<pivotTableDefinition xmlns="http://schemas.openxmlformats.org/spreadsheetml/2006/main" name="Tableau croisé dynamique9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2" fieldListSortAscending="1" customListSort="0">
  <location ref="A31:B32" firstHeaderRow="1" firstDataRow="1" firstDataCol="1" rowPageCount="1" colPageCount="1"/>
  <pivotFields count="75">
    <pivotField multipleItemSelectionAllowed="1" showAll="0" includeNewItemsInFilter="1"/>
    <pivotField showAll="0"/>
    <pivotField showAll="0"/>
    <pivotField showAll="0"/>
    <pivotField showAll="0"/>
    <pivotField showAll="0" defaultSubtotal="0"/>
    <pivotField showAll="0"/>
    <pivotField dataField="1"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21">
        <item m="1" x="5"/>
        <item m="1" x="19"/>
        <item m="1" x="2"/>
        <item m="1" x="20"/>
        <item m="1" x="6"/>
        <item m="1" x="4"/>
        <item m="1" x="9"/>
        <item m="1" x="15"/>
        <item m="1" x="8"/>
        <item m="1" x="17"/>
        <item m="1" x="7"/>
        <item x="1"/>
        <item x="0"/>
        <item m="1" x="14"/>
        <item m="1" x="16"/>
        <item m="1" x="13"/>
        <item m="1" x="10"/>
        <item m="1" x="11"/>
        <item m="1" x="12"/>
        <item m="1" x="3"/>
        <item m="1" x="18"/>
      </items>
    </pivotField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71"/>
  </rowFields>
  <rowItems count="1">
    <i t="grand">
      <x/>
    </i>
  </rowItems>
  <colItems count="1">
    <i/>
  </colItems>
  <pageFields count="1">
    <pageField fld="11" hier="-1"/>
  </pageFields>
  <dataFields count="1">
    <dataField name="Provenance" fld="7" subtotal="count" showDataAs="percentOfCol" baseField="47" baseItem="3" numFmtId="10"/>
  </dataFields>
  <formats count="1">
    <format dxfId="521">
      <pivotArea type="all" dataOnly="0" outline="0" fieldPosition="0"/>
    </format>
  </formats>
  <chartFormats count="1">
    <chartFormat chart="1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.xml><?xml version="1.0" encoding="utf-8"?>
<pivotTableDefinition xmlns="http://schemas.openxmlformats.org/spreadsheetml/2006/main" name="Tableau croisé dynamique2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5" fieldListSortAscending="1">
  <location ref="D3:E5" firstHeaderRow="1" firstDataRow="2" firstDataCol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dataField="1"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showAll="0" includeNewItemsInFilter="1" defaultSubtotal="0">
      <items count="21">
        <item m="1" x="5"/>
        <item m="1" x="19"/>
        <item m="1" x="2"/>
        <item m="1" x="20"/>
        <item m="1" x="6"/>
        <item m="1" x="4"/>
        <item m="1" x="9"/>
        <item m="1" x="15"/>
        <item m="1" x="8"/>
        <item m="1" x="17"/>
        <item m="1" x="7"/>
        <item x="1"/>
        <item x="0"/>
        <item m="1" x="14"/>
        <item m="1" x="16"/>
        <item m="1" x="13"/>
        <item m="1" x="10"/>
        <item m="1" x="11"/>
        <item m="1" x="12"/>
        <item m="1" x="3"/>
        <item m="1" x="18"/>
      </items>
    </pivotField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71"/>
  </colFields>
  <colItems count="1">
    <i t="grand">
      <x/>
    </i>
  </colItems>
  <dataFields count="1">
    <dataField name="Provenance" fld="7" subtotal="count" baseField="0" baseItem="1635272"/>
  </dataFields>
  <chartFormats count="17">
    <chartFormat chart="1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3" format="5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2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3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4"/>
          </reference>
        </references>
      </pivotArea>
    </chartFormat>
    <chartFormat chart="3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8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0"/>
          </reference>
        </references>
      </pivotArea>
    </chartFormat>
    <chartFormat chart="3" format="79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1"/>
          </reference>
        </references>
      </pivotArea>
    </chartFormat>
    <chartFormat chart="3" format="80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2"/>
          </reference>
        </references>
      </pivotArea>
    </chartFormat>
    <chartFormat chart="3" format="81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3"/>
          </reference>
        </references>
      </pivotArea>
    </chartFormat>
    <chartFormat chart="3" format="82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4"/>
          </reference>
        </references>
      </pivotArea>
    </chartFormat>
    <chartFormat chart="3" format="83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5"/>
          </reference>
        </references>
      </pivotArea>
    </chartFormat>
    <chartFormat chart="3" format="84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6"/>
          </reference>
        </references>
      </pivotArea>
    </chartFormat>
    <chartFormat chart="3" format="85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7"/>
          </reference>
        </references>
      </pivotArea>
    </chartFormat>
    <chartFormat chart="3" format="86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8"/>
          </reference>
        </references>
      </pivotArea>
    </chartFormat>
    <chartFormat chart="3" format="87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9"/>
          </reference>
        </references>
      </pivotArea>
    </chartFormat>
    <chartFormat chart="3" format="88" series="1">
      <pivotArea type="data" outline="0" fieldPosition="0">
        <references count="2">
          <reference field="4294967294" count="1" selected="0">
            <x v="0"/>
          </reference>
          <reference field="71" count="1" selected="0">
            <x v="1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6.xml><?xml version="1.0" encoding="utf-8"?>
<pivotTableDefinition xmlns="http://schemas.openxmlformats.org/spreadsheetml/2006/main" name="Tableau croisé dynamique1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6" fieldListSortAscending="1" customListSort="0">
  <location ref="E6:BP8" firstHeaderRow="1" firstDataRow="2" firstDataCol="1" rowPageCount="1" colPageCount="1"/>
  <pivotFields count="75">
    <pivotField multipleItemSelectionAllowed="1" showAll="0" includeNewItemsInFilter="1"/>
    <pivotField showAll="0"/>
    <pivotField showAll="0"/>
    <pivotField showAll="0"/>
    <pivotField showAll="0"/>
    <pivotField showAll="0" defaultSubtotal="0"/>
    <pivotField axis="axisRow" dataField="1" showAll="0">
      <items count="100">
        <item m="1" x="52"/>
        <item m="1" x="69"/>
        <item m="1" x="22"/>
        <item m="1" x="72"/>
        <item m="1" x="62"/>
        <item m="1" x="48"/>
        <item m="1" x="91"/>
        <item m="1" x="90"/>
        <item m="1" x="43"/>
        <item m="1" x="1"/>
        <item m="1" x="9"/>
        <item m="1" x="38"/>
        <item m="1" x="27"/>
        <item m="1" x="12"/>
        <item m="1" x="66"/>
        <item m="1" x="87"/>
        <item m="1" x="36"/>
        <item m="1" x="23"/>
        <item m="1" x="8"/>
        <item m="1" x="2"/>
        <item m="1" x="94"/>
        <item m="1" x="46"/>
        <item m="1" x="89"/>
        <item m="1" x="78"/>
        <item m="1" x="18"/>
        <item m="1" x="20"/>
        <item m="1" x="41"/>
        <item m="1" x="40"/>
        <item m="1" x="53"/>
        <item m="1" x="58"/>
        <item m="1" x="51"/>
        <item m="1" x="77"/>
        <item m="1" x="56"/>
        <item m="1" x="28"/>
        <item m="1" x="83"/>
        <item m="1" x="92"/>
        <item m="1" x="49"/>
        <item m="1" x="76"/>
        <item m="1" x="15"/>
        <item m="1" x="24"/>
        <item m="1" x="44"/>
        <item m="1" x="4"/>
        <item m="1" x="70"/>
        <item m="1" x="35"/>
        <item m="1" x="11"/>
        <item m="1" x="13"/>
        <item m="1" x="55"/>
        <item m="1" x="65"/>
        <item m="1" x="54"/>
        <item m="1" x="71"/>
        <item m="1" x="84"/>
        <item m="1" x="42"/>
        <item m="1" x="93"/>
        <item m="1" x="47"/>
        <item m="1" x="29"/>
        <item m="1" x="34"/>
        <item m="1" x="79"/>
        <item m="1" x="16"/>
        <item m="1" x="63"/>
        <item m="1" x="37"/>
        <item m="1" x="68"/>
        <item m="1" x="75"/>
        <item m="1" x="39"/>
        <item m="1" x="14"/>
        <item m="1" x="61"/>
        <item x="0"/>
        <item m="1" x="17"/>
        <item m="1" x="88"/>
        <item m="1" x="57"/>
        <item m="1" x="31"/>
        <item m="1" x="96"/>
        <item m="1" x="26"/>
        <item m="1" x="64"/>
        <item m="1" x="73"/>
        <item m="1" x="21"/>
        <item m="1" x="97"/>
        <item m="1" x="32"/>
        <item m="1" x="50"/>
        <item m="1" x="25"/>
        <item m="1" x="7"/>
        <item m="1" x="82"/>
        <item m="1" x="33"/>
        <item m="1" x="67"/>
        <item m="1" x="6"/>
        <item m="1" x="86"/>
        <item m="1" x="59"/>
        <item m="1" x="80"/>
        <item m="1" x="19"/>
        <item m="1" x="3"/>
        <item m="1" x="98"/>
        <item m="1" x="95"/>
        <item m="1" x="85"/>
        <item m="1" x="10"/>
        <item m="1" x="30"/>
        <item m="1" x="60"/>
        <item m="1" x="74"/>
        <item m="1" x="81"/>
        <item m="1" x="5"/>
        <item m="1" x="45"/>
        <item t="default"/>
      </items>
    </pivotField>
    <pivotField axis="axisCol"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"/>
  </rowFields>
  <rowItems count="1">
    <i t="grand">
      <x/>
    </i>
  </rowItems>
  <colFields count="1">
    <field x="7"/>
  </colFields>
  <colItems count="6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 t="grand">
      <x/>
    </i>
  </colItems>
  <pageFields count="1">
    <pageField fld="11" hier="-1"/>
  </pageFields>
  <dataFields count="1">
    <dataField name="Nombre de Référant" fld="6" subtotal="count" baseField="0" baseItem="0"/>
  </dataFields>
  <formats count="13">
    <format dxfId="508">
      <pivotArea type="all" dataOnly="0" outline="0" fieldPosition="0"/>
    </format>
    <format dxfId="507">
      <pivotArea collapsedLevelsAreSubtotals="1" fieldPosition="0">
        <references count="1">
          <reference field="6" count="1">
            <x v="36"/>
          </reference>
        </references>
      </pivotArea>
    </format>
    <format dxfId="506">
      <pivotArea dataOnly="0" labelOnly="1" fieldPosition="0">
        <references count="1">
          <reference field="6" count="1">
            <x v="36"/>
          </reference>
        </references>
      </pivotArea>
    </format>
    <format dxfId="505">
      <pivotArea collapsedLevelsAreSubtotals="1" fieldPosition="0">
        <references count="1">
          <reference field="6" count="1">
            <x v="7"/>
          </reference>
        </references>
      </pivotArea>
    </format>
    <format dxfId="504">
      <pivotArea dataOnly="0" labelOnly="1" fieldPosition="0">
        <references count="1">
          <reference field="6" count="1">
            <x v="7"/>
          </reference>
        </references>
      </pivotArea>
    </format>
    <format dxfId="503">
      <pivotArea collapsedLevelsAreSubtotals="1" fieldPosition="0">
        <references count="1">
          <reference field="6" count="1">
            <x v="54"/>
          </reference>
        </references>
      </pivotArea>
    </format>
    <format dxfId="502">
      <pivotArea dataOnly="0" labelOnly="1" fieldPosition="0">
        <references count="1">
          <reference field="6" count="1">
            <x v="54"/>
          </reference>
        </references>
      </pivotArea>
    </format>
    <format dxfId="501">
      <pivotArea collapsedLevelsAreSubtotals="1" fieldPosition="0">
        <references count="1">
          <reference field="6" count="1">
            <x v="55"/>
          </reference>
        </references>
      </pivotArea>
    </format>
    <format dxfId="500">
      <pivotArea dataOnly="0" labelOnly="1" fieldPosition="0">
        <references count="1">
          <reference field="6" count="1">
            <x v="55"/>
          </reference>
        </references>
      </pivotArea>
    </format>
    <format dxfId="499">
      <pivotArea collapsedLevelsAreSubtotals="1" fieldPosition="0">
        <references count="1">
          <reference field="6" count="1">
            <x v="57"/>
          </reference>
        </references>
      </pivotArea>
    </format>
    <format dxfId="498">
      <pivotArea dataOnly="0" labelOnly="1" fieldPosition="0">
        <references count="1">
          <reference field="6" count="1">
            <x v="57"/>
          </reference>
        </references>
      </pivotArea>
    </format>
    <format dxfId="497">
      <pivotArea field="11" type="button" dataOnly="0" labelOnly="1" outline="0" axis="axisPage" fieldPosition="0"/>
    </format>
    <format dxfId="496">
      <pivotArea dataOnly="0" labelOnly="1" outline="0" fieldPosition="0">
        <references count="1">
          <reference field="11" count="0"/>
        </references>
      </pivotArea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.xml><?xml version="1.0" encoding="utf-8"?>
<pivotTableDefinition xmlns="http://schemas.openxmlformats.org/spreadsheetml/2006/main" name="Tableau croisé dynamique9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3" fieldListSortAscending="1" customListSort="0">
  <location ref="A6:B7" firstHeaderRow="1" firstDataRow="1" firstDataCol="1" rowPageCount="1" colPageCount="1"/>
  <pivotFields count="75">
    <pivotField multipleItemSelectionAllowed="1" showAll="0" includeNewItemsInFilter="1"/>
    <pivotField showAll="0"/>
    <pivotField showAll="0"/>
    <pivotField showAll="0"/>
    <pivotField showAll="0"/>
    <pivotField showAll="0" defaultSubtotal="0"/>
    <pivotField axis="axisRow" dataField="1" showAll="0">
      <items count="100">
        <item m="1" x="52"/>
        <item m="1" x="69"/>
        <item m="1" x="22"/>
        <item m="1" x="72"/>
        <item m="1" x="62"/>
        <item m="1" x="48"/>
        <item m="1" x="91"/>
        <item m="1" x="90"/>
        <item m="1" x="43"/>
        <item m="1" x="1"/>
        <item m="1" x="9"/>
        <item m="1" x="38"/>
        <item m="1" x="27"/>
        <item m="1" x="12"/>
        <item m="1" x="66"/>
        <item m="1" x="87"/>
        <item m="1" x="36"/>
        <item m="1" x="23"/>
        <item m="1" x="8"/>
        <item m="1" x="2"/>
        <item m="1" x="94"/>
        <item m="1" x="46"/>
        <item m="1" x="89"/>
        <item m="1" x="78"/>
        <item m="1" x="18"/>
        <item m="1" x="20"/>
        <item m="1" x="41"/>
        <item m="1" x="40"/>
        <item m="1" x="53"/>
        <item m="1" x="58"/>
        <item m="1" x="51"/>
        <item m="1" x="77"/>
        <item m="1" x="56"/>
        <item m="1" x="28"/>
        <item m="1" x="83"/>
        <item m="1" x="92"/>
        <item m="1" x="49"/>
        <item m="1" x="76"/>
        <item m="1" x="15"/>
        <item m="1" x="24"/>
        <item m="1" x="44"/>
        <item m="1" x="4"/>
        <item m="1" x="70"/>
        <item m="1" x="35"/>
        <item m="1" x="11"/>
        <item m="1" x="13"/>
        <item m="1" x="55"/>
        <item m="1" x="65"/>
        <item m="1" x="54"/>
        <item m="1" x="71"/>
        <item m="1" x="84"/>
        <item m="1" x="42"/>
        <item m="1" x="93"/>
        <item m="1" x="47"/>
        <item m="1" x="29"/>
        <item m="1" x="34"/>
        <item m="1" x="79"/>
        <item m="1" x="16"/>
        <item m="1" x="63"/>
        <item m="1" x="37"/>
        <item m="1" x="68"/>
        <item m="1" x="75"/>
        <item m="1" x="39"/>
        <item m="1" x="14"/>
        <item m="1" x="61"/>
        <item x="0"/>
        <item m="1" x="17"/>
        <item m="1" x="88"/>
        <item m="1" x="57"/>
        <item m="1" x="31"/>
        <item m="1" x="96"/>
        <item m="1" x="26"/>
        <item m="1" x="64"/>
        <item m="1" x="73"/>
        <item m="1" x="21"/>
        <item m="1" x="97"/>
        <item m="1" x="32"/>
        <item m="1" x="50"/>
        <item m="1" x="25"/>
        <item m="1" x="7"/>
        <item m="1" x="82"/>
        <item m="1" x="33"/>
        <item m="1" x="67"/>
        <item m="1" x="6"/>
        <item m="1" x="86"/>
        <item m="1" x="59"/>
        <item m="1" x="80"/>
        <item m="1" x="19"/>
        <item m="1" x="3"/>
        <item m="1" x="98"/>
        <item m="1" x="95"/>
        <item m="1" x="85"/>
        <item m="1" x="10"/>
        <item m="1" x="30"/>
        <item m="1" x="60"/>
        <item m="1" x="74"/>
        <item m="1" x="81"/>
        <item m="1" x="5"/>
        <item m="1" x="45"/>
        <item t="default"/>
      </items>
    </pivotField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"/>
  </rowFields>
  <rowItems count="1">
    <i t="grand">
      <x/>
    </i>
  </rowItems>
  <colItems count="1">
    <i/>
  </colItems>
  <pageFields count="1">
    <pageField fld="11" hier="-1"/>
  </pageFields>
  <dataFields count="1">
    <dataField name="Nombre de Référant" fld="6" subtotal="count" baseField="0" baseItem="0"/>
  </dataFields>
  <formats count="11">
    <format dxfId="519">
      <pivotArea type="all" dataOnly="0" outline="0" fieldPosition="0"/>
    </format>
    <format dxfId="518">
      <pivotArea collapsedLevelsAreSubtotals="1" fieldPosition="0">
        <references count="1">
          <reference field="6" count="1">
            <x v="36"/>
          </reference>
        </references>
      </pivotArea>
    </format>
    <format dxfId="517">
      <pivotArea dataOnly="0" labelOnly="1" fieldPosition="0">
        <references count="1">
          <reference field="6" count="1">
            <x v="36"/>
          </reference>
        </references>
      </pivotArea>
    </format>
    <format dxfId="516">
      <pivotArea collapsedLevelsAreSubtotals="1" fieldPosition="0">
        <references count="1">
          <reference field="6" count="1">
            <x v="7"/>
          </reference>
        </references>
      </pivotArea>
    </format>
    <format dxfId="515">
      <pivotArea dataOnly="0" labelOnly="1" fieldPosition="0">
        <references count="1">
          <reference field="6" count="1">
            <x v="7"/>
          </reference>
        </references>
      </pivotArea>
    </format>
    <format dxfId="514">
      <pivotArea collapsedLevelsAreSubtotals="1" fieldPosition="0">
        <references count="1">
          <reference field="6" count="1">
            <x v="54"/>
          </reference>
        </references>
      </pivotArea>
    </format>
    <format dxfId="513">
      <pivotArea dataOnly="0" labelOnly="1" fieldPosition="0">
        <references count="1">
          <reference field="6" count="1">
            <x v="54"/>
          </reference>
        </references>
      </pivotArea>
    </format>
    <format dxfId="512">
      <pivotArea collapsedLevelsAreSubtotals="1" fieldPosition="0">
        <references count="1">
          <reference field="6" count="1">
            <x v="55"/>
          </reference>
        </references>
      </pivotArea>
    </format>
    <format dxfId="511">
      <pivotArea dataOnly="0" labelOnly="1" fieldPosition="0">
        <references count="1">
          <reference field="6" count="1">
            <x v="55"/>
          </reference>
        </references>
      </pivotArea>
    </format>
    <format dxfId="510">
      <pivotArea collapsedLevelsAreSubtotals="1" fieldPosition="0">
        <references count="1">
          <reference field="6" count="1">
            <x v="57"/>
          </reference>
        </references>
      </pivotArea>
    </format>
    <format dxfId="509">
      <pivotArea dataOnly="0" labelOnly="1" fieldPosition="0">
        <references count="1">
          <reference field="6" count="1">
            <x v="57"/>
          </reference>
        </references>
      </pivotArea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8.xml><?xml version="1.0" encoding="utf-8"?>
<pivotTableDefinition xmlns="http://schemas.openxmlformats.org/spreadsheetml/2006/main" name="Tableau croisé dynamique2" cacheId="98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3">
  <location ref="N4:O6" firstHeaderRow="1" firstDataRow="1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axis="axisRow" dataField="1" showAll="0" defaultSubtotal="0">
      <items count="1">
        <item x="0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5"/>
  </rowFields>
  <rowItems count="2">
    <i>
      <x/>
    </i>
    <i t="grand">
      <x/>
    </i>
  </rowItems>
  <colItems count="1">
    <i/>
  </colItems>
  <pageFields count="1">
    <pageField fld="0" hier="-1"/>
  </pageFields>
  <dataFields count="1">
    <dataField name="Nombre de Intervention-activité par type" fld="15" subtotal="count" showDataAs="percentOfCol" baseField="0" baseItem="0" numFmtId="9"/>
  </dataFields>
  <formats count="1">
    <format dxfId="494">
      <pivotArea outline="0" collapsedLevelsAreSubtotals="1" fieldPosition="0"/>
    </format>
  </formats>
  <chartFormats count="1">
    <chartFormat chart="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5" cacheId="98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3">
  <location ref="A22:B24" firstHeaderRow="1" firstDataRow="1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dataField="1" showAll="0"/>
    <pivotField axis="axisRow" showAll="0">
      <items count="2">
        <item x="0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4"/>
  </rowFields>
  <rowItems count="2">
    <i>
      <x/>
    </i>
    <i t="grand">
      <x/>
    </i>
  </rowItems>
  <colItems count="1">
    <i/>
  </colItems>
  <pageFields count="1">
    <pageField fld="0" hier="-1"/>
  </pageFields>
  <dataFields count="1">
    <dataField name="Nombre de Intervention" fld="13" subtotal="count" showDataAs="percentOfCol" baseField="13" baseItem="0" numFmtId="9"/>
  </dataFields>
  <formats count="1">
    <format dxfId="495">
      <pivotArea outline="0" collapsedLevelsAreSubtotals="1" fieldPosition="0"/>
    </format>
  </formats>
  <chartFormats count="1"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4" cacheId="98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">
  <location ref="A3:C15" firstHeaderRow="1" firstDataRow="2" firstDataCol="1"/>
  <pivotFields count="75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dataField="1" showAll="0"/>
    <pivotField axis="axisCol" showAll="0">
      <items count="2">
        <item x="0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4"/>
  </colFields>
  <colItems count="2">
    <i>
      <x/>
    </i>
    <i t="grand">
      <x/>
    </i>
  </colItems>
  <dataFields count="1">
    <dataField name="Nombre de Intervention" fld="13" subtotal="count" baseField="0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8" cacheId="115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3">
  <location ref="L24:M37" firstHeaderRow="1" firstDataRow="1" firstDataCol="1"/>
  <pivotFields count="3">
    <pivotField axis="axisRow" multipleItemSelectionAllowed="1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showAll="0" defaultSubtota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terventions 2017" fld="1" baseField="0" baseItem="0"/>
  </dataFields>
  <chartFormats count="7">
    <chartFormat chart="4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2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compact="0" compactData="0" multipleFieldFilters="0" chartFormat="5">
  <location ref="J4:K5" firstHeaderRow="1" firstDataRow="1" firstDataCol="1" rowPageCount="1" colPageCount="1"/>
  <pivotFields count="75">
    <pivotField axis="axisPage" compact="0" outline="0" multipleItemSelectionAllowed="1" showAll="0" includeNewItemsInFilter="1">
      <items count="34">
        <item m="1" x="23"/>
        <item m="1" x="25"/>
        <item m="1" x="15"/>
        <item m="1" x="28"/>
        <item h="1" x="13"/>
        <item m="1" x="26"/>
        <item m="1" x="18"/>
        <item m="1" x="21"/>
        <item m="1" x="17"/>
        <item m="1" x="20"/>
        <item m="1" x="14"/>
        <item h="1" m="1" x="30"/>
        <item h="1" m="1" x="31"/>
        <item m="1" x="16"/>
        <item h="1" m="1" x="19"/>
        <item m="1" x="27"/>
        <item m="1" x="24"/>
        <item m="1" x="22"/>
        <item x="0"/>
        <item x="1"/>
        <item x="2"/>
        <item x="3"/>
        <item x="4"/>
        <item m="1" x="32"/>
        <item x="5"/>
        <item x="6"/>
        <item x="7"/>
        <item m="1" x="29"/>
        <item x="8"/>
        <item x="9"/>
        <item h="1" x="10"/>
        <item h="1" x="11"/>
        <item h="1" x="1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>
      <items count="64">
        <item m="1" x="12"/>
        <item m="1" x="53"/>
        <item m="1" x="25"/>
        <item m="1" x="49"/>
        <item m="1" x="19"/>
        <item m="1" x="8"/>
        <item m="1" x="60"/>
        <item m="1" x="17"/>
        <item m="1" x="10"/>
        <item m="1" x="14"/>
        <item m="1" x="24"/>
        <item m="1" x="2"/>
        <item m="1" x="52"/>
        <item m="1" x="41"/>
        <item m="1" x="46"/>
        <item m="1" x="47"/>
        <item m="1" x="16"/>
        <item m="1" x="13"/>
        <item m="1" x="56"/>
        <item m="1" x="26"/>
        <item m="1" x="48"/>
        <item m="1" x="21"/>
        <item x="0"/>
        <item m="1" x="38"/>
        <item m="1" x="31"/>
        <item m="1" x="29"/>
        <item m="1" x="1"/>
        <item m="1" x="59"/>
        <item m="1" x="5"/>
        <item m="1" x="58"/>
        <item m="1" x="35"/>
        <item m="1" x="54"/>
        <item m="1" x="43"/>
        <item m="1" x="39"/>
        <item m="1" x="40"/>
        <item m="1" x="36"/>
        <item m="1" x="34"/>
        <item m="1" x="3"/>
        <item m="1" x="30"/>
        <item m="1" x="20"/>
        <item m="1" x="11"/>
        <item m="1" x="51"/>
        <item m="1" x="28"/>
        <item m="1" x="33"/>
        <item m="1" x="37"/>
        <item m="1" x="44"/>
        <item m="1" x="4"/>
        <item m="1" x="55"/>
        <item m="1" x="23"/>
        <item m="1" x="62"/>
        <item m="1" x="15"/>
        <item m="1" x="32"/>
        <item m="1" x="45"/>
        <item m="1" x="6"/>
        <item m="1" x="18"/>
        <item m="1" x="57"/>
        <item m="1" x="22"/>
        <item m="1" x="7"/>
        <item m="1" x="61"/>
        <item m="1" x="42"/>
        <item m="1" x="9"/>
        <item m="1" x="50"/>
        <item m="1" x="27"/>
        <item t="default"/>
      </items>
    </pivotField>
    <pivotField compact="0" outline="0" showAll="0" defaultSubtotal="0"/>
    <pivotField compact="0" outline="0" showAll="0"/>
    <pivotField compact="0" outline="0" showAll="0"/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axis="axisRow" dataField="1" compact="0" outline="0" showAll="0" includeNewItemsInFilter="1">
      <items count="4">
        <item x="1"/>
        <item h="1" m="1" x="2"/>
        <item h="1"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compact="0" outline="0" showAll="0" defaultSubtotal="0">
      <items count="3">
        <item x="1"/>
        <item x="0"/>
        <item x="2"/>
      </items>
    </pivotField>
    <pivotField compact="0" outline="0" dragToRow="0" dragToCol="0" dragToPage="0" showAll="0" defaultSubtotal="0"/>
  </pivotFields>
  <rowFields count="1">
    <field x="17"/>
  </rowFields>
  <rowItems count="1">
    <i t="grand">
      <x/>
    </i>
  </rowItems>
  <colItems count="1">
    <i/>
  </colItems>
  <pageFields count="1">
    <pageField fld="0" hier="-1"/>
  </pageFields>
  <dataFields count="1">
    <dataField name="Nombre de valves - activité2" fld="17" subtotal="count" baseField="0" baseItem="0"/>
  </dataFields>
  <formats count="5">
    <format dxfId="486">
      <pivotArea type="all" dataOnly="0" outline="0" fieldPosition="0"/>
    </format>
    <format dxfId="485">
      <pivotArea field="0" type="button" dataOnly="0" labelOnly="1" outline="0" axis="axisPage" fieldPosition="0"/>
    </format>
    <format dxfId="484">
      <pivotArea dataOnly="0" labelOnly="1" outline="0" fieldPosition="0">
        <references count="1">
          <reference field="0" count="0"/>
        </references>
      </pivotArea>
    </format>
    <format dxfId="483">
      <pivotArea field="17" type="button" dataOnly="0" labelOnly="1" outline="0" axis="axisRow" fieldPosition="0"/>
    </format>
    <format dxfId="482">
      <pivotArea dataOnly="0" labelOnly="1" outline="0" axis="axisValues" fieldPosition="0"/>
    </format>
  </formats>
  <chartFormats count="1">
    <chartFormat chart="1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13.xml><?xml version="1.0" encoding="utf-8"?>
<pivotTableDefinition xmlns="http://schemas.openxmlformats.org/spreadsheetml/2006/main" name="Tableau croisé dynamique1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 chartFormat="2">
  <location ref="A3:C17" firstHeaderRow="1" firstDataRow="2" firstDataCol="1"/>
  <pivotFields count="75">
    <pivotField axis="axisRow" compact="0" outline="0" showAll="0">
      <items count="34">
        <item h="1" m="1" x="23"/>
        <item h="1" m="1" x="25"/>
        <item h="1" m="1" x="15"/>
        <item h="1" m="1" x="28"/>
        <item h="1" x="13"/>
        <item h="1" m="1" x="26"/>
        <item h="1" m="1" x="18"/>
        <item h="1" m="1" x="21"/>
        <item h="1" m="1" x="17"/>
        <item h="1" m="1" x="20"/>
        <item h="1" m="1" x="14"/>
        <item h="1" m="1" x="30"/>
        <item h="1" m="1" x="31"/>
        <item h="1" m="1" x="16"/>
        <item h="1" m="1" x="19"/>
        <item h="1" m="1" x="27"/>
        <item h="1" m="1" x="24"/>
        <item h="1" m="1" x="22"/>
        <item x="0"/>
        <item x="1"/>
        <item x="2"/>
        <item x="3"/>
        <item x="4"/>
        <item h="1" m="1" x="32"/>
        <item x="5"/>
        <item x="6"/>
        <item x="7"/>
        <item h="1" m="1" x="29"/>
        <item x="8"/>
        <item x="9"/>
        <item h="1" x="10"/>
        <item x="11"/>
        <item x="1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>
      <items count="64">
        <item m="1" x="12"/>
        <item m="1" x="53"/>
        <item m="1" x="25"/>
        <item m="1" x="49"/>
        <item m="1" x="19"/>
        <item m="1" x="8"/>
        <item m="1" x="60"/>
        <item m="1" x="17"/>
        <item m="1" x="10"/>
        <item m="1" x="14"/>
        <item m="1" x="24"/>
        <item m="1" x="2"/>
        <item m="1" x="52"/>
        <item m="1" x="41"/>
        <item m="1" x="46"/>
        <item m="1" x="47"/>
        <item m="1" x="16"/>
        <item m="1" x="13"/>
        <item m="1" x="56"/>
        <item m="1" x="26"/>
        <item m="1" x="48"/>
        <item m="1" x="21"/>
        <item x="0"/>
        <item m="1" x="38"/>
        <item m="1" x="31"/>
        <item m="1" x="29"/>
        <item m="1" x="1"/>
        <item m="1" x="59"/>
        <item m="1" x="5"/>
        <item m="1" x="58"/>
        <item m="1" x="35"/>
        <item m="1" x="54"/>
        <item m="1" x="43"/>
        <item m="1" x="39"/>
        <item m="1" x="40"/>
        <item m="1" x="36"/>
        <item m="1" x="34"/>
        <item m="1" x="3"/>
        <item m="1" x="30"/>
        <item m="1" x="20"/>
        <item m="1" x="11"/>
        <item m="1" x="51"/>
        <item m="1" x="28"/>
        <item m="1" x="33"/>
        <item m="1" x="37"/>
        <item m="1" x="44"/>
        <item m="1" x="4"/>
        <item m="1" x="55"/>
        <item m="1" x="23"/>
        <item m="1" x="62"/>
        <item m="1" x="15"/>
        <item m="1" x="32"/>
        <item m="1" x="45"/>
        <item m="1" x="6"/>
        <item m="1" x="18"/>
        <item m="1" x="57"/>
        <item m="1" x="22"/>
        <item m="1" x="7"/>
        <item m="1" x="61"/>
        <item m="1" x="42"/>
        <item m="1" x="9"/>
        <item m="1" x="50"/>
        <item m="1" x="27"/>
        <item t="default"/>
      </items>
    </pivotField>
    <pivotField compact="0" outline="0" showAll="0" defaultSubtotal="0"/>
    <pivotField compact="0" outline="0" showAll="0"/>
    <pivotField compact="0" outline="0" showAll="0"/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axis="axisCol" dataField="1" compact="0" outline="0" showAll="0" includeNewItemsInFilter="1" sortType="ascending">
      <items count="4">
        <item m="1"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compact="0" outline="0" showAll="0" defaultSubtotal="0">
      <items count="3">
        <item x="1"/>
        <item x="0"/>
        <item x="2"/>
      </items>
    </pivotField>
    <pivotField compact="0" outline="0" dragToRow="0" dragToCol="0" dragToPage="0" showAll="0" defaultSubtotal="0"/>
  </pivotFields>
  <rowFields count="1">
    <field x="0"/>
  </rowFields>
  <rowItems count="13">
    <i>
      <x v="18"/>
    </i>
    <i>
      <x v="19"/>
    </i>
    <i>
      <x v="20"/>
    </i>
    <i>
      <x v="21"/>
    </i>
    <i>
      <x v="22"/>
    </i>
    <i>
      <x v="24"/>
    </i>
    <i>
      <x v="25"/>
    </i>
    <i>
      <x v="26"/>
    </i>
    <i>
      <x v="28"/>
    </i>
    <i>
      <x v="29"/>
    </i>
    <i>
      <x v="31"/>
    </i>
    <i>
      <x v="32"/>
    </i>
    <i t="grand">
      <x/>
    </i>
  </rowItems>
  <colFields count="1">
    <field x="17"/>
  </colFields>
  <colItems count="2">
    <i>
      <x v="1"/>
    </i>
    <i t="grand">
      <x/>
    </i>
  </colItems>
  <dataFields count="1">
    <dataField name="Nombre de valves - activité" fld="17" subtotal="count" baseField="0" baseItem="18"/>
  </dataFields>
  <formats count="7">
    <format dxfId="493">
      <pivotArea type="all" dataOnly="0" outline="0" fieldPosition="0"/>
    </format>
    <format dxfId="492">
      <pivotArea type="origin" dataOnly="0" labelOnly="1" outline="0" fieldPosition="0"/>
    </format>
    <format dxfId="491">
      <pivotArea field="0" type="button" dataOnly="0" labelOnly="1" outline="0" axis="axisRow" fieldPosition="0"/>
    </format>
    <format dxfId="490">
      <pivotArea field="17" type="button" dataOnly="0" labelOnly="1" outline="0" axis="axisCol" fieldPosition="0"/>
    </format>
    <format dxfId="489">
      <pivotArea type="topRight" dataOnly="0" labelOnly="1" outline="0" fieldPosition="0"/>
    </format>
    <format dxfId="488">
      <pivotArea dataOnly="0" labelOnly="1" fieldPosition="0">
        <references count="1">
          <reference field="17" count="0"/>
        </references>
      </pivotArea>
    </format>
    <format dxfId="487">
      <pivotArea dataOnly="0" labelOnly="1" grandCol="1" outline="0" fieldPosition="0"/>
    </format>
  </formats>
  <chartFormats count="3">
    <chartFormat chart="1" format="13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2"/>
          </reference>
        </references>
      </pivotArea>
    </chartFormat>
    <chartFormat chart="1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3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14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chartFormat="5" fieldListSortAscending="1">
  <location ref="A3:H4" firstHeaderRow="1" firstDataRow="2" firstDataCol="0"/>
  <pivotFields count="75">
    <pivotField axis="axisCol" multipleItemSelectionAllowed="1" showAll="0" sortType="ascending">
      <items count="15">
        <item x="0"/>
        <item x="1"/>
        <item x="2"/>
        <item x="3"/>
        <item x="4"/>
        <item x="5"/>
        <item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multipleItemSelectionAllowed="1" showAll="0"/>
    <pivotField showAll="0"/>
    <pivotField multipleItemSelectionAllowed="1" showAll="0" includeNewItemsInFilter="1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0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formats count="1">
    <format dxfId="465">
      <pivotArea outline="0" collapsedLevelsAreSubtotals="1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3" cacheId="98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">
  <location ref="G49:H51" firstHeaderRow="1" firstDataRow="2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axis="axisCol" showAll="0">
      <items count="4">
        <item m="1" x="1"/>
        <item m="1" x="2"/>
        <item h="1" x="0"/>
        <item t="default"/>
      </items>
    </pivotField>
    <pivotField showAll="0"/>
    <pivotField axis="axisRow" dataField="1" showAll="0">
      <items count="6">
        <item h="1" x="0"/>
        <item m="1" x="2"/>
        <item m="1" x="4"/>
        <item m="1" x="1"/>
        <item m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1"/>
  </rowFields>
  <rowItems count="1">
    <i t="grand">
      <x/>
    </i>
  </rowItems>
  <colFields count="1">
    <field x="39"/>
  </colFields>
  <colItems count="1">
    <i t="grand">
      <x/>
    </i>
  </colItems>
  <pageFields count="1">
    <pageField fld="0" hier="-1"/>
  </pageFields>
  <dataFields count="1">
    <dataField name="Nombre de Délai intervention" fld="41" subtotal="count" showDataAs="percentOfRow" baseField="41" baseItem="1" numFmtId="10"/>
  </dataFields>
  <formats count="3">
    <format dxfId="468">
      <pivotArea dataOnly="0" labelOnly="1" fieldPosition="0">
        <references count="1">
          <reference field="41" count="0"/>
        </references>
      </pivotArea>
    </format>
    <format dxfId="467">
      <pivotArea dataOnly="0" labelOnly="1" grandCol="1" outline="0" fieldPosition="0"/>
    </format>
    <format dxfId="466">
      <pivotArea outline="0" fieldPosition="0">
        <references count="1">
          <reference field="4294967294" count="1">
            <x v="0"/>
          </reference>
        </references>
      </pivotArea>
    </format>
  </formats>
  <chartFormats count="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1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1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1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41" count="1" selected="0">
            <x v="4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39" count="1" selected="0">
            <x v="1"/>
          </reference>
          <reference field="41" count="1" selected="0">
            <x v="4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0"/>
          </reference>
          <reference field="39" count="1" selected="0">
            <x v="1"/>
          </reference>
          <reference field="41" count="1" selected="0">
            <x v="3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39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39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2" cacheId="98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G29:H30" firstHeaderRow="1" firstDataRow="1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axis="axisRow" showAll="0">
      <items count="4">
        <item m="1" x="1"/>
        <item m="1" x="2"/>
        <item h="1" x="0"/>
        <item t="default"/>
      </items>
    </pivotField>
    <pivotField showAll="0"/>
    <pivotField axis="axisRow" dataField="1" showAll="0">
      <items count="6">
        <item h="1" x="0"/>
        <item m="1" x="2"/>
        <item m="1" x="4"/>
        <item m="1" x="1"/>
        <item m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41"/>
    <field x="39"/>
  </rowFields>
  <rowItems count="1">
    <i t="grand">
      <x/>
    </i>
  </rowItems>
  <colItems count="1">
    <i/>
  </colItems>
  <pageFields count="1">
    <pageField fld="0" hier="-1"/>
  </pageFields>
  <dataFields count="1">
    <dataField name="Nombre de Délai intervention" fld="4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chartFormat="7" fieldListSortAscending="1">
  <location ref="A33:B37" firstHeaderRow="1" firstDataRow="1" firstDataCol="1" rowPageCount="1" colPageCount="1"/>
  <pivotFields count="75">
    <pivotField axis="axisPage" multipleItemSelectionAllowed="1" showAll="0" sortType="ascending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multipleItemSelectionAllowed="1" showAll="0"/>
    <pivotField showAll="0"/>
    <pivotField multipleItemSelectionAllowed="1" showAll="0" includeNewItemsInFilter="1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axis="axisRow" dataField="1" showAll="0" defaultSubtotal="0">
      <items count="6">
        <item x="4"/>
        <item x="0"/>
        <item x="1"/>
        <item x="3"/>
        <item x="2"/>
        <item m="1" x="5"/>
      </items>
    </pivotField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7"/>
  </rowFields>
  <rowItems count="4">
    <i>
      <x v="1"/>
    </i>
    <i>
      <x v="2"/>
    </i>
    <i>
      <x v="3"/>
    </i>
    <i>
      <x v="4"/>
    </i>
  </rowItems>
  <colItems count="1">
    <i/>
  </colItems>
  <pageFields count="1">
    <pageField fld="0" hier="-1"/>
  </pageFields>
  <dataFields count="1">
    <dataField name="Nombre de délai intervention5" fld="57" subtotal="count" showDataAs="percentOfCol" baseField="57" baseItem="1" numFmtId="10"/>
  </dataFields>
  <formats count="2">
    <format dxfId="470">
      <pivotArea outline="0" fieldPosition="0">
        <references count="1">
          <reference field="4294967294" count="1">
            <x v="0"/>
          </reference>
        </references>
      </pivotArea>
    </format>
    <format dxfId="469">
      <pivotArea outline="0" collapsedLevelsAreSubtotals="1" fieldPosition="0"/>
    </format>
  </formats>
  <chartFormats count="1">
    <chartFormat chart="6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chartFormat="14" fieldListSortAscending="1">
  <location ref="A42:B54" firstHeaderRow="1" firstDataRow="1" firstDataCol="1" rowPageCount="1" colPageCount="1"/>
  <pivotFields count="75">
    <pivotField axis="axisPage" multipleItemSelectionAllowed="1" showAll="0" sortType="ascending">
      <items count="15">
        <item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axis="axisRow" multipleItemSelectionAllowed="1" showAll="0">
      <items count="8">
        <item h="1" m="1" x="6"/>
        <item h="1" m="1" x="3"/>
        <item h="1" x="2"/>
        <item h="1" m="1" x="5"/>
        <item h="1" m="1" x="4"/>
        <item x="0"/>
        <item x="1"/>
        <item t="default"/>
      </items>
    </pivotField>
    <pivotField showAll="0"/>
    <pivotField multipleItemSelectionAllowed="1" showAll="0" includeNewItemsInFilter="1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axis="axisRow" dataField="1" showAll="0" defaultSubtotal="0">
      <items count="6">
        <item x="4"/>
        <item x="0"/>
        <item x="1"/>
        <item x="3"/>
        <item x="2"/>
        <item m="1" x="5"/>
      </items>
    </pivotField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57"/>
    <field x="39"/>
  </rowFields>
  <rowItems count="12">
    <i>
      <x v="1"/>
    </i>
    <i r="1">
      <x v="5"/>
    </i>
    <i r="1">
      <x v="6"/>
    </i>
    <i>
      <x v="2"/>
    </i>
    <i r="1">
      <x v="5"/>
    </i>
    <i r="1">
      <x v="6"/>
    </i>
    <i>
      <x v="3"/>
    </i>
    <i r="1">
      <x v="5"/>
    </i>
    <i r="1">
      <x v="6"/>
    </i>
    <i>
      <x v="4"/>
    </i>
    <i r="1">
      <x v="5"/>
    </i>
    <i r="1">
      <x v="6"/>
    </i>
  </rowItems>
  <colItems count="1">
    <i/>
  </colItems>
  <pageFields count="1">
    <pageField fld="0" hier="-1"/>
  </pageFields>
  <dataFields count="1">
    <dataField name="Nombre de délai intervention5" fld="57" subtotal="count" showDataAs="percentOfCol" baseField="39" baseItem="5" numFmtId="10"/>
  </dataFields>
  <formats count="9">
    <format dxfId="479">
      <pivotArea outline="0" collapsedLevelsAreSubtotals="1" fieldPosition="0"/>
    </format>
    <format dxfId="478">
      <pivotArea outline="0" fieldPosition="0">
        <references count="1">
          <reference field="4294967294" count="1">
            <x v="0"/>
          </reference>
        </references>
      </pivotArea>
    </format>
    <format dxfId="477">
      <pivotArea collapsedLevelsAreSubtotals="1" fieldPosition="0">
        <references count="2">
          <reference field="39" count="0"/>
          <reference field="57" count="1" selected="0">
            <x v="1"/>
          </reference>
        </references>
      </pivotArea>
    </format>
    <format dxfId="476">
      <pivotArea collapsedLevelsAreSubtotals="1" fieldPosition="0">
        <references count="1">
          <reference field="57" count="1">
            <x v="2"/>
          </reference>
        </references>
      </pivotArea>
    </format>
    <format dxfId="475">
      <pivotArea collapsedLevelsAreSubtotals="1" fieldPosition="0">
        <references count="2">
          <reference field="39" count="0"/>
          <reference field="57" count="1" selected="0">
            <x v="2"/>
          </reference>
        </references>
      </pivotArea>
    </format>
    <format dxfId="474">
      <pivotArea collapsedLevelsAreSubtotals="1" fieldPosition="0">
        <references count="1">
          <reference field="57" count="1">
            <x v="3"/>
          </reference>
        </references>
      </pivotArea>
    </format>
    <format dxfId="473">
      <pivotArea collapsedLevelsAreSubtotals="1" fieldPosition="0">
        <references count="2">
          <reference field="39" count="0"/>
          <reference field="57" count="1" selected="0">
            <x v="3"/>
          </reference>
        </references>
      </pivotArea>
    </format>
    <format dxfId="472">
      <pivotArea collapsedLevelsAreSubtotals="1" fieldPosition="0">
        <references count="1">
          <reference field="57" count="1">
            <x v="4"/>
          </reference>
        </references>
      </pivotArea>
    </format>
    <format dxfId="471">
      <pivotArea collapsedLevelsAreSubtotals="1" fieldPosition="0">
        <references count="2">
          <reference field="39" count="0"/>
          <reference field="57" count="1" selected="0">
            <x v="4"/>
          </reference>
        </references>
      </pivotArea>
    </format>
  </formats>
  <chartFormats count="5">
    <chartFormat chart="5" format="24" series="1">
      <pivotArea type="data" outline="0" fieldPosition="0">
        <references count="2">
          <reference field="4294967294" count="1" selected="0">
            <x v="0"/>
          </reference>
          <reference field="57" count="1" selected="0">
            <x v="1"/>
          </reference>
        </references>
      </pivotArea>
    </chartFormat>
    <chartFormat chart="5" format="25" series="1">
      <pivotArea type="data" outline="0" fieldPosition="0">
        <references count="2">
          <reference field="4294967294" count="1" selected="0">
            <x v="0"/>
          </reference>
          <reference field="57" count="1" selected="0">
            <x v="2"/>
          </reference>
        </references>
      </pivotArea>
    </chartFormat>
    <chartFormat chart="5" format="26" series="1">
      <pivotArea type="data" outline="0" fieldPosition="0">
        <references count="2">
          <reference field="4294967294" count="1" selected="0">
            <x v="0"/>
          </reference>
          <reference field="57" count="1" selected="0">
            <x v="3"/>
          </reference>
        </references>
      </pivotArea>
    </chartFormat>
    <chartFormat chart="5" format="27" series="1">
      <pivotArea type="data" outline="0" fieldPosition="0">
        <references count="2">
          <reference field="4294967294" count="1" selected="0">
            <x v="0"/>
          </reference>
          <reference field="57" count="1" selected="0">
            <x v="4"/>
          </reference>
        </references>
      </pivotArea>
    </chartFormat>
    <chartFormat chart="5" format="2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chartFormat="3" fieldListSortAscending="1">
  <location ref="A23:B25" firstHeaderRow="1" firstDataRow="1" firstDataCol="1" rowPageCount="1" colPageCount="1"/>
  <pivotFields count="75">
    <pivotField axis="axisPage" multipleItemSelectionAllowed="1" showAll="0" sortType="ascending">
      <items count="15">
        <item x="0"/>
        <item x="1"/>
        <item x="2"/>
        <item x="3"/>
        <item x="4"/>
        <item x="5"/>
        <item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axis="axisRow" multipleItemSelectionAllowed="1" showAll="0">
      <items count="8">
        <item m="1" x="6"/>
        <item m="1" x="3"/>
        <item x="2"/>
        <item m="1" x="5"/>
        <item m="1" x="4"/>
        <item x="0"/>
        <item x="1"/>
        <item t="default"/>
      </items>
    </pivotField>
    <pivotField showAll="0"/>
    <pivotField dataField="1" multipleItemSelectionAllowed="1" showAll="0" includeNewItemsInFilter="1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9"/>
  </rowFields>
  <rowItems count="2">
    <i>
      <x v="5"/>
    </i>
    <i>
      <x v="6"/>
    </i>
  </rowItems>
  <colItems count="1">
    <i/>
  </colItems>
  <pageFields count="1">
    <pageField fld="0" hier="-1"/>
  </pageFields>
  <dataFields count="1">
    <dataField name="Nombre de Délai intervention" fld="41" subtotal="count" baseField="0" baseItem="0"/>
  </dataFields>
  <formats count="1">
    <format dxfId="48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chartFormat="9" fieldListSortAscending="1">
  <location ref="A14" firstHeaderRow="0" firstDataRow="0" firstDataCol="0" rowPageCount="1" colPageCount="1"/>
  <pivotFields count="75">
    <pivotField axis="axisPage" multipleItemSelectionAllowed="1" showAll="0" sortType="ascending">
      <items count="15">
        <item x="0"/>
        <item x="1"/>
        <item x="2"/>
        <item x="3"/>
        <item x="4"/>
        <item x="5"/>
        <item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multipleItemSelectionAllowed="1" showAll="0"/>
    <pivotField showAll="0"/>
    <pivotField multipleItemSelectionAllowed="1" showAll="0" includeNewItemsInFilter="1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hier="-1"/>
  </pageFields>
  <formats count="1">
    <format dxfId="481">
      <pivotArea outline="0" collapsedLevelsAreSubtotals="1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Tableau croisé dynamique1" cacheId="10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57" firstHeaderRow="0" firstDataRow="0" firstDataCol="0" rowPageCount="1" colPageCount="1"/>
  <pivotFields count="75"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Tableau croisé dynamique3" cacheId="149" applyNumberFormats="0" applyBorderFormats="0" applyFontFormats="0" applyPatternFormats="0" applyAlignmentFormats="0" applyWidthHeightFormats="1" dataCaption="Valeurs" showMissing="0" updatedVersion="6" minRefreshableVersion="3" useAutoFormatting="1" itemPrintTitles="1" createdVersion="4" indent="0" outline="1" outlineData="1" multipleFieldFilters="0" chartFormat="46" fieldListSortAscending="1">
  <location ref="G4:H5" firstHeaderRow="1" firstDataRow="1" firstDataCol="1" rowPageCount="1" colPageCount="1"/>
  <pivotFields count="75">
    <pivotField axis="axisPage" multipleItemSelectionAllowed="1" showAll="0" includeNewItemsInFilter="1">
      <items count="34">
        <item m="1" x="23"/>
        <item m="1" x="25"/>
        <item m="1" x="15"/>
        <item m="1" x="28"/>
        <item h="1" x="13"/>
        <item m="1" x="26"/>
        <item m="1" x="18"/>
        <item m="1" x="21"/>
        <item h="1" m="1" x="17"/>
        <item m="1" x="20"/>
        <item m="1" x="14"/>
        <item h="1" m="1" x="30"/>
        <item h="1" m="1" x="31"/>
        <item m="1" x="16"/>
        <item h="1" m="1" x="19"/>
        <item m="1" x="27"/>
        <item m="1" x="24"/>
        <item m="1" x="22"/>
        <item x="0"/>
        <item x="1"/>
        <item x="2"/>
        <item x="3"/>
        <item x="4"/>
        <item m="1" x="32"/>
        <item x="5"/>
        <item x="6"/>
        <item x="7"/>
        <item m="1" x="29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>
      <items count="64">
        <item m="1" x="12"/>
        <item m="1" x="53"/>
        <item m="1" x="25"/>
        <item m="1" x="49"/>
        <item m="1" x="19"/>
        <item m="1" x="8"/>
        <item m="1" x="60"/>
        <item m="1" x="17"/>
        <item m="1" x="10"/>
        <item m="1" x="14"/>
        <item m="1" x="24"/>
        <item m="1" x="2"/>
        <item m="1" x="52"/>
        <item m="1" x="41"/>
        <item m="1" x="46"/>
        <item m="1" x="47"/>
        <item m="1" x="16"/>
        <item m="1" x="13"/>
        <item m="1" x="56"/>
        <item m="1" x="26"/>
        <item m="1" x="48"/>
        <item m="1" x="21"/>
        <item x="0"/>
        <item m="1" x="38"/>
        <item m="1" x="31"/>
        <item m="1" x="29"/>
        <item m="1" x="1"/>
        <item m="1" x="59"/>
        <item m="1" x="5"/>
        <item m="1" x="58"/>
        <item m="1" x="35"/>
        <item m="1" x="54"/>
        <item m="1" x="43"/>
        <item m="1" x="39"/>
        <item m="1" x="40"/>
        <item m="1" x="36"/>
        <item m="1" x="34"/>
        <item m="1" x="3"/>
        <item m="1" x="30"/>
        <item m="1" x="20"/>
        <item m="1" x="11"/>
        <item m="1" x="51"/>
        <item m="1" x="28"/>
        <item m="1" x="33"/>
        <item m="1" x="37"/>
        <item m="1" x="44"/>
        <item m="1" x="4"/>
        <item m="1" x="55"/>
        <item m="1" x="23"/>
        <item m="1" x="62"/>
        <item m="1" x="15"/>
        <item m="1" x="32"/>
        <item m="1" x="45"/>
        <item m="1" x="6"/>
        <item m="1" x="18"/>
        <item m="1" x="57"/>
        <item m="1" x="22"/>
        <item m="1" x="7"/>
        <item m="1" x="61"/>
        <item m="1" x="42"/>
        <item m="1" x="9"/>
        <item m="1" x="50"/>
        <item m="1" x="27"/>
        <item t="default"/>
      </items>
    </pivotField>
    <pivotField showAll="0" defaultSubtota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Row" dataField="1" showAll="0" includeNewItemsInFilter="1">
      <items count="8">
        <item h="1" m="1" x="3"/>
        <item h="1" m="1" x="6"/>
        <item h="1" x="0"/>
        <item h="1" m="1" x="2"/>
        <item h="1" m="1" x="4"/>
        <item m="1" x="1"/>
        <item m="1" x="5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39"/>
  </rowFields>
  <rowItems count="1">
    <i t="grand">
      <x/>
    </i>
  </rowItems>
  <colItems count="1">
    <i/>
  </colItems>
  <pageFields count="1">
    <pageField fld="0" hier="-1"/>
  </pageFields>
  <dataFields count="1">
    <dataField name="% TOTAL" fld="39" subtotal="count" baseField="0" baseItem="0"/>
  </dataFields>
  <formats count="12">
    <format dxfId="448">
      <pivotArea field="39" type="button" dataOnly="0" labelOnly="1" outline="0" axis="axisRow" fieldPosition="0"/>
    </format>
    <format dxfId="447">
      <pivotArea field="-2" type="button" dataOnly="0" labelOnly="1" outline="0" axis="axisValues" fieldPosition="0"/>
    </format>
    <format dxfId="446">
      <pivotArea type="topRight" dataOnly="0" labelOnly="1" outline="0" fieldPosition="0"/>
    </format>
    <format dxfId="445">
      <pivotArea type="topRight" dataOnly="0" labelOnly="1" outline="0" offset="C1:D1" fieldPosition="0"/>
    </format>
    <format dxfId="444">
      <pivotArea field="39" dataOnly="0" labelOnly="1" grandCol="1" outline="0" axis="axisRow" fieldPosition="0">
        <references count="1">
          <reference field="4294967294" count="1" selected="0">
            <x v="0"/>
          </reference>
        </references>
      </pivotArea>
    </format>
    <format dxfId="443">
      <pivotArea type="topRight" dataOnly="0" labelOnly="1" outline="0" offset="E1:F1" fieldPosition="0"/>
    </format>
    <format dxfId="442">
      <pivotArea outline="0" fieldPosition="0">
        <references count="1">
          <reference field="4294967294" count="1">
            <x v="0"/>
          </reference>
        </references>
      </pivotArea>
    </format>
    <format dxfId="441">
      <pivotArea type="all" dataOnly="0" outline="0" fieldPosition="0"/>
    </format>
    <format dxfId="440">
      <pivotArea field="0" type="button" dataOnly="0" labelOnly="1" outline="0" axis="axisPage" fieldPosition="0"/>
    </format>
    <format dxfId="439">
      <pivotArea dataOnly="0" labelOnly="1" outline="0" fieldPosition="0">
        <references count="1">
          <reference field="0" count="0"/>
        </references>
      </pivotArea>
    </format>
    <format dxfId="438">
      <pivotArea field="39" type="button" dataOnly="0" labelOnly="1" outline="0" axis="axisRow" fieldPosition="0"/>
    </format>
    <format dxfId="437">
      <pivotArea dataOnly="0" labelOnly="1" outline="0" axis="axisValues" fieldPosition="0"/>
    </format>
  </formats>
  <chartFormats count="6">
    <chartFormat chart="3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6">
      <pivotArea type="data" outline="0" fieldPosition="0">
        <references count="2">
          <reference field="4294967294" count="1" selected="0">
            <x v="0"/>
          </reference>
          <reference field="39" count="1" selected="0">
            <x v="0"/>
          </reference>
        </references>
      </pivotArea>
    </chartFormat>
    <chartFormat chart="3" format="7">
      <pivotArea type="data" outline="0" fieldPosition="0">
        <references count="2">
          <reference field="4294967294" count="1" selected="0">
            <x v="0"/>
          </reference>
          <reference field="39" count="1" selected="0">
            <x v="1"/>
          </reference>
        </references>
      </pivotArea>
    </chartFormat>
    <chartFormat chart="3" format="7">
      <pivotArea type="data" outline="0" fieldPosition="0">
        <references count="2">
          <reference field="4294967294" count="1" selected="0">
            <x v="0"/>
          </reference>
          <reference field="39" count="1" selected="0">
            <x v="1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39" count="1" selected="0">
            <x v="2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3.xml><?xml version="1.0" encoding="utf-8"?>
<pivotTableDefinition xmlns="http://schemas.openxmlformats.org/spreadsheetml/2006/main" name="Tableau croisé dynamique1" cacheId="149" applyNumberFormats="0" applyBorderFormats="0" applyFontFormats="0" applyPatternFormats="0" applyAlignmentFormats="0" applyWidthHeightFormats="1" dataCaption="Valeurs" showMissing="0" updatedVersion="6" minRefreshableVersion="3" useAutoFormatting="1" itemPrintTitles="1" createdVersion="4" indent="0" outline="1" outlineData="1" multipleFieldFilters="0" chartFormat="2" fieldListSortAscending="1">
  <location ref="A3:B5" firstHeaderRow="1" firstDataRow="2" firstDataCol="1"/>
  <pivotFields count="75">
    <pivotField axis="axisRow" showAll="0" includeNewItemsInFilter="1">
      <items count="34">
        <item h="1" m="1" x="23"/>
        <item h="1" m="1" x="25"/>
        <item h="1" m="1" x="15"/>
        <item h="1" m="1" x="28"/>
        <item h="1" x="13"/>
        <item h="1" m="1" x="26"/>
        <item h="1" m="1" x="18"/>
        <item h="1" m="1" x="21"/>
        <item h="1" m="1" x="17"/>
        <item h="1" m="1" x="20"/>
        <item h="1" m="1" x="14"/>
        <item h="1" m="1" x="30"/>
        <item h="1" m="1" x="31"/>
        <item h="1" m="1" x="16"/>
        <item h="1" m="1" x="19"/>
        <item h="1" m="1" x="27"/>
        <item h="1" m="1" x="24"/>
        <item h="1" m="1" x="22"/>
        <item x="0"/>
        <item x="1"/>
        <item x="2"/>
        <item x="3"/>
        <item x="4"/>
        <item h="1" m="1" x="32"/>
        <item x="5"/>
        <item x="6"/>
        <item x="7"/>
        <item h="1" m="1" x="29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>
      <items count="64">
        <item m="1" x="12"/>
        <item m="1" x="53"/>
        <item m="1" x="25"/>
        <item m="1" x="49"/>
        <item m="1" x="19"/>
        <item m="1" x="8"/>
        <item m="1" x="60"/>
        <item m="1" x="17"/>
        <item m="1" x="10"/>
        <item m="1" x="14"/>
        <item m="1" x="24"/>
        <item m="1" x="2"/>
        <item m="1" x="52"/>
        <item m="1" x="41"/>
        <item m="1" x="46"/>
        <item m="1" x="47"/>
        <item m="1" x="16"/>
        <item m="1" x="13"/>
        <item m="1" x="56"/>
        <item m="1" x="26"/>
        <item m="1" x="48"/>
        <item m="1" x="21"/>
        <item x="0"/>
        <item m="1" x="38"/>
        <item m="1" x="31"/>
        <item m="1" x="29"/>
        <item m="1" x="1"/>
        <item m="1" x="59"/>
        <item m="1" x="5"/>
        <item m="1" x="58"/>
        <item m="1" x="35"/>
        <item m="1" x="54"/>
        <item m="1" x="43"/>
        <item m="1" x="39"/>
        <item m="1" x="40"/>
        <item m="1" x="36"/>
        <item m="1" x="34"/>
        <item m="1" x="3"/>
        <item m="1" x="30"/>
        <item m="1" x="20"/>
        <item m="1" x="11"/>
        <item m="1" x="51"/>
        <item m="1" x="28"/>
        <item m="1" x="33"/>
        <item m="1" x="37"/>
        <item m="1" x="44"/>
        <item m="1" x="4"/>
        <item m="1" x="55"/>
        <item m="1" x="23"/>
        <item m="1" x="62"/>
        <item m="1" x="15"/>
        <item m="1" x="32"/>
        <item m="1" x="45"/>
        <item m="1" x="6"/>
        <item m="1" x="18"/>
        <item m="1" x="57"/>
        <item m="1" x="22"/>
        <item m="1" x="7"/>
        <item m="1" x="61"/>
        <item m="1" x="42"/>
        <item m="1" x="9"/>
        <item m="1" x="50"/>
        <item m="1" x="27"/>
        <item t="default"/>
      </items>
    </pivotField>
    <pivotField showAll="0" defaultSubtota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Col" dataField="1" showAll="0" includeNewItemsInFilter="1">
      <items count="8">
        <item h="1" m="1" x="3"/>
        <item h="1" m="1" x="6"/>
        <item h="1" x="0"/>
        <item h="1" m="1" x="2"/>
        <item h="1" m="1" x="4"/>
        <item m="1" x="1"/>
        <item m="1" x="5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0"/>
  </rowFields>
  <rowItems count="1">
    <i t="grand">
      <x/>
    </i>
  </rowItems>
  <colFields count="1">
    <field x="39"/>
  </colFields>
  <colItems count="1">
    <i t="grand">
      <x/>
    </i>
  </colItems>
  <dataFields count="1">
    <dataField name="Nombre de Alive" fld="39" subtotal="count" showDataAs="percentOfRow" baseField="0" baseItem="0" numFmtId="10"/>
  </dataFields>
  <formats count="16">
    <format dxfId="464">
      <pivotArea field="39" type="button" dataOnly="0" labelOnly="1" outline="0" axis="axisCol" fieldPosition="0"/>
    </format>
    <format dxfId="463">
      <pivotArea field="-2" type="button" dataOnly="0" labelOnly="1" outline="0" axis="axisValues" fieldPosition="0"/>
    </format>
    <format dxfId="462">
      <pivotArea dataOnly="0" labelOnly="1" fieldPosition="0">
        <references count="1">
          <reference field="39" count="1">
            <x v="0"/>
          </reference>
        </references>
      </pivotArea>
    </format>
    <format dxfId="461">
      <pivotArea type="topRight" dataOnly="0" labelOnly="1" outline="0" fieldPosition="0"/>
    </format>
    <format dxfId="460">
      <pivotArea dataOnly="0" labelOnly="1" fieldPosition="0">
        <references count="1">
          <reference field="39" count="1">
            <x v="1"/>
          </reference>
        </references>
      </pivotArea>
    </format>
    <format dxfId="459">
      <pivotArea type="topRight" dataOnly="0" labelOnly="1" outline="0" offset="C1:D1" fieldPosition="0"/>
    </format>
    <format dxfId="458">
      <pivotArea type="topRight" dataOnly="0" labelOnly="1" outline="0" offset="E1:F1" fieldPosition="0"/>
    </format>
    <format dxfId="457">
      <pivotArea outline="0" fieldPosition="0">
        <references count="1">
          <reference field="4294967294" count="1">
            <x v="0"/>
          </reference>
        </references>
      </pivotArea>
    </format>
    <format dxfId="456">
      <pivotArea type="all" dataOnly="0" outline="0" fieldPosition="0"/>
    </format>
    <format dxfId="455">
      <pivotArea type="origin" dataOnly="0" labelOnly="1" outline="0" fieldPosition="0"/>
    </format>
    <format dxfId="454">
      <pivotArea field="0" type="button" dataOnly="0" labelOnly="1" outline="0" axis="axisRow" fieldPosition="0"/>
    </format>
    <format dxfId="453">
      <pivotArea field="39" type="button" dataOnly="0" labelOnly="1" outline="0" axis="axisCol" fieldPosition="0"/>
    </format>
    <format dxfId="452">
      <pivotArea type="topRight" dataOnly="0" labelOnly="1" outline="0" fieldPosition="0"/>
    </format>
    <format dxfId="451">
      <pivotArea dataOnly="0" labelOnly="1" fieldPosition="0">
        <references count="1">
          <reference field="39" count="0"/>
        </references>
      </pivotArea>
    </format>
    <format dxfId="450">
      <pivotArea dataOnly="0" labelOnly="1" grandCol="1" outline="0" fieldPosition="0"/>
    </format>
    <format dxfId="449">
      <pivotArea outline="0" collapsedLevelsAreSubtotals="1" fieldPosition="0">
        <references count="1">
          <reference field="39" count="0" selected="0"/>
        </references>
      </pivotArea>
    </format>
  </formats>
  <chartFormats count="7">
    <chartFormat chart="1" format="5" series="1">
      <pivotArea type="data" outline="0" fieldPosition="0">
        <references count="1">
          <reference field="39" count="1" selected="0">
            <x v="0"/>
          </reference>
        </references>
      </pivotArea>
    </chartFormat>
    <chartFormat chart="1" format="6" series="1">
      <pivotArea type="data" outline="0" fieldPosition="0">
        <references count="1">
          <reference field="39" count="1" selected="0">
            <x v="1"/>
          </reference>
        </references>
      </pivotArea>
    </chartFormat>
    <chartFormat chart="1" format="8" series="1">
      <pivotArea type="data" outline="0" fieldPosition="0">
        <references count="2">
          <reference field="4294967294" count="1" selected="0">
            <x v="0"/>
          </reference>
          <reference field="39" count="1" selected="0">
            <x v="0"/>
          </reference>
        </references>
      </pivotArea>
    </chartFormat>
    <chartFormat chart="1" format="9" series="1">
      <pivotArea type="data" outline="0" fieldPosition="0">
        <references count="2">
          <reference field="4294967294" count="1" selected="0">
            <x v="0"/>
          </reference>
          <reference field="39" count="1" selected="0">
            <x v="1"/>
          </reference>
        </references>
      </pivotArea>
    </chartFormat>
    <chartFormat chart="1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39" count="1" selected="0">
            <x v="3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39" count="1" selected="0">
            <x v="4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4.xml><?xml version="1.0" encoding="utf-8"?>
<pivotTableDefinition xmlns="http://schemas.openxmlformats.org/spreadsheetml/2006/main" name="Tableau croisé dynamique5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4" fieldListSortAscending="1">
  <location ref="M4:Q6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>
      <items count="18">
        <item h="1" x="2"/>
        <item h="1" x="1"/>
        <item h="1" m="1" x="13"/>
        <item h="1" m="1" x="3"/>
        <item h="1" m="1" x="9"/>
        <item h="1" m="1" x="4"/>
        <item h="1" m="1" x="10"/>
        <item h="1" m="1" x="6"/>
        <item m="1" x="5"/>
        <item m="1" x="8"/>
        <item h="1" x="0"/>
        <item h="1" m="1" x="11"/>
        <item h="1" m="1" x="15"/>
        <item m="1" x="16"/>
        <item h="1" m="1" x="12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dataField="1" multipleItemSelectionAllowed="1" showAll="0" includeNewItemsInFilter="1" defaultSubtotal="0">
      <items count="43">
        <item m="1" x="22"/>
        <item m="1" x="9"/>
        <item m="1" x="24"/>
        <item m="1" x="40"/>
        <item m="1" x="4"/>
        <item m="1" x="10"/>
        <item m="1" x="16"/>
        <item m="1" x="29"/>
        <item m="1" x="32"/>
        <item m="1" x="8"/>
        <item m="1" x="20"/>
        <item m="1" x="31"/>
        <item m="1" x="26"/>
        <item h="1" x="0"/>
        <item h="1" x="1"/>
        <item m="1" x="13"/>
        <item m="1" x="18"/>
        <item m="1" x="36"/>
        <item m="1" x="25"/>
        <item m="1" x="5"/>
        <item m="1" x="42"/>
        <item m="1" x="14"/>
        <item m="1" x="38"/>
        <item m="1" x="3"/>
        <item m="1" x="7"/>
        <item m="1" x="21"/>
        <item m="1" x="6"/>
        <item m="1" x="30"/>
        <item m="1" x="39"/>
        <item m="1" x="37"/>
        <item m="1" x="28"/>
        <item m="1" x="34"/>
        <item m="1" x="35"/>
        <item m="1" x="11"/>
        <item m="1" x="17"/>
        <item m="1" x="27"/>
        <item m="1" x="12"/>
        <item m="1" x="19"/>
        <item m="1" x="2"/>
        <item m="1" x="23"/>
        <item m="1" x="15"/>
        <item m="1" x="33"/>
        <item m="1" x="4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14" hier="-1"/>
    <pageField fld="66" hier="-1"/>
  </pageFields>
  <dataFields count="4">
    <dataField name="Min de Nbr de j USI_RV2" fld="66" subtotal="min" baseField="0" baseItem="0"/>
    <dataField name="Moyenne de Nbr de j USI" fld="66" subtotal="average" baseField="9" baseItem="1" numFmtId="4"/>
    <dataField name="Max de Nbr de j USI_RV2" fld="66" subtotal="max" baseField="0" baseItem="0"/>
    <dataField name="Écartype de Nbr de j USI_RV" fld="66" subtotal="stdDev" baseField="0" baseItem="0"/>
  </dataFields>
  <chartFormats count="6">
    <chartFormat chart="10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0" format="20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0" format="21">
      <pivotArea type="data" outline="0" fieldPosition="0">
        <references count="2">
          <reference field="4294967294" count="1" selected="0">
            <x v="0"/>
          </reference>
          <reference field="11" count="1" selected="0">
            <x v="4"/>
          </reference>
        </references>
      </pivotArea>
    </chartFormat>
    <chartFormat chart="10" format="22">
      <pivotArea type="data" outline="0" fieldPosition="0">
        <references count="2">
          <reference field="4294967294" count="1" selected="0">
            <x v="0"/>
          </reference>
          <reference field="11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5.xml><?xml version="1.0" encoding="utf-8"?>
<pivotTableDefinition xmlns="http://schemas.openxmlformats.org/spreadsheetml/2006/main" name="Tableau croisé dynamique4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2" fieldListSortAscending="1">
  <location ref="G4:K6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0"/>
        <item m="1" x="6"/>
        <item h="1" m="1" x="5"/>
        <item h="1" m="1" x="8"/>
        <item x="0"/>
        <item m="1" x="11"/>
        <item m="1" x="15"/>
        <item h="1" m="1" x="16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dataField="1" multipleItemSelectionAllowed="1" showAll="0" includeNewItemsInFilter="1" defaultSubtotal="0">
      <items count="43">
        <item m="1" x="22"/>
        <item m="1" x="9"/>
        <item m="1" x="24"/>
        <item m="1" x="40"/>
        <item m="1" x="4"/>
        <item m="1" x="10"/>
        <item m="1" x="16"/>
        <item m="1" x="29"/>
        <item m="1" x="32"/>
        <item m="1" x="8"/>
        <item m="1" x="20"/>
        <item m="1" x="31"/>
        <item m="1" x="26"/>
        <item h="1" x="0"/>
        <item h="1" x="1"/>
        <item m="1" x="13"/>
        <item m="1" x="18"/>
        <item m="1" x="36"/>
        <item m="1" x="25"/>
        <item m="1" x="5"/>
        <item m="1" x="42"/>
        <item m="1" x="14"/>
        <item m="1" x="38"/>
        <item m="1" x="3"/>
        <item m="1" x="7"/>
        <item m="1" x="21"/>
        <item m="1" x="6"/>
        <item m="1" x="30"/>
        <item m="1" x="39"/>
        <item m="1" x="37"/>
        <item m="1" x="28"/>
        <item m="1" x="34"/>
        <item m="1" x="35"/>
        <item m="1" x="11"/>
        <item m="1" x="17"/>
        <item m="1" x="27"/>
        <item m="1" x="12"/>
        <item m="1" x="19"/>
        <item m="1" x="2"/>
        <item m="1" x="23"/>
        <item m="1" x="15"/>
        <item m="1" x="33"/>
        <item m="1" x="4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14" hier="-1"/>
    <pageField fld="66" hier="-1"/>
  </pageFields>
  <dataFields count="4">
    <dataField name="Min de Nbr de j USI_RV" fld="66" subtotal="min" baseField="0" baseItem="0"/>
    <dataField name="Moyenne de Nbr de j USI" fld="66" subtotal="average" baseField="9" baseItem="1" numFmtId="167"/>
    <dataField name="Max de Nbr de j USI_RV" fld="66" subtotal="max" baseField="0" baseItem="0" numFmtId="167"/>
    <dataField name="Écartype de Nbr de j USI" fld="66" subtotal="stdDev" baseField="9" baseItem="2" numFmtId="167"/>
  </dataFields>
  <formats count="37">
    <format dxfId="436">
      <pivotArea field="14" type="button" dataOnly="0" labelOnly="1" outline="0" axis="axisPage" fieldPosition="0"/>
    </format>
    <format dxfId="435">
      <pivotArea dataOnly="0" labelOnly="1" outline="0" fieldPosition="0">
        <references count="1">
          <reference field="14" count="0"/>
        </references>
      </pivotArea>
    </format>
    <format dxfId="434">
      <pivotArea field="66" type="button" dataOnly="0" labelOnly="1" outline="0" axis="axisPage" fieldPosition="1"/>
    </format>
    <format dxfId="433">
      <pivotArea dataOnly="0" labelOnly="1" outline="0" fieldPosition="0">
        <references count="1">
          <reference field="66" count="0"/>
        </references>
      </pivotArea>
    </format>
    <format dxfId="432">
      <pivotArea type="all" dataOnly="0" outline="0" fieldPosition="0"/>
    </format>
    <format dxfId="431">
      <pivotArea field="14" type="button" dataOnly="0" labelOnly="1" outline="0" axis="axisPage" fieldPosition="0"/>
    </format>
    <format dxfId="430">
      <pivotArea dataOnly="0" labelOnly="1" outline="0" fieldPosition="0">
        <references count="1">
          <reference field="14" count="0"/>
        </references>
      </pivotArea>
    </format>
    <format dxfId="429">
      <pivotArea field="66" type="button" dataOnly="0" labelOnly="1" outline="0" axis="axisPage" fieldPosition="1"/>
    </format>
    <format dxfId="428">
      <pivotArea dataOnly="0" labelOnly="1" outline="0" fieldPosition="0">
        <references count="1">
          <reference field="66" count="0"/>
        </references>
      </pivotArea>
    </format>
    <format dxfId="427">
      <pivotArea type="origin" dataOnly="0" labelOnly="1" outline="0" fieldPosition="0"/>
    </format>
    <format dxfId="426">
      <pivotArea field="11" type="button" dataOnly="0" labelOnly="1" outline="0" axis="axisRow" fieldPosition="0"/>
    </format>
    <format dxfId="425">
      <pivotArea field="-2" type="button" dataOnly="0" labelOnly="1" outline="0" axis="axisCol" fieldPosition="0"/>
    </format>
    <format dxfId="424">
      <pivotArea type="topRight" dataOnly="0" labelOnly="1" outline="0" fieldPosition="0"/>
    </format>
    <format dxfId="42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22">
      <pivotArea type="origin" dataOnly="0" labelOnly="1" outline="0" fieldPosition="0"/>
    </format>
    <format dxfId="421">
      <pivotArea field="11" type="button" dataOnly="0" labelOnly="1" outline="0" axis="axisRow" fieldPosition="0"/>
    </format>
    <format dxfId="420">
      <pivotArea field="-2" type="button" dataOnly="0" labelOnly="1" outline="0" axis="axisCol" fieldPosition="0"/>
    </format>
    <format dxfId="419">
      <pivotArea type="topRight" dataOnly="0" labelOnly="1" outline="0" fieldPosition="0"/>
    </format>
    <format dxfId="41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17">
      <pivotArea outline="0" collapsedLevelsAreSubtotals="1" fieldPosition="0"/>
    </format>
    <format dxfId="416">
      <pivotArea dataOnly="0" labelOnly="1" fieldPosition="0">
        <references count="1">
          <reference field="11" count="0"/>
        </references>
      </pivotArea>
    </format>
    <format dxfId="415">
      <pivotArea dataOnly="0" labelOnly="1" grandRow="1" outline="0" fieldPosition="0"/>
    </format>
    <format dxfId="414">
      <pivotArea field="14" type="button" dataOnly="0" labelOnly="1" outline="0" axis="axisPage" fieldPosition="0"/>
    </format>
    <format dxfId="413">
      <pivotArea dataOnly="0" labelOnly="1" outline="0" fieldPosition="0">
        <references count="1">
          <reference field="14" count="0"/>
        </references>
      </pivotArea>
    </format>
    <format dxfId="412">
      <pivotArea field="66" type="button" dataOnly="0" labelOnly="1" outline="0" axis="axisPage" fieldPosition="1"/>
    </format>
    <format dxfId="411">
      <pivotArea dataOnly="0" labelOnly="1" outline="0" fieldPosition="0">
        <references count="1">
          <reference field="66" count="0"/>
        </references>
      </pivotArea>
    </format>
    <format dxfId="410">
      <pivotArea type="origin" dataOnly="0" labelOnly="1" outline="0" fieldPosition="0"/>
    </format>
    <format dxfId="409">
      <pivotArea field="11" type="button" dataOnly="0" labelOnly="1" outline="0" axis="axisRow" fieldPosition="0"/>
    </format>
    <format dxfId="408">
      <pivotArea field="-2" type="button" dataOnly="0" labelOnly="1" outline="0" axis="axisCol" fieldPosition="0"/>
    </format>
    <format dxfId="407">
      <pivotArea type="topRight" dataOnly="0" labelOnly="1" outline="0" fieldPosition="0"/>
    </format>
    <format dxfId="40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05">
      <pivotArea field="11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404">
      <pivotArea collapsedLevelsAreSubtotals="1" fieldPosition="0">
        <references count="2">
          <reference field="4294967294" count="1" selected="0">
            <x v="1"/>
          </reference>
          <reference field="11" count="1">
            <x v="1"/>
          </reference>
        </references>
      </pivotArea>
    </format>
    <format dxfId="403">
      <pivotArea collapsedLevelsAreSubtotals="1" fieldPosition="0">
        <references count="2">
          <reference field="4294967294" count="1" selected="0">
            <x v="1"/>
          </reference>
          <reference field="11" count="1">
            <x v="2"/>
          </reference>
        </references>
      </pivotArea>
    </format>
    <format dxfId="402">
      <pivotArea collapsedLevelsAreSubtotals="1" fieldPosition="0">
        <references count="2">
          <reference field="4294967294" count="1" selected="0">
            <x v="1"/>
          </reference>
          <reference field="11" count="1">
            <x v="3"/>
          </reference>
        </references>
      </pivotArea>
    </format>
    <format dxfId="401">
      <pivotArea field="11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400">
      <pivotArea outline="0" collapsedLevelsAreSubtotals="1" fieldPosition="0">
        <references count="1">
          <reference field="4294967294" count="3" selected="0">
            <x v="1"/>
            <x v="2"/>
            <x v="3"/>
          </reference>
        </references>
      </pivotArea>
    </format>
  </formats>
  <chartFormats count="4">
    <chartFormat chart="1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6.xml><?xml version="1.0" encoding="utf-8"?>
<pivotTableDefinition xmlns="http://schemas.openxmlformats.org/spreadsheetml/2006/main" name="Tableau croisé dynamique3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7" fieldListSortAscending="1">
  <location ref="A4:E6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0"/>
        <item m="1" x="6"/>
        <item m="1" x="5"/>
        <item m="1" x="8"/>
        <item x="0"/>
        <item m="1" x="11"/>
        <item m="1" x="15"/>
        <item m="1" x="16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dataField="1" multipleItemSelectionAllowed="1" showAll="0" includeNewItemsInFilter="1" defaultSubtotal="0">
      <items count="43">
        <item m="1" x="22"/>
        <item m="1" x="9"/>
        <item m="1" x="24"/>
        <item m="1" x="40"/>
        <item m="1" x="4"/>
        <item m="1" x="10"/>
        <item m="1" x="16"/>
        <item m="1" x="29"/>
        <item m="1" x="32"/>
        <item m="1" x="8"/>
        <item m="1" x="20"/>
        <item m="1" x="31"/>
        <item m="1" x="26"/>
        <item h="1" x="0"/>
        <item h="1" x="1"/>
        <item m="1" x="13"/>
        <item m="1" x="18"/>
        <item m="1" x="36"/>
        <item m="1" x="25"/>
        <item m="1" x="5"/>
        <item m="1" x="42"/>
        <item m="1" x="14"/>
        <item m="1" x="38"/>
        <item m="1" x="3"/>
        <item m="1" x="7"/>
        <item m="1" x="21"/>
        <item m="1" x="6"/>
        <item m="1" x="30"/>
        <item m="1" x="39"/>
        <item m="1" x="37"/>
        <item m="1" x="28"/>
        <item m="1" x="34"/>
        <item m="1" x="35"/>
        <item m="1" x="11"/>
        <item m="1" x="17"/>
        <item m="1" x="27"/>
        <item m="1" x="12"/>
        <item m="1" x="19"/>
        <item m="1" x="2"/>
        <item m="1" x="23"/>
        <item m="1" x="15"/>
        <item m="1" x="33"/>
        <item m="1" x="4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14" hier="-1"/>
    <pageField fld="66" hier="-1"/>
  </pageFields>
  <dataFields count="4">
    <dataField name="Min de Nbr de j USI_RV" fld="66" subtotal="min" baseField="9" baseItem="3"/>
    <dataField name="Moyenne de Nbr de j USI" fld="66" subtotal="average" baseField="9" baseItem="1" numFmtId="4"/>
    <dataField name="Max de Nbr de j USI_RV" fld="66" subtotal="max" baseField="9" baseItem="3"/>
    <dataField name="Écartype de Nbr de j USI" fld="66" subtotal="stdDev" baseField="9" baseItem="1" numFmtId="4"/>
  </dataFields>
  <chartFormats count="4">
    <chartFormat chart="12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5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7.xml><?xml version="1.0" encoding="utf-8"?>
<pivotTableDefinition xmlns="http://schemas.openxmlformats.org/spreadsheetml/2006/main" name="Tableau croisé dynamique2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1" fieldListSortAscending="1">
  <location ref="G4:K6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0"/>
        <item m="1" x="6"/>
        <item h="1" m="1" x="5"/>
        <item h="1" m="1" x="8"/>
        <item x="0"/>
        <item m="1" x="11"/>
        <item m="1" x="15"/>
        <item h="1" m="1" x="16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dataField="1" multipleItemSelectionAllowed="1" showAll="0" includeNewItemsInFilter="1" defaultSubtotal="0">
      <items count="81">
        <item m="1" x="41"/>
        <item m="1" x="18"/>
        <item m="1" x="78"/>
        <item m="1" x="19"/>
        <item m="1" x="32"/>
        <item m="1" x="46"/>
        <item m="1" x="54"/>
        <item m="1" x="62"/>
        <item m="1" x="69"/>
        <item m="1" x="79"/>
        <item m="1" x="5"/>
        <item m="1" x="11"/>
        <item m="1" x="15"/>
        <item m="1" x="20"/>
        <item m="1" x="23"/>
        <item m="1" x="27"/>
        <item m="1" x="33"/>
        <item m="1" x="48"/>
        <item m="1" x="61"/>
        <item m="1" x="74"/>
        <item m="1" x="8"/>
        <item m="1" x="55"/>
        <item m="1" x="58"/>
        <item m="1" x="73"/>
        <item m="1" x="24"/>
        <item h="1" x="0"/>
        <item h="1" x="1"/>
        <item m="1" x="28"/>
        <item m="1" x="63"/>
        <item m="1" x="12"/>
        <item m="1" x="10"/>
        <item m="1" x="42"/>
        <item m="1" x="64"/>
        <item m="1" x="4"/>
        <item m="1" x="3"/>
        <item m="1" x="68"/>
        <item m="1" x="6"/>
        <item m="1" x="16"/>
        <item m="1" x="34"/>
        <item m="1" x="35"/>
        <item m="1" x="45"/>
        <item m="1" x="71"/>
        <item m="1" x="14"/>
        <item m="1" x="25"/>
        <item m="1" x="21"/>
        <item m="1" x="66"/>
        <item m="1" x="75"/>
        <item m="1" x="72"/>
        <item m="1" x="56"/>
        <item m="1" x="29"/>
        <item m="1" x="36"/>
        <item m="1" x="22"/>
        <item m="1" x="43"/>
        <item m="1" x="13"/>
        <item m="1" x="59"/>
        <item m="1" x="39"/>
        <item m="1" x="26"/>
        <item m="1" x="80"/>
        <item m="1" x="31"/>
        <item m="1" x="53"/>
        <item m="1" x="76"/>
        <item m="1" x="2"/>
        <item m="1" x="67"/>
        <item m="1" x="49"/>
        <item m="1" x="40"/>
        <item m="1" x="47"/>
        <item m="1" x="57"/>
        <item m="1" x="7"/>
        <item m="1" x="37"/>
        <item m="1" x="65"/>
        <item m="1" x="9"/>
        <item m="1" x="38"/>
        <item m="1" x="70"/>
        <item m="1" x="30"/>
        <item m="1" x="44"/>
        <item m="1" x="52"/>
        <item m="1" x="60"/>
        <item m="1" x="50"/>
        <item m="1" x="17"/>
        <item m="1" x="51"/>
        <item m="1" x="7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14" hier="-1"/>
    <pageField fld="63" hier="-1"/>
  </pageFields>
  <dataFields count="4">
    <dataField name="Min de Nbr de j hospi_RV" fld="63" subtotal="min" baseField="9" baseItem="5"/>
    <dataField name="Moyenne de Nbr de j hospi" fld="63" subtotal="average" baseField="9" baseItem="2" numFmtId="167"/>
    <dataField name="Max de Nbr de j hospi_RV2" fld="63" subtotal="max" baseField="9" baseItem="5"/>
    <dataField name="Écartype de Nbr de j hospi" fld="63" subtotal="stdDev" baseField="9" baseItem="1" numFmtId="4"/>
  </dataFields>
  <formats count="12">
    <format dxfId="399">
      <pivotArea field="14" type="button" dataOnly="0" labelOnly="1" outline="0" axis="axisPage" fieldPosition="0"/>
    </format>
    <format dxfId="398">
      <pivotArea dataOnly="0" labelOnly="1" outline="0" fieldPosition="0">
        <references count="1">
          <reference field="14" count="0"/>
        </references>
      </pivotArea>
    </format>
    <format dxfId="397">
      <pivotArea field="63" type="button" dataOnly="0" labelOnly="1" outline="0" axis="axisPage" fieldPosition="1"/>
    </format>
    <format dxfId="396">
      <pivotArea dataOnly="0" labelOnly="1" outline="0" fieldPosition="0">
        <references count="1">
          <reference field="63" count="0"/>
        </references>
      </pivotArea>
    </format>
    <format dxfId="395">
      <pivotArea type="all" dataOnly="0" outline="0" fieldPosition="0"/>
    </format>
    <format dxfId="394">
      <pivotArea type="origin" dataOnly="0" labelOnly="1" outline="0" fieldPosition="0"/>
    </format>
    <format dxfId="393">
      <pivotArea field="11" type="button" dataOnly="0" labelOnly="1" outline="0" axis="axisRow" fieldPosition="0"/>
    </format>
    <format dxfId="392">
      <pivotArea field="-2" type="button" dataOnly="0" labelOnly="1" outline="0" axis="axisCol" fieldPosition="0"/>
    </format>
    <format dxfId="391">
      <pivotArea type="topRight" dataOnly="0" labelOnly="1" outline="0" fieldPosition="0"/>
    </format>
    <format dxfId="39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89">
      <pivotArea field="11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38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4">
    <chartFormat chart="9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9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8.xml><?xml version="1.0" encoding="utf-8"?>
<pivotTableDefinition xmlns="http://schemas.openxmlformats.org/spreadsheetml/2006/main" name="Tableau croisé dynamique1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2" fieldListSortAscending="1">
  <location ref="M4:Q6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>
      <items count="18">
        <item h="1" x="2"/>
        <item h="1" x="1"/>
        <item h="1" m="1" x="13"/>
        <item h="1" m="1" x="3"/>
        <item h="1" m="1" x="9"/>
        <item h="1" m="1" x="4"/>
        <item h="1" m="1" x="10"/>
        <item h="1" m="1" x="6"/>
        <item m="1" x="5"/>
        <item m="1" x="8"/>
        <item h="1" x="0"/>
        <item h="1" m="1" x="11"/>
        <item h="1" m="1" x="15"/>
        <item m="1" x="16"/>
        <item h="1" m="1" x="12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dataField="1" multipleItemSelectionAllowed="1" showAll="0" includeNewItemsInFilter="1" defaultSubtotal="0">
      <items count="81">
        <item m="1" x="41"/>
        <item m="1" x="18"/>
        <item m="1" x="78"/>
        <item m="1" x="19"/>
        <item m="1" x="32"/>
        <item m="1" x="46"/>
        <item m="1" x="54"/>
        <item m="1" x="62"/>
        <item m="1" x="69"/>
        <item m="1" x="79"/>
        <item m="1" x="5"/>
        <item m="1" x="11"/>
        <item m="1" x="15"/>
        <item m="1" x="20"/>
        <item m="1" x="23"/>
        <item m="1" x="27"/>
        <item m="1" x="33"/>
        <item m="1" x="48"/>
        <item m="1" x="61"/>
        <item m="1" x="74"/>
        <item m="1" x="8"/>
        <item m="1" x="55"/>
        <item m="1" x="58"/>
        <item m="1" x="73"/>
        <item m="1" x="24"/>
        <item h="1" x="0"/>
        <item h="1" x="1"/>
        <item m="1" x="28"/>
        <item m="1" x="63"/>
        <item m="1" x="12"/>
        <item m="1" x="10"/>
        <item m="1" x="42"/>
        <item m="1" x="64"/>
        <item m="1" x="4"/>
        <item m="1" x="3"/>
        <item m="1" x="68"/>
        <item m="1" x="6"/>
        <item m="1" x="16"/>
        <item m="1" x="34"/>
        <item m="1" x="35"/>
        <item m="1" x="45"/>
        <item m="1" x="71"/>
        <item m="1" x="14"/>
        <item m="1" x="25"/>
        <item m="1" x="21"/>
        <item m="1" x="66"/>
        <item m="1" x="75"/>
        <item m="1" x="72"/>
        <item m="1" x="56"/>
        <item m="1" x="29"/>
        <item m="1" x="36"/>
        <item m="1" x="22"/>
        <item m="1" x="43"/>
        <item m="1" x="13"/>
        <item m="1" x="59"/>
        <item m="1" x="39"/>
        <item m="1" x="26"/>
        <item m="1" x="80"/>
        <item m="1" x="31"/>
        <item m="1" x="53"/>
        <item m="1" x="76"/>
        <item m="1" x="2"/>
        <item m="1" x="67"/>
        <item m="1" x="49"/>
        <item m="1" x="40"/>
        <item m="1" x="47"/>
        <item m="1" x="57"/>
        <item m="1" x="7"/>
        <item m="1" x="37"/>
        <item m="1" x="65"/>
        <item m="1" x="9"/>
        <item m="1" x="38"/>
        <item m="1" x="70"/>
        <item m="1" x="30"/>
        <item m="1" x="44"/>
        <item m="1" x="52"/>
        <item m="1" x="60"/>
        <item m="1" x="50"/>
        <item m="1" x="17"/>
        <item m="1" x="51"/>
        <item m="1" x="7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14" hier="-1"/>
    <pageField fld="63" hier="-1"/>
  </pageFields>
  <dataFields count="4">
    <dataField name="Min de Nbr de j hospi_RV" fld="63" subtotal="min" baseField="9" baseItem="2"/>
    <dataField name="Moyenne de Nbr de j hospi" fld="63" subtotal="average" baseField="9" baseItem="1" numFmtId="4"/>
    <dataField name="Max de Nbr de j hospi_RV2" fld="63" subtotal="max" baseField="9" baseItem="2"/>
    <dataField name="Écartype de Nbr de j hospi" fld="63" subtotal="stdDev" baseField="9" baseItem="1" numFmtId="4"/>
  </dataFields>
  <chartFormats count="4">
    <chartFormat chart="1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29.xml><?xml version="1.0" encoding="utf-8"?>
<pivotTableDefinition xmlns="http://schemas.openxmlformats.org/spreadsheetml/2006/main" name="Tableau croisé dynamique3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5" fieldListSortAscending="1">
  <location ref="A4:E6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0"/>
        <item m="1" x="6"/>
        <item m="1" x="5"/>
        <item m="1" x="8"/>
        <item x="0"/>
        <item m="1" x="11"/>
        <item m="1" x="15"/>
        <item m="1" x="16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dataField="1" multipleItemSelectionAllowed="1" showAll="0" includeNewItemsInFilter="1" defaultSubtotal="0">
      <items count="81">
        <item m="1" x="41"/>
        <item m="1" x="18"/>
        <item m="1" x="78"/>
        <item m="1" x="19"/>
        <item m="1" x="32"/>
        <item m="1" x="46"/>
        <item m="1" x="54"/>
        <item m="1" x="62"/>
        <item m="1" x="69"/>
        <item m="1" x="79"/>
        <item m="1" x="5"/>
        <item m="1" x="11"/>
        <item m="1" x="15"/>
        <item m="1" x="20"/>
        <item m="1" x="23"/>
        <item m="1" x="27"/>
        <item m="1" x="33"/>
        <item m="1" x="48"/>
        <item m="1" x="61"/>
        <item m="1" x="74"/>
        <item m="1" x="8"/>
        <item m="1" x="55"/>
        <item m="1" x="58"/>
        <item m="1" x="73"/>
        <item m="1" x="24"/>
        <item h="1" x="0"/>
        <item h="1" x="1"/>
        <item m="1" x="28"/>
        <item m="1" x="63"/>
        <item m="1" x="12"/>
        <item m="1" x="10"/>
        <item m="1" x="42"/>
        <item m="1" x="64"/>
        <item m="1" x="4"/>
        <item m="1" x="3"/>
        <item m="1" x="68"/>
        <item m="1" x="6"/>
        <item m="1" x="16"/>
        <item m="1" x="34"/>
        <item m="1" x="35"/>
        <item m="1" x="45"/>
        <item m="1" x="71"/>
        <item m="1" x="14"/>
        <item m="1" x="25"/>
        <item m="1" x="21"/>
        <item m="1" x="66"/>
        <item m="1" x="75"/>
        <item m="1" x="72"/>
        <item m="1" x="56"/>
        <item m="1" x="29"/>
        <item m="1" x="36"/>
        <item m="1" x="22"/>
        <item m="1" x="43"/>
        <item m="1" x="13"/>
        <item m="1" x="59"/>
        <item m="1" x="39"/>
        <item m="1" x="26"/>
        <item m="1" x="80"/>
        <item m="1" x="31"/>
        <item m="1" x="53"/>
        <item m="1" x="76"/>
        <item m="1" x="2"/>
        <item m="1" x="67"/>
        <item m="1" x="49"/>
        <item m="1" x="40"/>
        <item m="1" x="47"/>
        <item m="1" x="57"/>
        <item m="1" x="7"/>
        <item m="1" x="37"/>
        <item m="1" x="65"/>
        <item m="1" x="9"/>
        <item m="1" x="38"/>
        <item m="1" x="70"/>
        <item m="1" x="30"/>
        <item m="1" x="44"/>
        <item m="1" x="52"/>
        <item m="1" x="60"/>
        <item m="1" x="50"/>
        <item m="1" x="17"/>
        <item m="1" x="51"/>
        <item m="1" x="7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14" hier="-1"/>
    <pageField fld="63" hier="-1"/>
  </pageFields>
  <dataFields count="4">
    <dataField name="Min de Nbr de j hospi_RV" fld="63" subtotal="min" baseField="9" baseItem="3"/>
    <dataField name="Moyenne de Nbr de j hospi" fld="63" subtotal="average" baseField="9" baseItem="2" numFmtId="4"/>
    <dataField name="Max de Nbr de j hospi_RV" fld="63" subtotal="max" baseField="9" baseItem="3"/>
    <dataField name="Écartype de Nbr de j hospi" fld="63" subtotal="stdDev" baseField="9" baseItem="1" numFmtId="4"/>
  </dataFields>
  <chartFormats count="8">
    <chartFormat chart="9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1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3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0.xml><?xml version="1.0" encoding="utf-8"?>
<pivotTableDefinition xmlns="http://schemas.openxmlformats.org/spreadsheetml/2006/main" name="Tableau croisé dynamique5" cacheId="149" dataOnRows="1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20" fieldListSortAscending="1">
  <location ref="A10:B11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includeNewItemsInFilter="1" defaultSubtotal="0">
      <items count="3">
        <item x="0"/>
        <item m="1" x="2"/>
        <item h="1"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1"/>
  </rowFields>
  <rowItems count="1">
    <i t="grand">
      <x/>
    </i>
  </rowItems>
  <colItems count="1">
    <i/>
  </colItems>
  <pageFields count="1">
    <pageField fld="11" hier="-1"/>
  </pageFields>
  <dataFields count="1">
    <dataField name="Nombre de Révision &lt; 24h" fld="61" subtotal="count" showDataAs="percentOfCol" baseField="53" baseItem="1" numFmtId="9"/>
  </dataFields>
  <formats count="6">
    <format dxfId="375">
      <pivotArea type="all" dataOnly="0" outline="0" fieldPosition="0"/>
    </format>
    <format dxfId="374">
      <pivotArea field="11" type="button" dataOnly="0" labelOnly="1" outline="0" axis="axisPage" fieldPosition="0"/>
    </format>
    <format dxfId="373">
      <pivotArea dataOnly="0" labelOnly="1" outline="0" fieldPosition="0">
        <references count="1">
          <reference field="11" count="0"/>
        </references>
      </pivotArea>
    </format>
    <format dxfId="372">
      <pivotArea field="61" type="button" dataOnly="0" labelOnly="1" outline="0" axis="axisRow" fieldPosition="0"/>
    </format>
    <format dxfId="371">
      <pivotArea dataOnly="0" labelOnly="1" outline="0" axis="axisValues" fieldPosition="0"/>
    </format>
    <format dxfId="370">
      <pivotArea outline="0" collapsedLevelsAreSubtotals="1" fieldPosition="0"/>
    </format>
  </formats>
  <chartFormats count="3">
    <chartFormat chart="1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1.xml><?xml version="1.0" encoding="utf-8"?>
<pivotTableDefinition xmlns="http://schemas.openxmlformats.org/spreadsheetml/2006/main" name="Tableau croisé dynamique3" cacheId="149" dataOnRows="1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6" fieldListSortAscending="1">
  <location ref="D3:E5" firstHeaderRow="1" firstDataRow="2" firstDataCol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n="avril"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includeNewItemsInFilter="1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1"/>
  </colFields>
  <colItems count="1">
    <i t="grand">
      <x/>
    </i>
  </colItems>
  <dataFields count="1">
    <dataField name="Nombre de Révision &lt; 24h_RV" fld="61" subtotal="count" baseField="0" baseItem="0"/>
  </dataFields>
  <formats count="7">
    <format dxfId="382">
      <pivotArea type="all" dataOnly="0" outline="0" fieldPosition="0"/>
    </format>
    <format dxfId="381">
      <pivotArea type="origin" dataOnly="0" labelOnly="1" outline="0" fieldPosition="0"/>
    </format>
    <format dxfId="380">
      <pivotArea field="11" type="button" dataOnly="0" labelOnly="1" outline="0" axis="axisRow" fieldPosition="0"/>
    </format>
    <format dxfId="379">
      <pivotArea field="61" type="button" dataOnly="0" labelOnly="1" outline="0" axis="axisCol" fieldPosition="0"/>
    </format>
    <format dxfId="378">
      <pivotArea type="topRight" dataOnly="0" labelOnly="1" outline="0" fieldPosition="0"/>
    </format>
    <format dxfId="377">
      <pivotArea dataOnly="0" labelOnly="1" fieldPosition="0">
        <references count="1">
          <reference field="61" count="2">
            <x v="0"/>
            <x v="1"/>
          </reference>
        </references>
      </pivotArea>
    </format>
    <format dxfId="376">
      <pivotArea dataOnly="0" labelOnly="1" grandCol="1" outline="0" fieldPosition="0"/>
    </format>
  </formats>
  <chartFormats count="13">
    <chartFormat chart="14" format="8" series="1">
      <pivotArea type="data" outline="0" fieldPosition="0">
        <references count="2">
          <reference field="4294967294" count="1" selected="0">
            <x v="0"/>
          </reference>
          <reference field="61" count="1" selected="0">
            <x v="0"/>
          </reference>
        </references>
      </pivotArea>
    </chartFormat>
    <chartFormat chart="14" format="9" series="1">
      <pivotArea type="data" outline="0" fieldPosition="0">
        <references count="2">
          <reference field="4294967294" count="1" selected="0">
            <x v="0"/>
          </reference>
          <reference field="61" count="1" selected="0">
            <x v="1"/>
          </reference>
        </references>
      </pivotArea>
    </chartFormat>
    <chartFormat chart="14" format="10">
      <pivotArea type="data" outline="0" fieldPosition="0">
        <references count="3">
          <reference field="4294967294" count="1" selected="0">
            <x v="0"/>
          </reference>
          <reference field="11" count="1" selected="0">
            <x v="1"/>
          </reference>
          <reference field="61" count="1" selected="0">
            <x v="1"/>
          </reference>
        </references>
      </pivotArea>
    </chartFormat>
    <chartFormat chart="14" format="11">
      <pivotArea type="data" outline="0" fieldPosition="0">
        <references count="3">
          <reference field="4294967294" count="1" selected="0">
            <x v="0"/>
          </reference>
          <reference field="11" count="1" selected="0">
            <x v="1"/>
          </reference>
          <reference field="61" count="1" selected="0">
            <x v="0"/>
          </reference>
        </references>
      </pivotArea>
    </chartFormat>
    <chartFormat chart="14" format="12">
      <pivotArea type="data" outline="0" fieldPosition="0">
        <references count="3">
          <reference field="4294967294" count="1" selected="0">
            <x v="0"/>
          </reference>
          <reference field="11" count="1" selected="0">
            <x v="2"/>
          </reference>
          <reference field="61" count="1" selected="0">
            <x v="0"/>
          </reference>
        </references>
      </pivotArea>
    </chartFormat>
    <chartFormat chart="14" format="13">
      <pivotArea type="data" outline="0" fieldPosition="0">
        <references count="3">
          <reference field="4294967294" count="1" selected="0">
            <x v="0"/>
          </reference>
          <reference field="11" count="1" selected="0">
            <x v="2"/>
          </reference>
          <reference field="61" count="1" selected="0">
            <x v="1"/>
          </reference>
        </references>
      </pivotArea>
    </chartFormat>
    <chartFormat chart="14" format="13">
      <pivotArea type="data" outline="0" fieldPosition="0">
        <references count="3">
          <reference field="4294967294" count="1" selected="0">
            <x v="0"/>
          </reference>
          <reference field="11" count="1" selected="0">
            <x v="2"/>
          </reference>
          <reference field="61" count="1" selected="0">
            <x v="1"/>
          </reference>
        </references>
      </pivotArea>
    </chartFormat>
    <chartFormat chart="14" format="14">
      <pivotArea type="data" outline="0" fieldPosition="0">
        <references count="3">
          <reference field="4294967294" count="1" selected="0">
            <x v="0"/>
          </reference>
          <reference field="11" count="1" selected="0">
            <x v="3"/>
          </reference>
          <reference field="61" count="1" selected="0">
            <x v="1"/>
          </reference>
        </references>
      </pivotArea>
    </chartFormat>
    <chartFormat chart="14" format="15">
      <pivotArea type="data" outline="0" fieldPosition="0">
        <references count="3">
          <reference field="4294967294" count="1" selected="0">
            <x v="0"/>
          </reference>
          <reference field="11" count="1" selected="0">
            <x v="3"/>
          </reference>
          <reference field="61" count="1" selected="0">
            <x v="0"/>
          </reference>
        </references>
      </pivotArea>
    </chartFormat>
    <chartFormat chart="14" format="16">
      <pivotArea type="data" outline="0" fieldPosition="0">
        <references count="3">
          <reference field="4294967294" count="1" selected="0">
            <x v="0"/>
          </reference>
          <reference field="11" count="1" selected="0">
            <x v="4"/>
          </reference>
          <reference field="61" count="1" selected="0">
            <x v="1"/>
          </reference>
        </references>
      </pivotArea>
    </chartFormat>
    <chartFormat chart="14" format="17">
      <pivotArea type="data" outline="0" fieldPosition="0">
        <references count="3">
          <reference field="4294967294" count="1" selected="0">
            <x v="0"/>
          </reference>
          <reference field="11" count="1" selected="0">
            <x v="4"/>
          </reference>
          <reference field="61" count="1" selected="0">
            <x v="0"/>
          </reference>
        </references>
      </pivotArea>
    </chartFormat>
    <chartFormat chart="14" format="18" series="1">
      <pivotArea type="data" outline="0" fieldPosition="0">
        <references count="2">
          <reference field="4294967294" count="1" selected="0">
            <x v="0"/>
          </reference>
          <reference field="61" count="1" selected="0">
            <x v="2"/>
          </reference>
        </references>
      </pivotArea>
    </chartFormat>
    <chartFormat chart="14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2.xml><?xml version="1.0" encoding="utf-8"?>
<pivotTableDefinition xmlns="http://schemas.openxmlformats.org/spreadsheetml/2006/main" name="Tableau croisé dynamique2" cacheId="149" dataOnRows="1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66" fieldListSortAscending="1">
  <location ref="A3:B4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includeNewItemsInFilter="1" defaultSubtotal="0">
      <items count="3">
        <item x="0"/>
        <item m="1" x="2"/>
        <item h="1"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1"/>
  </rowFields>
  <rowItems count="1">
    <i t="grand">
      <x/>
    </i>
  </rowItems>
  <colItems count="1">
    <i/>
  </colItems>
  <pageFields count="1">
    <pageField fld="11" hier="-1"/>
  </pageFields>
  <dataFields count="1">
    <dataField name="Nombre de Révision &lt; 24h" fld="61" subtotal="count" baseField="53" baseItem="0"/>
  </dataFields>
  <formats count="5">
    <format dxfId="387">
      <pivotArea type="all" dataOnly="0" outline="0" fieldPosition="0"/>
    </format>
    <format dxfId="386">
      <pivotArea field="11" type="button" dataOnly="0" labelOnly="1" outline="0" axis="axisPage" fieldPosition="0"/>
    </format>
    <format dxfId="385">
      <pivotArea dataOnly="0" labelOnly="1" outline="0" fieldPosition="0">
        <references count="1">
          <reference field="11" count="0"/>
        </references>
      </pivotArea>
    </format>
    <format dxfId="384">
      <pivotArea field="61" type="button" dataOnly="0" labelOnly="1" outline="0" axis="axisRow" fieldPosition="0"/>
    </format>
    <format dxfId="383">
      <pivotArea dataOnly="0" labelOnly="1" outline="0" axis="axisValues" fieldPosition="0"/>
    </format>
  </formats>
  <chartFormats count="6">
    <chartFormat chart="1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3">
      <pivotArea type="data" outline="0" fieldPosition="0">
        <references count="2">
          <reference field="4294967294" count="1" selected="0">
            <x v="0"/>
          </reference>
          <reference field="61" count="1" selected="0">
            <x v="1"/>
          </reference>
        </references>
      </pivotArea>
    </chartFormat>
    <chartFormat chart="14" format="3">
      <pivotArea type="data" outline="0" fieldPosition="0">
        <references count="2">
          <reference field="4294967294" count="1" selected="0">
            <x v="0"/>
          </reference>
          <reference field="61" count="1" selected="0">
            <x v="1"/>
          </reference>
        </references>
      </pivotArea>
    </chartFormat>
    <chartFormat chart="14" format="4">
      <pivotArea type="data" outline="0" fieldPosition="0">
        <references count="2">
          <reference field="4294967294" count="1" selected="0">
            <x v="0"/>
          </reference>
          <reference field="61" count="1" selected="0">
            <x v="0"/>
          </reference>
        </references>
      </pivotArea>
    </chartFormat>
    <chartFormat chart="48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9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3.xml><?xml version="1.0" encoding="utf-8"?>
<pivotTableDefinition xmlns="http://schemas.openxmlformats.org/spreadsheetml/2006/main" name="Tableau croisé dynamique4" cacheId="149" dataOnRows="1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2" fieldListSortAscending="1">
  <location ref="E5:F8" firstHeaderRow="1" firstDataRow="3" firstDataCol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 includeNewItemsInFilter="1"/>
    <pivotField axis="axisCol" showAll="0" includeNewItemsInFilter="1">
      <items count="6">
        <item x="0"/>
        <item m="1" x="2"/>
        <item m="1" x="4"/>
        <item m="1" x="1"/>
        <item m="1" x="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includeNewItemsInFilter="1" defaultSubtotal="0">
      <items count="3">
        <item m="1" x="2"/>
        <item x="1"/>
        <item sd="0"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2">
    <field x="62"/>
    <field x="45"/>
  </colFields>
  <colItems count="1">
    <i t="grand">
      <x/>
    </i>
  </colItems>
  <dataFields count="1">
    <dataField name="Nombre de Réhosp.&lt; 30 j_RV" fld="62" subtotal="count" baseField="0" baseItem="0"/>
  </dataFields>
  <formats count="11">
    <format dxfId="359">
      <pivotArea field="62" type="button" dataOnly="0" labelOnly="1" outline="0" axis="axisCol" fieldPosition="0"/>
    </format>
    <format dxfId="358">
      <pivotArea field="45" type="button" dataOnly="0" labelOnly="1" outline="0" axis="axisCol" fieldPosition="1"/>
    </format>
    <format dxfId="357">
      <pivotArea dataOnly="0" labelOnly="1" fieldPosition="0">
        <references count="1">
          <reference field="62" count="1">
            <x v="0"/>
          </reference>
        </references>
      </pivotArea>
    </format>
    <format dxfId="356">
      <pivotArea type="all" dataOnly="0" outline="0" fieldPosition="0"/>
    </format>
    <format dxfId="355">
      <pivotArea type="origin" dataOnly="0" labelOnly="1" outline="0" fieldPosition="0"/>
    </format>
    <format dxfId="354">
      <pivotArea field="11" type="button" dataOnly="0" labelOnly="1" outline="0" axis="axisRow" fieldPosition="0"/>
    </format>
    <format dxfId="353">
      <pivotArea field="62" type="button" dataOnly="0" labelOnly="1" outline="0" axis="axisCol" fieldPosition="0"/>
    </format>
    <format dxfId="352">
      <pivotArea field="45" type="button" dataOnly="0" labelOnly="1" outline="0" axis="axisCol" fieldPosition="1"/>
    </format>
    <format dxfId="351">
      <pivotArea type="topRight" dataOnly="0" labelOnly="1" outline="0" fieldPosition="0"/>
    </format>
    <format dxfId="350">
      <pivotArea dataOnly="0" labelOnly="1" fieldPosition="0">
        <references count="1">
          <reference field="62" count="2">
            <x v="0"/>
            <x v="2"/>
          </reference>
        </references>
      </pivotArea>
    </format>
    <format dxfId="349">
      <pivotArea dataOnly="0" labelOnly="1" grandCol="1" outline="0" fieldPosition="0"/>
    </format>
  </formats>
  <chartFormats count="9">
    <chartFormat chart="11" format="19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2"/>
          </reference>
        </references>
      </pivotArea>
    </chartFormat>
    <chartFormat chart="11" format="20" series="1">
      <pivotArea type="data" outline="0" fieldPosition="0">
        <references count="2">
          <reference field="4294967294" count="1" selected="0">
            <x v="0"/>
          </reference>
          <reference field="62" count="1" selected="0">
            <x v="2"/>
          </reference>
        </references>
      </pivotArea>
    </chartFormat>
    <chartFormat chart="11" format="21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1"/>
          </reference>
        </references>
      </pivotArea>
    </chartFormat>
    <chartFormat chart="11" format="46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0"/>
          </reference>
        </references>
      </pivotArea>
    </chartFormat>
    <chartFormat chart="11" format="47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1"/>
          </reference>
          <reference field="62" count="1" selected="0">
            <x v="0"/>
          </reference>
        </references>
      </pivotArea>
    </chartFormat>
    <chartFormat chart="11" format="48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2"/>
          </reference>
          <reference field="62" count="1" selected="0">
            <x v="0"/>
          </reference>
        </references>
      </pivotArea>
    </chartFormat>
    <chartFormat chart="11" format="50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3"/>
          </reference>
          <reference field="62" count="1" selected="0">
            <x v="0"/>
          </reference>
        </references>
      </pivotArea>
    </chartFormat>
    <chartFormat chart="11" format="51" series="1">
      <pivotArea type="data" outline="0" fieldPosition="0">
        <references count="3">
          <reference field="4294967294" count="1" selected="0">
            <x v="0"/>
          </reference>
          <reference field="45" count="1" selected="0">
            <x v="4"/>
          </reference>
          <reference field="62" count="1" selected="0">
            <x v="0"/>
          </reference>
        </references>
      </pivotArea>
    </chartFormat>
    <chartFormat chart="11" format="5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4.xml><?xml version="1.0" encoding="utf-8"?>
<pivotTableDefinition xmlns="http://schemas.openxmlformats.org/spreadsheetml/2006/main" name="Tableau croisé dynamique1" cacheId="149" dataOnRows="1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66" fieldListSortAscending="1">
  <location ref="A6:B7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 includeNewItemsInFilter="1"/>
    <pivotField axis="axisRow" multipleItemSelectionAllowed="1" showAll="0">
      <items count="6">
        <item x="0"/>
        <item m="1" x="2"/>
        <item m="1" x="4"/>
        <item m="1" x="1"/>
        <item m="1" x="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includeNewItemsInFilter="1" defaultSubtotal="0">
      <items count="3">
        <item m="1" x="2"/>
        <item h="1" x="1"/>
        <item sd="0"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2">
    <field x="62"/>
    <field x="45"/>
  </rowFields>
  <rowItems count="1">
    <i t="grand">
      <x/>
    </i>
  </rowItems>
  <colItems count="1">
    <i/>
  </colItems>
  <pageFields count="1">
    <pageField fld="11" hier="-1"/>
  </pageFields>
  <dataFields count="1">
    <dataField name="Nombre de Réhosp.&lt; 30 j_RV" fld="62" subtotal="count" baseField="0" baseItem="0"/>
  </dataFields>
  <formats count="5">
    <format dxfId="364">
      <pivotArea type="all" dataOnly="0" outline="0" fieldPosition="0"/>
    </format>
    <format dxfId="363">
      <pivotArea field="11" type="button" dataOnly="0" labelOnly="1" outline="0" axis="axisPage" fieldPosition="0"/>
    </format>
    <format dxfId="362">
      <pivotArea dataOnly="0" labelOnly="1" outline="0" fieldPosition="0">
        <references count="1">
          <reference field="11" count="0"/>
        </references>
      </pivotArea>
    </format>
    <format dxfId="361">
      <pivotArea field="62" type="button" dataOnly="0" labelOnly="1" outline="0" axis="axisRow" fieldPosition="0"/>
    </format>
    <format dxfId="360">
      <pivotArea dataOnly="0" labelOnly="1" outline="0" axis="axisValues" fieldPosition="0"/>
    </format>
  </formats>
  <chartFormats count="11">
    <chartFormat chart="1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6">
      <pivotArea type="data" outline="0" fieldPosition="0">
        <references count="2">
          <reference field="4294967294" count="1" selected="0">
            <x v="0"/>
          </reference>
          <reference field="62" count="1" selected="0">
            <x v="0"/>
          </reference>
        </references>
      </pivotArea>
    </chartFormat>
    <chartFormat chart="11" format="7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2"/>
          </reference>
        </references>
      </pivotArea>
    </chartFormat>
    <chartFormat chart="11" format="10">
      <pivotArea type="data" outline="0" fieldPosition="0">
        <references count="2">
          <reference field="4294967294" count="1" selected="0">
            <x v="0"/>
          </reference>
          <reference field="62" count="1" selected="0">
            <x v="2"/>
          </reference>
        </references>
      </pivotArea>
    </chartFormat>
    <chartFormat chart="11" format="11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1"/>
          </reference>
        </references>
      </pivotArea>
    </chartFormat>
    <chartFormat chart="11" format="30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0"/>
          </reference>
        </references>
      </pivotArea>
    </chartFormat>
    <chartFormat chart="11" format="31">
      <pivotArea type="data" outline="0" fieldPosition="0">
        <references count="3">
          <reference field="4294967294" count="1" selected="0">
            <x v="0"/>
          </reference>
          <reference field="45" count="1" selected="0">
            <x v="1"/>
          </reference>
          <reference field="62" count="1" selected="0">
            <x v="0"/>
          </reference>
        </references>
      </pivotArea>
    </chartFormat>
    <chartFormat chart="11" format="32">
      <pivotArea type="data" outline="0" fieldPosition="0">
        <references count="3">
          <reference field="4294967294" count="1" selected="0">
            <x v="0"/>
          </reference>
          <reference field="45" count="1" selected="0">
            <x v="2"/>
          </reference>
          <reference field="62" count="1" selected="0">
            <x v="0"/>
          </reference>
        </references>
      </pivotArea>
    </chartFormat>
    <chartFormat chart="11" format="34">
      <pivotArea type="data" outline="0" fieldPosition="0">
        <references count="3">
          <reference field="4294967294" count="1" selected="0">
            <x v="0"/>
          </reference>
          <reference field="45" count="1" selected="0">
            <x v="3"/>
          </reference>
          <reference field="62" count="1" selected="0">
            <x v="0"/>
          </reference>
        </references>
      </pivotArea>
    </chartFormat>
    <chartFormat chart="11" format="35">
      <pivotArea type="data" outline="0" fieldPosition="0">
        <references count="3">
          <reference field="4294967294" count="1" selected="0">
            <x v="0"/>
          </reference>
          <reference field="45" count="1" selected="0">
            <x v="4"/>
          </reference>
          <reference field="62" count="1" selected="0">
            <x v="0"/>
          </reference>
        </references>
      </pivotArea>
    </chartFormat>
    <chartFormat chart="11" format="39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5.xml><?xml version="1.0" encoding="utf-8"?>
<pivotTableDefinition xmlns="http://schemas.openxmlformats.org/spreadsheetml/2006/main" name="Tableau croisé dynamique6" cacheId="149" dataOnRows="1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4" fieldListSortAscending="1">
  <location ref="A16:B17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 includeNewItemsInFilter="1"/>
    <pivotField axis="axisRow" multipleItemSelectionAllowed="1" showAll="0">
      <items count="6">
        <item x="0"/>
        <item m="1" x="2"/>
        <item m="1" x="4"/>
        <item m="1" x="1"/>
        <item m="1" x="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includeNewItemsInFilter="1" defaultSubtotal="0">
      <items count="3">
        <item m="1" x="2"/>
        <item h="1" x="1"/>
        <item sd="0"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2">
    <field x="62"/>
    <field x="45"/>
  </rowFields>
  <rowItems count="1">
    <i t="grand">
      <x/>
    </i>
  </rowItems>
  <colItems count="1">
    <i/>
  </colItems>
  <pageFields count="1">
    <pageField fld="11" hier="-1"/>
  </pageFields>
  <dataFields count="1">
    <dataField name="Nombre de Réhosp.&lt; 30 j_RV" fld="62" subtotal="count" showDataAs="percentOfCol" baseField="35" baseItem="0" numFmtId="10"/>
  </dataFields>
  <formats count="5">
    <format dxfId="369">
      <pivotArea type="all" dataOnly="0" outline="0" fieldPosition="0"/>
    </format>
    <format dxfId="368">
      <pivotArea field="11" type="button" dataOnly="0" labelOnly="1" outline="0" axis="axisPage" fieldPosition="0"/>
    </format>
    <format dxfId="367">
      <pivotArea dataOnly="0" labelOnly="1" outline="0" fieldPosition="0">
        <references count="1">
          <reference field="11" count="0"/>
        </references>
      </pivotArea>
    </format>
    <format dxfId="366">
      <pivotArea field="62" type="button" dataOnly="0" labelOnly="1" outline="0" axis="axisRow" fieldPosition="0"/>
    </format>
    <format dxfId="365">
      <pivotArea dataOnly="0" labelOnly="1" outline="0" axis="axisValues" fieldPosition="0"/>
    </format>
  </formats>
  <chartFormats count="4">
    <chartFormat chart="1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6">
      <pivotArea type="data" outline="0" fieldPosition="0">
        <references count="2">
          <reference field="4294967294" count="1" selected="0">
            <x v="0"/>
          </reference>
          <reference field="62" count="1" selected="0">
            <x v="0"/>
          </reference>
        </references>
      </pivotArea>
    </chartFormat>
    <chartFormat chart="11" format="7">
      <pivotArea type="data" outline="0" fieldPosition="0">
        <references count="3">
          <reference field="4294967294" count="1" selected="0">
            <x v="0"/>
          </reference>
          <reference field="45" count="1" selected="0">
            <x v="0"/>
          </reference>
          <reference field="62" count="1" selected="0">
            <x v="2"/>
          </reference>
        </references>
      </pivotArea>
    </chartFormat>
    <chartFormat chart="1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6.xml><?xml version="1.0" encoding="utf-8"?>
<pivotTableDefinition xmlns="http://schemas.openxmlformats.org/spreadsheetml/2006/main" name="Tableau croisé dynamique1" cacheId="149" dataOnRows="1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2" fieldListSortAscending="1">
  <location ref="A7:B8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 includeNewItemsInFilter="1"/>
    <pivotField axis="axisPage" multipleItemSelectionAllowed="1" showAll="0">
      <items count="6">
        <item x="0"/>
        <item m="1" x="2"/>
        <item m="1" x="4"/>
        <item m="1" x="1"/>
        <item m="1" x="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2"/>
  </rowFields>
  <rowItems count="1">
    <i t="grand">
      <x/>
    </i>
  </rowItems>
  <colItems count="1">
    <i/>
  </colItems>
  <pageFields count="2">
    <pageField fld="11" hier="-1"/>
    <pageField fld="45" hier="-1"/>
  </pageFields>
  <dataFields count="1">
    <dataField name="Nombre de Réhosp.&lt; 30 j" fld="62" subtotal="count" showDataAs="percentOfCol" baseField="54" baseItem="0" numFmtId="10"/>
  </dataFields>
  <formats count="19">
    <format dxfId="333">
      <pivotArea field="11" type="button" dataOnly="0" labelOnly="1" outline="0" axis="axisPage" fieldPosition="0"/>
    </format>
    <format dxfId="332">
      <pivotArea dataOnly="0" labelOnly="1" outline="0" fieldPosition="0">
        <references count="1">
          <reference field="11" count="0"/>
        </references>
      </pivotArea>
    </format>
    <format dxfId="331">
      <pivotArea field="45" type="button" dataOnly="0" labelOnly="1" outline="0" axis="axisPage" fieldPosition="1"/>
    </format>
    <format dxfId="330">
      <pivotArea dataOnly="0" labelOnly="1" outline="0" fieldPosition="0">
        <references count="1">
          <reference field="45" count="0"/>
        </references>
      </pivotArea>
    </format>
    <format dxfId="329">
      <pivotArea type="all" dataOnly="0" outline="0" fieldPosition="0"/>
    </format>
    <format dxfId="328">
      <pivotArea field="62" type="button" dataOnly="0" labelOnly="1" outline="0" axis="axisRow" fieldPosition="0"/>
    </format>
    <format dxfId="327">
      <pivotArea dataOnly="0" labelOnly="1" outline="0" axis="axisValues" fieldPosition="0"/>
    </format>
    <format dxfId="326">
      <pivotArea field="11" type="button" dataOnly="0" labelOnly="1" outline="0" axis="axisPage" fieldPosition="0"/>
    </format>
    <format dxfId="325">
      <pivotArea dataOnly="0" labelOnly="1" outline="0" fieldPosition="0">
        <references count="1">
          <reference field="11" count="0"/>
        </references>
      </pivotArea>
    </format>
    <format dxfId="324">
      <pivotArea field="45" type="button" dataOnly="0" labelOnly="1" outline="0" axis="axisPage" fieldPosition="1"/>
    </format>
    <format dxfId="323">
      <pivotArea dataOnly="0" labelOnly="1" outline="0" fieldPosition="0">
        <references count="1">
          <reference field="45" count="0"/>
        </references>
      </pivotArea>
    </format>
    <format dxfId="322">
      <pivotArea field="62" type="button" dataOnly="0" labelOnly="1" outline="0" axis="axisRow" fieldPosition="0"/>
    </format>
    <format dxfId="321">
      <pivotArea dataOnly="0" labelOnly="1" outline="0" axis="axisValues" fieldPosition="0"/>
    </format>
    <format dxfId="320">
      <pivotArea field="11" type="button" dataOnly="0" labelOnly="1" outline="0" axis="axisPage" fieldPosition="0"/>
    </format>
    <format dxfId="319">
      <pivotArea dataOnly="0" labelOnly="1" outline="0" fieldPosition="0">
        <references count="1">
          <reference field="11" count="0"/>
        </references>
      </pivotArea>
    </format>
    <format dxfId="318">
      <pivotArea field="45" type="button" dataOnly="0" labelOnly="1" outline="0" axis="axisPage" fieldPosition="1"/>
    </format>
    <format dxfId="317">
      <pivotArea dataOnly="0" labelOnly="1" outline="0" fieldPosition="0">
        <references count="1">
          <reference field="45" count="0"/>
        </references>
      </pivotArea>
    </format>
    <format dxfId="316">
      <pivotArea field="62" type="button" dataOnly="0" labelOnly="1" outline="0" axis="axisRow" fieldPosition="0"/>
    </format>
    <format dxfId="315">
      <pivotArea dataOnly="0" labelOnly="1" outline="0" axis="axisValues" fieldPosition="0"/>
    </format>
  </formats>
  <pivotTableStyleInfo name="PivotStyleMedium3" showRowHeaders="1" showColHeaders="1" showRowStripes="1" showColStripes="1" showLastColumn="1"/>
</pivotTableDefinition>
</file>

<file path=xl/pivotTables/pivotTable37.xml><?xml version="1.0" encoding="utf-8"?>
<pivotTableDefinition xmlns="http://schemas.openxmlformats.org/spreadsheetml/2006/main" name="Tableau croisé dynamique4" cacheId="149" dataOnRows="1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2" fieldListSortAscending="1">
  <location ref="E6:F8" firstHeaderRow="1" firstDataRow="2" firstDataCol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 includeNewItemsInFilter="1"/>
    <pivotField axis="axisCol" showAll="0" includeNewItemsInFilter="1">
      <items count="6">
        <item x="0"/>
        <item h="1" m="1" x="2"/>
        <item h="1" m="1" x="4"/>
        <item h="1" m="1" x="1"/>
        <item h="1" m="1" x="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45"/>
  </colFields>
  <colItems count="1">
    <i t="grand">
      <x/>
    </i>
  </colItems>
  <dataFields count="1">
    <dataField name="Nombre de Réhosp.&lt; 30 j_RV" fld="62" subtotal="count" showDataAs="percentOfRow" baseField="9" baseItem="3" numFmtId="9"/>
  </dataFields>
  <formats count="15">
    <format dxfId="348">
      <pivotArea type="all" dataOnly="0" outline="0" fieldPosition="0"/>
    </format>
    <format dxfId="347">
      <pivotArea type="origin" dataOnly="0" labelOnly="1" outline="0" fieldPosition="0"/>
    </format>
    <format dxfId="346">
      <pivotArea field="11" type="button" dataOnly="0" labelOnly="1" outline="0" axis="axisRow" fieldPosition="0"/>
    </format>
    <format dxfId="345">
      <pivotArea field="45" type="button" dataOnly="0" labelOnly="1" outline="0" axis="axisCol" fieldPosition="0"/>
    </format>
    <format dxfId="344">
      <pivotArea type="topRight" dataOnly="0" labelOnly="1" outline="0" fieldPosition="0"/>
    </format>
    <format dxfId="343">
      <pivotArea dataOnly="0" labelOnly="1" fieldPosition="0">
        <references count="1">
          <reference field="45" count="0"/>
        </references>
      </pivotArea>
    </format>
    <format dxfId="342">
      <pivotArea dataOnly="0" labelOnly="1" grandCol="1" outline="0" fieldPosition="0"/>
    </format>
    <format dxfId="341">
      <pivotArea type="origin" dataOnly="0" labelOnly="1" outline="0" fieldPosition="0"/>
    </format>
    <format dxfId="340">
      <pivotArea field="11" type="button" dataOnly="0" labelOnly="1" outline="0" axis="axisRow" fieldPosition="0"/>
    </format>
    <format dxfId="339">
      <pivotArea field="45" type="button" dataOnly="0" labelOnly="1" outline="0" axis="axisCol" fieldPosition="0"/>
    </format>
    <format dxfId="338">
      <pivotArea type="topRight" dataOnly="0" labelOnly="1" outline="0" fieldPosition="0"/>
    </format>
    <format dxfId="337">
      <pivotArea dataOnly="0" labelOnly="1" fieldPosition="0">
        <references count="1">
          <reference field="45" count="0"/>
        </references>
      </pivotArea>
    </format>
    <format dxfId="336">
      <pivotArea dataOnly="0" labelOnly="1" grandCol="1" outline="0" fieldPosition="0"/>
    </format>
    <format dxfId="335">
      <pivotArea outline="0" collapsedLevelsAreSubtotals="1" fieldPosition="0">
        <references count="1">
          <reference field="45" count="1" selected="0">
            <x v="0"/>
          </reference>
        </references>
      </pivotArea>
    </format>
    <format dxfId="334">
      <pivotArea outline="0" collapsedLevelsAreSubtotals="1" fieldPosition="0"/>
    </format>
  </formats>
  <pivotTableStyleInfo name="PivotStyleMedium3" showRowHeaders="1" showColHeaders="1" showRowStripes="1" showColStripes="1" showLastColumn="1"/>
</pivotTableDefinition>
</file>

<file path=xl/pivotTables/pivotTable38.xml><?xml version="1.0" encoding="utf-8"?>
<pivotTableDefinition xmlns="http://schemas.openxmlformats.org/spreadsheetml/2006/main" name="Tableau croisé dynamique4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7" fieldListSortAscending="1">
  <location ref="I3:J5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12"/>
        <item m="1" x="8"/>
        <item x="0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 includeNewItemsInFilter="1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58"/>
  </colFields>
  <colItems count="1">
    <i t="grand">
      <x/>
    </i>
  </colItems>
  <pageFields count="1">
    <pageField fld="14" hier="-1"/>
  </pageFields>
  <dataFields count="1">
    <dataField name="Nombre de Inf p.op_RV6" fld="58" subtotal="count" showDataAs="percentOfRow" baseField="11" baseItem="4" numFmtId="10"/>
  </dataFields>
  <formats count="10">
    <format dxfId="299">
      <pivotArea type="all" dataOnly="0" outline="0" fieldPosition="0"/>
    </format>
    <format dxfId="298">
      <pivotArea type="all" dataOnly="0" outline="0" fieldPosition="0"/>
    </format>
    <format dxfId="297">
      <pivotArea type="origin" dataOnly="0" labelOnly="1" outline="0" fieldPosition="0"/>
    </format>
    <format dxfId="296">
      <pivotArea field="11" type="button" dataOnly="0" labelOnly="1" outline="0" axis="axisRow" fieldPosition="0"/>
    </format>
    <format dxfId="295">
      <pivotArea type="topRight" dataOnly="0" labelOnly="1" outline="0" fieldPosition="0"/>
    </format>
    <format dxfId="294">
      <pivotArea dataOnly="0" labelOnly="1" grandCol="1" outline="0" fieldPosition="0"/>
    </format>
    <format dxfId="293">
      <pivotArea grandRow="1" grandCol="1" outline="0" collapsedLevelsAreSubtotals="1" fieldPosition="0"/>
    </format>
    <format dxfId="292">
      <pivotArea outline="0" collapsedLevelsAreSubtotals="1" fieldPosition="0"/>
    </format>
    <format dxfId="291">
      <pivotArea outline="0" fieldPosition="0">
        <references count="1">
          <reference field="4294967294" count="1">
            <x v="0"/>
          </reference>
        </references>
      </pivotArea>
    </format>
    <format dxfId="290">
      <pivotArea dataOnly="0" labelOnly="1" fieldPosition="0">
        <references count="1">
          <reference field="58" count="2">
            <x v="0"/>
            <x v="1"/>
          </reference>
        </references>
      </pivotArea>
    </format>
  </formats>
  <chartFormats count="3">
    <chartFormat chart="16" format="12" series="1">
      <pivotArea type="data" outline="0" fieldPosition="0">
        <references count="2">
          <reference field="4294967294" count="1" selected="0">
            <x v="0"/>
          </reference>
          <reference field="58" count="1" selected="0">
            <x v="0"/>
          </reference>
        </references>
      </pivotArea>
    </chartFormat>
    <chartFormat chart="16" format="13" series="1">
      <pivotArea type="data" outline="0" fieldPosition="0">
        <references count="2">
          <reference field="4294967294" count="1" selected="0">
            <x v="0"/>
          </reference>
          <reference field="58" count="1" selected="0">
            <x v="1"/>
          </reference>
        </references>
      </pivotArea>
    </chartFormat>
    <chartFormat chart="16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39.xml><?xml version="1.0" encoding="utf-8"?>
<pivotTableDefinition xmlns="http://schemas.openxmlformats.org/spreadsheetml/2006/main" name="Tableau croisé dynamique2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6" fieldListSortAscending="1">
  <location ref="D7:E9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 includeNewItemsInFilter="1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58"/>
  </colFields>
  <colItems count="1">
    <i t="grand">
      <x/>
    </i>
  </colItems>
  <pageFields count="1">
    <pageField fld="14" hier="-1"/>
  </pageFields>
  <dataFields count="1">
    <dataField name="Nombre de Inf p.op_RV6" fld="58" subtotal="count" baseField="0" baseItem="0"/>
  </dataFields>
  <formats count="15">
    <format dxfId="314">
      <pivotArea field="14" type="button" dataOnly="0" labelOnly="1" outline="0" axis="axisPage" fieldPosition="0"/>
    </format>
    <format dxfId="313">
      <pivotArea dataOnly="0" labelOnly="1" outline="0" fieldPosition="0">
        <references count="1">
          <reference field="14" count="0"/>
        </references>
      </pivotArea>
    </format>
    <format dxfId="312">
      <pivotArea field="14" type="button" dataOnly="0" labelOnly="1" outline="0" axis="axisPage" fieldPosition="0"/>
    </format>
    <format dxfId="311">
      <pivotArea dataOnly="0" labelOnly="1" outline="0" fieldPosition="0">
        <references count="1">
          <reference field="14" count="0"/>
        </references>
      </pivotArea>
    </format>
    <format dxfId="310">
      <pivotArea type="all" dataOnly="0" outline="0" fieldPosition="0"/>
    </format>
    <format dxfId="309">
      <pivotArea type="origin" dataOnly="0" labelOnly="1" outline="0" fieldPosition="0"/>
    </format>
    <format dxfId="308">
      <pivotArea field="11" type="button" dataOnly="0" labelOnly="1" outline="0" axis="axisRow" fieldPosition="0"/>
    </format>
    <format dxfId="307">
      <pivotArea type="topRight" dataOnly="0" labelOnly="1" outline="0" fieldPosition="0"/>
    </format>
    <format dxfId="306">
      <pivotArea dataOnly="0" labelOnly="1" grandCol="1" outline="0" fieldPosition="0"/>
    </format>
    <format dxfId="305">
      <pivotArea type="origin" dataOnly="0" labelOnly="1" outline="0" fieldPosition="0"/>
    </format>
    <format dxfId="304">
      <pivotArea field="11" type="button" dataOnly="0" labelOnly="1" outline="0" axis="axisRow" fieldPosition="0"/>
    </format>
    <format dxfId="303">
      <pivotArea type="topRight" dataOnly="0" labelOnly="1" outline="0" fieldPosition="0"/>
    </format>
    <format dxfId="302">
      <pivotArea dataOnly="0" labelOnly="1" grandCol="1" outline="0" fieldPosition="0"/>
    </format>
    <format dxfId="301">
      <pivotArea field="14" type="button" dataOnly="0" labelOnly="1" outline="0" axis="axisPage" fieldPosition="0"/>
    </format>
    <format dxfId="300">
      <pivotArea dataOnly="0" labelOnly="1" outline="0" fieldPosition="0">
        <references count="1">
          <reference field="14" count="0"/>
        </references>
      </pivotArea>
    </format>
  </formats>
  <chartFormats count="3">
    <chartFormat chart="14" format="39" series="1">
      <pivotArea type="data" outline="0" fieldPosition="0">
        <references count="2">
          <reference field="4294967294" count="1" selected="0">
            <x v="0"/>
          </reference>
          <reference field="58" count="1" selected="0">
            <x v="0"/>
          </reference>
        </references>
      </pivotArea>
    </chartFormat>
    <chartFormat chart="14" format="40" series="1">
      <pivotArea type="data" outline="0" fieldPosition="0">
        <references count="2">
          <reference field="4294967294" count="1" selected="0">
            <x v="0"/>
          </reference>
          <reference field="58" count="1" selected="0">
            <x v="1"/>
          </reference>
        </references>
      </pivotArea>
    </chartFormat>
    <chartFormat chart="14" format="4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40.xml><?xml version="1.0" encoding="utf-8"?>
<pivotTableDefinition xmlns="http://schemas.openxmlformats.org/spreadsheetml/2006/main" name="Tableau croisé dynamique1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6" fieldListSortAscending="1">
  <location ref="A4" firstHeaderRow="0" firstDataRow="0" firstDataCol="0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 includeNewItemsInFilter="1" sortType="ascending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pageFields count="1">
    <pageField fld="11" hier="-1"/>
  </pageFields>
  <pivotTableStyleInfo name="PivotStyleMedium3" showRowHeaders="1" showColHeaders="1" showRowStripes="1" showColStripes="1" showLastColumn="1"/>
</pivotTableDefinition>
</file>

<file path=xl/pivotTables/pivotTable41.xml><?xml version="1.0" encoding="utf-8"?>
<pivotTableDefinition xmlns="http://schemas.openxmlformats.org/spreadsheetml/2006/main" name="Tableau croisé dynamique1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64" fieldListSortAscending="1">
  <location ref="A6:B7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12"/>
        <item m="1" x="8"/>
        <item x="0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 includeNewItemsInFilter="1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58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Inf p.op_RV6" fld="58" subtotal="count" showDataAs="percentOfCol" baseField="58" baseItem="0" numFmtId="9"/>
  </dataFields>
  <formats count="10">
    <format dxfId="282">
      <pivotArea field="11" type="button" dataOnly="0" labelOnly="1" outline="0" axis="axisPage" fieldPosition="0"/>
    </format>
    <format dxfId="281">
      <pivotArea dataOnly="0" labelOnly="1" outline="0" fieldPosition="0">
        <references count="1">
          <reference field="11" count="0"/>
        </references>
      </pivotArea>
    </format>
    <format dxfId="280">
      <pivotArea dataOnly="0" labelOnly="1" outline="0" axis="axisValues" fieldPosition="0"/>
    </format>
    <format dxfId="279">
      <pivotArea field="11" type="button" dataOnly="0" labelOnly="1" outline="0" axis="axisPage" fieldPosition="0"/>
    </format>
    <format dxfId="278">
      <pivotArea dataOnly="0" labelOnly="1" outline="0" fieldPosition="0">
        <references count="1">
          <reference field="11" count="0"/>
        </references>
      </pivotArea>
    </format>
    <format dxfId="277">
      <pivotArea dataOnly="0" labelOnly="1" outline="0" axis="axisValues" fieldPosition="0"/>
    </format>
    <format dxfId="276">
      <pivotArea outline="0" collapsedLevelsAreSubtotals="1" fieldPosition="0"/>
    </format>
    <format dxfId="275">
      <pivotArea dataOnly="0" labelOnly="1" grandRow="1" outline="0" fieldPosition="0"/>
    </format>
    <format dxfId="274">
      <pivotArea outline="0" fieldPosition="0">
        <references count="1">
          <reference field="4294967294" count="1">
            <x v="0"/>
          </reference>
        </references>
      </pivotArea>
    </format>
    <format dxfId="273">
      <pivotArea outline="0" collapsedLevelsAreSubtotals="1" fieldPosition="0"/>
    </format>
  </formats>
  <chartFormats count="1">
    <chartFormat chart="14" format="4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42.xml><?xml version="1.0" encoding="utf-8"?>
<pivotTableDefinition xmlns="http://schemas.openxmlformats.org/spreadsheetml/2006/main" name="Tableau croisé dynamique3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5" fieldListSortAscending="1">
  <location ref="A22:A23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m="1" x="11"/>
        <item h="1" m="1" x="10"/>
        <item m="1" x="6"/>
        <item m="1" x="16"/>
        <item m="1" x="5"/>
        <item m="1" x="15"/>
        <item m="1" x="12"/>
        <item m="1" x="8"/>
        <item h="1" x="0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 includeNewItemsInFilter="1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2">
    <pageField fld="58" hier="-1"/>
    <pageField fld="14" hier="-1"/>
  </pageFields>
  <formats count="7">
    <format dxfId="289">
      <pivotArea field="11" type="button" dataOnly="0" labelOnly="1" outline="0" axis="axisRow" fieldPosition="0"/>
    </format>
    <format dxfId="288">
      <pivotArea dataOnly="0" labelOnly="1" outline="0" axis="axisValues" fieldPosition="0"/>
    </format>
    <format dxfId="287">
      <pivotArea field="11" type="button" dataOnly="0" labelOnly="1" outline="0" axis="axisRow" fieldPosition="0"/>
    </format>
    <format dxfId="286">
      <pivotArea dataOnly="0" labelOnly="1" outline="0" axis="axisValues" fieldPosition="0"/>
    </format>
    <format dxfId="285">
      <pivotArea outline="0" collapsedLevelsAreSubtotals="1" fieldPosition="0"/>
    </format>
    <format dxfId="284">
      <pivotArea dataOnly="0" labelOnly="1" fieldPosition="0">
        <references count="1">
          <reference field="11" count="4">
            <x v="3"/>
            <x v="4"/>
            <x v="5"/>
            <x v="6"/>
          </reference>
        </references>
      </pivotArea>
    </format>
    <format dxfId="283">
      <pivotArea dataOnly="0" labelOnly="1" grandRow="1" outline="0" fieldPosition="0"/>
    </format>
  </formats>
  <pivotTableStyleInfo name="PivotStyleMedium3" showRowHeaders="1" showColHeaders="1" showRowStripes="1" showColStripes="1" showLastColumn="1"/>
</pivotTableDefinition>
</file>

<file path=xl/pivotTables/pivotTable43.xml><?xml version="1.0" encoding="utf-8"?>
<pivotTableDefinition xmlns="http://schemas.openxmlformats.org/spreadsheetml/2006/main" name="Tableau croisé dynamique5" cacheId="107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6">
  <location ref="F7:G9" firstHeaderRow="1" firstDataRow="1" firstDataCol="1" rowPageCount="2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multipleItemSelectionAllowed="1" showAll="0"/>
    <pivotField showAll="0"/>
    <pivotField showAll="0"/>
    <pivotField axis="axisPage" multipleItemSelectionAllowed="1" showAll="0">
      <items count="13">
        <item x="2"/>
        <item x="1"/>
        <item m="1" x="9"/>
        <item m="1" x="3"/>
        <item m="1" x="7"/>
        <item m="1" x="4"/>
        <item m="1" x="8"/>
        <item h="1" m="1" x="11"/>
        <item h="1" m="1" x="5"/>
        <item x="0"/>
        <item h="1" m="1" x="6"/>
        <item h="1" m="1" x="10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">
        <item m="1" x="2"/>
        <item m="1" x="3"/>
        <item x="1"/>
        <item x="0"/>
        <item t="default"/>
      </items>
    </pivotField>
    <pivotField showAll="0" defaultSubtotal="0"/>
    <pivotField showAll="0"/>
  </pivotFields>
  <rowFields count="1">
    <field x="72"/>
  </rowFields>
  <rowItems count="2">
    <i>
      <x v="3"/>
    </i>
    <i t="grand">
      <x/>
    </i>
  </rowItems>
  <colItems count="1">
    <i/>
  </colItems>
  <pageFields count="2">
    <pageField fld="14" hier="-1"/>
    <pageField fld="0" hier="-1"/>
  </pageFields>
  <dataFields count="1">
    <dataField name="Nombre de AVC_RV" fld="72" subtotal="count" showDataAs="percentOfTotal" baseField="0" baseItem="4" numFmtId="166"/>
  </dataFields>
  <formats count="1">
    <format dxfId="272">
      <pivotArea outline="0" collapsedLevelsAreSubtotals="1" fieldPosition="0"/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7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72" count="1" selected="0">
            <x v="1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4.xml><?xml version="1.0" encoding="utf-8"?>
<pivotTableDefinition xmlns="http://schemas.openxmlformats.org/spreadsheetml/2006/main" name="Tableau croisé dynamique3" cacheId="112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2">
  <location ref="A3:C15" firstHeaderRow="1" firstDataRow="2" firstDataCol="1"/>
  <pivotFields count="75">
    <pivotField axis="axisRow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5">
        <item m="1" x="2"/>
        <item m="1" x="3"/>
        <item x="1"/>
        <item x="0"/>
        <item t="default"/>
      </items>
    </pivotField>
    <pivotField showAll="0" defaultSubtotal="0"/>
    <pivotField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 t="grand">
      <x/>
    </i>
  </rowItems>
  <colFields count="1">
    <field x="72"/>
  </colFields>
  <colItems count="2">
    <i>
      <x v="3"/>
    </i>
    <i t="grand">
      <x/>
    </i>
  </colItems>
  <dataFields count="1">
    <dataField name="Nombre de AVC_RV" fld="7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5.xml><?xml version="1.0" encoding="utf-8"?>
<pivotTableDefinition xmlns="http://schemas.openxmlformats.org/spreadsheetml/2006/main" name="Tableau croisé dynamique8" cacheId="128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3">
  <location ref="F8:G10" firstHeaderRow="1" firstDataRow="1" firstDataCol="1" rowPageCount="2" colPageCount="1"/>
  <pivotFields count="75">
    <pivotField axis="axisPage" multipleItemSelectionAllowed="1" showAll="0">
      <items count="16">
        <item x="0"/>
        <item x="1"/>
        <item x="2"/>
        <item x="3"/>
        <item x="4"/>
        <item x="5"/>
        <item x="6"/>
        <item h="1" m="1" x="14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axis="axisPage" multipleItemSelectionAllowed="1" showAll="0">
      <items count="13">
        <item m="1" x="5"/>
        <item x="1"/>
        <item m="1" x="9"/>
        <item m="1" x="2"/>
        <item m="1" x="7"/>
        <item m="1" x="3"/>
        <item m="1" x="8"/>
        <item h="1" m="1" x="11"/>
        <item h="1" m="1" x="4"/>
        <item x="0"/>
        <item h="1" m="1" x="6"/>
        <item h="1" m="1" x="10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defaultSubtotal="0">
      <items count="3">
        <item m="1" x="2"/>
        <item x="1"/>
        <item x="0"/>
      </items>
    </pivotField>
    <pivotField showAll="0"/>
  </pivotFields>
  <rowFields count="1">
    <field x="73"/>
  </rowFields>
  <rowItems count="2">
    <i>
      <x v="2"/>
    </i>
    <i t="grand">
      <x/>
    </i>
  </rowItems>
  <colItems count="1">
    <i/>
  </colItems>
  <pageFields count="2">
    <pageField fld="0" hier="-1"/>
    <pageField fld="14" hier="-1"/>
  </pageFields>
  <dataFields count="1">
    <dataField name="Nombre de IM_RV" fld="73" subtotal="count" showDataAs="percentOfTotal" baseField="68" baseItem="0" numFmtId="9"/>
  </dataFields>
  <formats count="1">
    <format dxfId="271">
      <pivotArea outline="0" collapsedLevelsAreSubtotals="1" fieldPosition="0"/>
    </format>
  </formats>
  <chartFormats count="2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6.xml><?xml version="1.0" encoding="utf-8"?>
<pivotTableDefinition xmlns="http://schemas.openxmlformats.org/spreadsheetml/2006/main" name="Tableau croisé dynamique6" cacheId="98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3:C15" firstHeaderRow="1" firstDataRow="2" firstDataCol="1"/>
  <pivotFields count="75">
    <pivotField axis="axisRow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 defaultSubtotal="0">
      <items count="1">
        <item x="0"/>
      </items>
    </pivotField>
    <pivotField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 t="grand">
      <x/>
    </i>
  </rowItems>
  <colFields count="1">
    <field x="73"/>
  </colFields>
  <colItems count="2">
    <i>
      <x/>
    </i>
    <i t="grand">
      <x/>
    </i>
  </colItems>
  <dataFields count="1">
    <dataField name="Nombre de IM_RV" fld="7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7.xml><?xml version="1.0" encoding="utf-8"?>
<pivotTableDefinition xmlns="http://schemas.openxmlformats.org/spreadsheetml/2006/main" name="Tableau croisé dynamique11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20" fieldListSortAscending="1">
  <location ref="G17:H19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0"/>
  </colFields>
  <colItems count="1">
    <i t="grand">
      <x/>
    </i>
  </colItems>
  <pageFields count="1">
    <pageField fld="14" hier="-1"/>
  </pageFields>
  <dataFields count="1">
    <dataField name="Nombre de Transfu &gt;24 h_RV8" fld="60" subtotal="count" showDataAs="percentOfRow" baseField="11" baseItem="1" numFmtId="10"/>
  </dataFields>
  <chartFormats count="3">
    <chartFormat chart="19" format="11" series="1">
      <pivotArea type="data" outline="0" fieldPosition="0">
        <references count="1">
          <reference field="60" count="1" selected="0">
            <x v="0"/>
          </reference>
        </references>
      </pivotArea>
    </chartFormat>
    <chartFormat chart="19" format="12" series="1">
      <pivotArea type="data" outline="0" fieldPosition="0">
        <references count="1">
          <reference field="60" count="1" selected="0">
            <x v="1"/>
          </reference>
        </references>
      </pivotArea>
    </chartFormat>
    <chartFormat chart="19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48.xml><?xml version="1.0" encoding="utf-8"?>
<pivotTableDefinition xmlns="http://schemas.openxmlformats.org/spreadsheetml/2006/main" name="Tableau croisé dynamique6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20" fieldListSortAscending="1">
  <location ref="G53:H55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0"/>
  </colFields>
  <colItems count="1">
    <i t="grand">
      <x/>
    </i>
  </colItems>
  <pageFields count="1">
    <pageField fld="14" hier="-1"/>
  </pageFields>
  <dataFields count="1">
    <dataField name="Nombre de Transfu &gt;24 h_RV8" fld="60" subtotal="count" showDataAs="percentOfRow" baseField="11" baseItem="1" numFmtId="10"/>
  </dataFields>
  <formats count="2">
    <format dxfId="257">
      <pivotArea outline="0" collapsedLevelsAreSubtotals="1" fieldPosition="0"/>
    </format>
    <format dxfId="25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49.xml><?xml version="1.0" encoding="utf-8"?>
<pivotTableDefinition xmlns="http://schemas.openxmlformats.org/spreadsheetml/2006/main" name="Tableau croisé dynamique2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9" fieldListSortAscending="1">
  <location ref="A18:C20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11" hier="-1"/>
    <pageField fld="14" hier="-1"/>
  </pageFields>
  <dataFields count="2">
    <dataField name="Nombre de Transfu &gt;24 h_RV8" fld="60" subtotal="count" baseField="0" baseItem="0"/>
    <dataField name="Somme de T &gt;24 h - nb trans" fld="33" baseField="52" baseItem="4"/>
  </dataFields>
  <chartFormats count="3">
    <chartFormat chart="13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8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0.xml><?xml version="1.0" encoding="utf-8"?>
<pivotTableDefinition xmlns="http://schemas.openxmlformats.org/spreadsheetml/2006/main" name="Tableau croisé dynamique5" cacheId="14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20" fieldListSortAscending="1">
  <location ref="G34:H36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0"/>
  </colFields>
  <colItems count="1">
    <i t="grand">
      <x/>
    </i>
  </colItems>
  <pageFields count="1">
    <pageField fld="14" hier="-1"/>
  </pageFields>
  <dataFields count="1">
    <dataField name="Nombre de Transfu &gt;24 h_RV8" fld="60" subtotal="count" showDataAs="percentOfRow" baseField="11" baseItem="1" numFmtId="10"/>
  </dataFields>
  <formats count="7">
    <format dxfId="264">
      <pivotArea type="all" dataOnly="0" outline="0" fieldPosition="0"/>
    </format>
    <format dxfId="263">
      <pivotArea type="all" dataOnly="0" outline="0" fieldPosition="0"/>
    </format>
    <format dxfId="262">
      <pivotArea dataOnly="0" fieldPosition="0">
        <references count="1">
          <reference field="11" count="3">
            <x v="3"/>
            <x v="4"/>
            <x v="5"/>
          </reference>
        </references>
      </pivotArea>
    </format>
    <format dxfId="261">
      <pivotArea field="11" dataOnly="0" grandRow="1" axis="axisRow" fieldPosition="0">
        <references count="1">
          <reference field="11" count="1">
            <x v="6"/>
          </reference>
        </references>
      </pivotArea>
    </format>
    <format dxfId="260">
      <pivotArea dataOnly="0" fieldPosition="0">
        <references count="1">
          <reference field="11" count="1">
            <x v="6"/>
          </reference>
        </references>
      </pivotArea>
    </format>
    <format dxfId="259">
      <pivotArea outline="0" collapsedLevelsAreSubtotals="1" fieldPosition="0"/>
    </format>
    <format dxfId="25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51.xml><?xml version="1.0" encoding="utf-8"?>
<pivotTableDefinition xmlns="http://schemas.openxmlformats.org/spreadsheetml/2006/main" name="Tableau croisé dynamique3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60" fieldListSortAscending="1">
  <location ref="A36:C38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11" hier="-1"/>
    <pageField fld="14" hier="-1"/>
  </pageFields>
  <dataFields count="2">
    <dataField name="Nombre de Transfu &gt;24 h_RV8" fld="60" subtotal="count" baseField="0" baseItem="0"/>
    <dataField name="Somme de T &gt;24 h - nb trans" fld="33" baseField="52" baseItem="4"/>
  </dataFields>
  <formats count="6">
    <format dxfId="270">
      <pivotArea type="all" dataOnly="0" outline="0" fieldPosition="0"/>
    </format>
    <format dxfId="269">
      <pivotArea type="all" dataOnly="0" outline="0" fieldPosition="0"/>
    </format>
    <format dxfId="268">
      <pivotArea field="11" type="button" dataOnly="0" labelOnly="1" outline="0" axis="axisPage" fieldPosition="0"/>
    </format>
    <format dxfId="267">
      <pivotArea dataOnly="0" labelOnly="1" outline="0" fieldPosition="0">
        <references count="1">
          <reference field="11" count="0"/>
        </references>
      </pivotArea>
    </format>
    <format dxfId="266">
      <pivotArea field="14" type="button" dataOnly="0" labelOnly="1" outline="0" axis="axisPage" fieldPosition="1"/>
    </format>
    <format dxfId="265">
      <pivotArea dataOnly="0" labelOnly="1" outline="0" fieldPosition="0">
        <references count="1">
          <reference field="14" count="0"/>
        </references>
      </pivotArea>
    </format>
  </formats>
  <chartFormats count="5">
    <chartFormat chart="13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8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2.xml><?xml version="1.0" encoding="utf-8"?>
<pivotTableDefinition xmlns="http://schemas.openxmlformats.org/spreadsheetml/2006/main" name="Tableau croisé dynamique10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6" fieldListSortAscending="1">
  <location ref="G5:H6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 &gt;24 h_RV8" fld="60" subtotal="count" showDataAs="percentOfCol" baseField="60" baseItem="0" numFmtId="10"/>
  </dataFields>
  <chartFormats count="1">
    <chartFormat chart="1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3.xml><?xml version="1.0" encoding="utf-8"?>
<pivotTableDefinition xmlns="http://schemas.openxmlformats.org/spreadsheetml/2006/main" name="Tableau croisé dynamique4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9" fieldListSortAscending="1">
  <location ref="A52:C54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11" hier="-1"/>
    <pageField fld="14" hier="-1"/>
  </pageFields>
  <dataFields count="2">
    <dataField name="Nombre de Transfu &gt;24 h_RV8" fld="60" subtotal="count" baseField="0" baseItem="0"/>
    <dataField name="Somme de T &gt;24 h - nb trans" fld="33" baseField="52" baseItem="4"/>
  </dataFields>
  <chartFormats count="3">
    <chartFormat chart="13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8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4.xml><?xml version="1.0" encoding="utf-8"?>
<pivotTableDefinition xmlns="http://schemas.openxmlformats.org/spreadsheetml/2006/main" name="Tableau croisé dynamique1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20" fieldListSortAscending="1">
  <location ref="A5:C7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11" hier="-1"/>
    <pageField fld="14" hier="-1"/>
  </pageFields>
  <dataFields count="2">
    <dataField name="Nombre de Transfu &gt;24 h_RV8" fld="60" subtotal="count" baseField="0" baseItem="0"/>
    <dataField name="Somme de T &gt;24 h - nb trans" fld="33" baseField="52" baseItem="4"/>
  </dataFields>
  <chartFormats count="4">
    <chartFormat chart="17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8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9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9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5.xml><?xml version="1.0" encoding="utf-8"?>
<pivotTableDefinition xmlns="http://schemas.openxmlformats.org/spreadsheetml/2006/main" name="Tableau croisé dynamique6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6" fieldListSortAscending="1">
  <location ref="A18:B19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1">
    <pageField fld="14" hier="-1"/>
  </pageFields>
  <dataFields count="1">
    <dataField name="Moyenne de T &gt;24 h - nb trans" fld="33" subtotal="average" baseField="52" baseItem="7" numFmtId="165"/>
  </dataFields>
  <formats count="1">
    <format dxfId="240">
      <pivotArea outline="0" collapsedLevelsAreSubtotals="1" fieldPosition="0"/>
    </format>
  </formats>
  <chartFormats count="2">
    <chartFormat chart="13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6.xml><?xml version="1.0" encoding="utf-8"?>
<pivotTableDefinition xmlns="http://schemas.openxmlformats.org/spreadsheetml/2006/main" name="Tableau croisé dynamique13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6" fieldListSortAscending="1">
  <location ref="K8:L9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1">
    <pageField fld="14" hier="-1"/>
  </pageFields>
  <dataFields count="1">
    <dataField name="Moyenne de T &gt;24 h - nb trans" fld="33" subtotal="average" baseField="52" baseItem="7" numFmtId="165"/>
  </dataFields>
  <formats count="1">
    <format dxfId="241">
      <pivotArea outline="0" collapsedLevelsAreSubtotals="1" fieldPosition="0"/>
    </format>
  </formats>
  <chartFormats count="2">
    <chartFormat chart="13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7.xml><?xml version="1.0" encoding="utf-8"?>
<pivotTableDefinition xmlns="http://schemas.openxmlformats.org/spreadsheetml/2006/main" name="Tableau croisé dynamique15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6" fieldListSortAscending="1">
  <location ref="K41:L42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1">
    <pageField fld="14" hier="-1"/>
  </pageFields>
  <dataFields count="1">
    <dataField name="Moyenne de T &gt;24 h - nb trans" fld="33" subtotal="average" baseField="52" baseItem="7" numFmtId="165"/>
  </dataFields>
  <formats count="1">
    <format dxfId="242">
      <pivotArea outline="0" collapsedLevelsAreSubtotals="1" fieldPosition="0"/>
    </format>
  </formats>
  <chartFormats count="2">
    <chartFormat chart="13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58.xml><?xml version="1.0" encoding="utf-8"?>
<pivotTableDefinition xmlns="http://schemas.openxmlformats.org/spreadsheetml/2006/main" name="Tableau croisé dynamique1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5" fieldListSortAscending="1">
  <location ref="A7:B8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 &gt;24 h_RV8" fld="60" subtotal="count" showDataAs="percentOfCol" baseField="60" baseItem="0" numFmtId="10"/>
  </dataFields>
  <formats count="2">
    <format dxfId="244">
      <pivotArea outline="0" collapsedLevelsAreSubtotals="1" fieldPosition="0"/>
    </format>
    <format dxfId="24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59.xml><?xml version="1.0" encoding="utf-8"?>
<pivotTableDefinition xmlns="http://schemas.openxmlformats.org/spreadsheetml/2006/main" name="Tableau croisé dynamique7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5" fieldListSortAscending="1">
  <location ref="F7:G8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 &gt;24 h_RV8" fld="60" subtotal="count" showDataAs="percentOfCol" baseField="60" baseItem="0" numFmtId="10"/>
  </dataFields>
  <formats count="2">
    <format dxfId="246">
      <pivotArea outline="0" collapsedLevelsAreSubtotals="1" fieldPosition="0"/>
    </format>
    <format dxfId="24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60.xml><?xml version="1.0" encoding="utf-8"?>
<pivotTableDefinition xmlns="http://schemas.openxmlformats.org/spreadsheetml/2006/main" name="Tableau croisé dynamique8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5" fieldListSortAscending="1">
  <location ref="F17:G18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 &gt;24 h_RV8" fld="60" subtotal="count" showDataAs="percentOfCol" baseField="60" baseItem="0" numFmtId="10"/>
  </dataFields>
  <formats count="6">
    <format dxfId="252">
      <pivotArea outline="0" collapsedLevelsAreSubtotals="1" fieldPosition="0"/>
    </format>
    <format dxfId="251">
      <pivotArea field="11" type="button" dataOnly="0" labelOnly="1" outline="0" axis="axisPage" fieldPosition="0"/>
    </format>
    <format dxfId="250">
      <pivotArea dataOnly="0" labelOnly="1" outline="0" fieldPosition="0">
        <references count="1">
          <reference field="11" count="0"/>
        </references>
      </pivotArea>
    </format>
    <format dxfId="249">
      <pivotArea field="14" type="button" dataOnly="0" labelOnly="1" outline="0" axis="axisPage" fieldPosition="1"/>
    </format>
    <format dxfId="248">
      <pivotArea dataOnly="0" labelOnly="1" outline="0" fieldPosition="0">
        <references count="1">
          <reference field="14" count="0"/>
        </references>
      </pivotArea>
    </format>
    <format dxfId="24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61.xml><?xml version="1.0" encoding="utf-8"?>
<pivotTableDefinition xmlns="http://schemas.openxmlformats.org/spreadsheetml/2006/main" name="Tableau croisé dynamique14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6" fieldListSortAscending="1">
  <location ref="K24:L25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dataField="1"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1">
    <pageField fld="14" hier="-1"/>
  </pageFields>
  <dataFields count="1">
    <dataField name="Moyenne de T &gt;24 h - nb trans" fld="33" subtotal="average" baseField="52" baseItem="7" numFmtId="165"/>
  </dataFields>
  <formats count="1">
    <format dxfId="253">
      <pivotArea outline="0" collapsedLevelsAreSubtotals="1" fieldPosition="0"/>
    </format>
  </formats>
  <chartFormats count="2">
    <chartFormat chart="13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62.xml><?xml version="1.0" encoding="utf-8"?>
<pivotTableDefinition xmlns="http://schemas.openxmlformats.org/spreadsheetml/2006/main" name="Tableau croisé dynamique9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5" fieldListSortAscending="1">
  <location ref="F28:G29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h="1" m="1" x="7"/>
        <item h="1"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0"/>
        <item m="1" x="2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0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 &gt;24 h_RV8" fld="60" subtotal="count" showDataAs="percentOfCol" baseField="60" baseItem="0" numFmtId="10"/>
  </dataFields>
  <formats count="2">
    <format dxfId="255">
      <pivotArea outline="0" collapsedLevelsAreSubtotals="1" fieldPosition="0"/>
    </format>
    <format dxfId="25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63.xml><?xml version="1.0" encoding="utf-8"?>
<pivotTableDefinition xmlns="http://schemas.openxmlformats.org/spreadsheetml/2006/main" name="Tableau croisé dynamique7" cacheId="149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5" fieldListSortAscending="1">
  <location ref="E5:E6" firstHeaderRow="1" firstDataRow="1" firstDataCol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h="1" x="1"/>
        <item h="1" x="2"/>
        <item x="3"/>
        <item x="4"/>
        <item x="5"/>
        <item x="6"/>
        <item x="7"/>
        <item h="1" x="8"/>
        <item h="1" x="9"/>
        <item h="1" x="10"/>
        <item h="1" x="11"/>
        <item h="1" x="12"/>
        <item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ivotTableStyleInfo name="PivotStyleMedium3" showRowHeaders="1" showColHeaders="1" showRowStripes="1" showColStripes="1" showLastColumn="1"/>
</pivotTableDefinition>
</file>

<file path=xl/pivotTables/pivotTable64.xml><?xml version="1.0" encoding="utf-8"?>
<pivotTableDefinition xmlns="http://schemas.openxmlformats.org/spreadsheetml/2006/main" name="Tableau croisé dynamique8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22" fieldListSortAscending="1">
  <location ref="A16" firstHeaderRow="0" firstDataRow="0" firstDataCol="0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h="1" x="1"/>
        <item h="1" x="2"/>
        <item x="3"/>
        <item x="4"/>
        <item x="5"/>
        <item x="6"/>
        <item x="7"/>
        <item h="1" x="8"/>
        <item h="1" x="9"/>
        <item h="1" x="10"/>
        <item h="1" x="11"/>
        <item h="1" x="12"/>
        <item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pageFields count="2">
    <pageField fld="11" hier="-1"/>
    <pageField fld="14" hier="-1"/>
  </pageFields>
  <pivotTableStyleInfo name="PivotStyleMedium3" showRowHeaders="1" showColHeaders="1" showRowStripes="1" showColStripes="1" showLastColumn="1"/>
</pivotTableDefinition>
</file>

<file path=xl/pivotTables/pivotTable65.xml><?xml version="1.0" encoding="utf-8"?>
<pivotTableDefinition xmlns="http://schemas.openxmlformats.org/spreadsheetml/2006/main" name="Tableau croisé dynamique10" cacheId="149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4" fieldListSortAscending="1">
  <location ref="J24:K26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1"/>
        <item x="0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59"/>
  </colFields>
  <colItems count="1">
    <i t="grand">
      <x/>
    </i>
  </colItems>
  <pageFields count="1">
    <pageField fld="14" hier="-1"/>
  </pageFields>
  <dataFields count="1">
    <dataField name="Nombre de Transfu &lt;24 h_RV7" fld="59" subtotal="count" baseField="0" baseItem="0"/>
  </dataFields>
  <pivotTableStyleInfo name="PivotStyleMedium3" showRowHeaders="1" showColHeaders="1" showRowStripes="1" showColStripes="1" showLastColumn="1"/>
</pivotTableDefinition>
</file>

<file path=xl/pivotTables/pivotTable66.xml><?xml version="1.0" encoding="utf-8"?>
<pivotTableDefinition xmlns="http://schemas.openxmlformats.org/spreadsheetml/2006/main" name="Tableau croisé dynamique9" cacheId="149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7" fieldListSortAscending="1">
  <location ref="J5:K7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3">
        <item x="1"/>
        <item x="0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59"/>
  </colFields>
  <colItems count="1">
    <i t="grand">
      <x/>
    </i>
  </colItems>
  <pageFields count="1">
    <pageField fld="14" hier="-1"/>
  </pageFields>
  <dataFields count="1">
    <dataField name="Nombre de Transfu &lt;24 h_RV7" fld="59" subtotal="count" showDataAs="percentOfRow" baseField="11" baseItem="2" numFmtId="10"/>
  </dataFields>
  <formats count="2">
    <format dxfId="228">
      <pivotArea outline="0" collapsedLevelsAreSubtotals="1" fieldPosition="0"/>
    </format>
    <format dxfId="227">
      <pivotArea outline="0" fieldPosition="0">
        <references count="1">
          <reference field="4294967294" count="1">
            <x v="0"/>
          </reference>
        </references>
      </pivotArea>
    </format>
  </formats>
  <chartFormats count="3">
    <chartFormat chart="15" format="15" series="1">
      <pivotArea type="data" outline="0" fieldPosition="0">
        <references count="1">
          <reference field="59" count="1" selected="0">
            <x v="0"/>
          </reference>
        </references>
      </pivotArea>
    </chartFormat>
    <chartFormat chart="15" format="16" series="1">
      <pivotArea type="data" outline="0" fieldPosition="0">
        <references count="1">
          <reference field="59" count="1" selected="0">
            <x v="1"/>
          </reference>
        </references>
      </pivotArea>
    </chartFormat>
    <chartFormat chart="15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67.xml><?xml version="1.0" encoding="utf-8"?>
<pivotTableDefinition xmlns="http://schemas.openxmlformats.org/spreadsheetml/2006/main" name="Tableau croisé dynamique6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41" fieldListSortAscending="1">
  <location ref="A6:A7" firstHeaderRow="1" firstDataRow="1" firstDataCol="0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h="1" x="8"/>
        <item h="1"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Items count="1">
    <i/>
  </rowItems>
  <colItems count="1">
    <i/>
  </colItems>
  <pageFields count="2">
    <pageField fld="11" hier="-1"/>
    <pageField fld="14" hier="-1"/>
  </pageFields>
  <dataFields count="1">
    <dataField name="Somme de T &lt;24 - nb trans" fld="31" baseField="51" baseItem="0"/>
  </dataFields>
  <pivotTableStyleInfo name="PivotStyleMedium3" showRowHeaders="1" showColHeaders="1" showRowStripes="1" showColStripes="1" showLastColumn="1"/>
</pivotTableDefinition>
</file>

<file path=xl/pivotTables/pivotTable68.xml><?xml version="1.0" encoding="utf-8"?>
<pivotTableDefinition xmlns="http://schemas.openxmlformats.org/spreadsheetml/2006/main" name="Tableau croisé dynamique11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60" fieldListSortAscending="1">
  <location ref="A25" firstHeaderRow="0" firstDataRow="0" firstDataCol="0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h="1" x="8"/>
        <item h="1" x="9"/>
        <item h="1"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pageFields count="2">
    <pageField fld="11" hier="-1"/>
    <pageField fld="14" hier="-1"/>
  </pageFields>
  <pivotTableStyleInfo name="PivotStyleMedium3" showRowHeaders="1" showColHeaders="1" showRowStripes="1" showColStripes="1" showLastColumn="1"/>
</pivotTableDefinition>
</file>

<file path=xl/pivotTables/pivotTable69.xml><?xml version="1.0" encoding="utf-8"?>
<pivotTableDefinition xmlns="http://schemas.openxmlformats.org/spreadsheetml/2006/main" name="Tableau croisé dynamique12" cacheId="149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6" fieldListSortAscending="1">
  <location ref="E20:E21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h="1" x="1"/>
        <item h="1" x="2"/>
        <item x="3"/>
        <item x="4"/>
        <item x="5"/>
        <item x="6"/>
        <item x="7"/>
        <item h="1" x="8"/>
        <item h="1" x="9"/>
        <item h="1" x="10"/>
        <item h="1" x="11"/>
        <item h="1" x="12"/>
        <item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1">
    <pageField fld="14" hier="-1"/>
  </pageFields>
  <formats count="11">
    <format dxfId="239">
      <pivotArea type="all" dataOnly="0" outline="0" fieldPosition="0"/>
    </format>
    <format dxfId="238">
      <pivotArea type="all" dataOnly="0" outline="0" fieldPosition="0"/>
    </format>
    <format dxfId="237">
      <pivotArea outline="0" collapsedLevelsAreSubtotals="1" fieldPosition="0"/>
    </format>
    <format dxfId="236">
      <pivotArea dataOnly="0" labelOnly="1" fieldPosition="0">
        <references count="1">
          <reference field="11" count="4">
            <x v="3"/>
            <x v="4"/>
            <x v="5"/>
            <x v="6"/>
          </reference>
        </references>
      </pivotArea>
    </format>
    <format dxfId="235">
      <pivotArea dataOnly="0" labelOnly="1" grandRow="1" outline="0" fieldPosition="0"/>
    </format>
    <format dxfId="234">
      <pivotArea field="14" type="button" dataOnly="0" labelOnly="1" outline="0" axis="axisPage" fieldPosition="0"/>
    </format>
    <format dxfId="233">
      <pivotArea dataOnly="0" labelOnly="1" outline="0" fieldPosition="0">
        <references count="1">
          <reference field="14" count="0"/>
        </references>
      </pivotArea>
    </format>
    <format dxfId="232">
      <pivotArea type="origin" dataOnly="0" labelOnly="1" outline="0" fieldPosition="0"/>
    </format>
    <format dxfId="231">
      <pivotArea field="11" type="button" dataOnly="0" labelOnly="1" outline="0" axis="axisRow" fieldPosition="0"/>
    </format>
    <format dxfId="230">
      <pivotArea type="topRight" dataOnly="0" labelOnly="1" outline="0" fieldPosition="0"/>
    </format>
    <format dxfId="229">
      <pivotArea dataOnly="0" labelOnly="1" grandCol="1" outline="0" fieldPosition="0"/>
    </format>
  </formats>
  <pivotTableStyleInfo name="PivotStyleMedium3" showRowHeaders="1" showColHeaders="1" showRowStripes="1" showColStripes="1" showLastColumn="1"/>
</pivotTableDefinition>
</file>

<file path=xl/pivotTables/pivotTable70.xml><?xml version="1.0" encoding="utf-8"?>
<pivotTableDefinition xmlns="http://schemas.openxmlformats.org/spreadsheetml/2006/main" name="Tableau croisé dynamique6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7" fieldListSortAscending="1">
  <location ref="A24:B25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showAll="0" defaultSubtotal="0">
      <items count="3">
        <item x="1"/>
        <item x="0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2">
    <pageField fld="59" hier="-1"/>
    <pageField fld="14" hier="-1"/>
  </pageFields>
  <dataFields count="1">
    <dataField name="Moyenne de T &lt;24 - nb trans" fld="31" subtotal="average" baseField="9" baseItem="4" numFmtId="165"/>
  </dataFields>
  <formats count="1">
    <format dxfId="224">
      <pivotArea outline="0" collapsedLevelsAreSubtotals="1" fieldPosition="0"/>
    </format>
  </formats>
  <chartFormats count="1">
    <chartFormat chart="16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1.xml><?xml version="1.0" encoding="utf-8"?>
<pivotTableDefinition xmlns="http://schemas.openxmlformats.org/spreadsheetml/2006/main" name="Tableau croisé dynamique1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27" fieldListSortAscending="1">
  <location ref="A7:B8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3">
        <item x="1"/>
        <item x="0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59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 &lt;24 h_RV7" fld="59" subtotal="count" showDataAs="percentOfCol" baseField="59" baseItem="0" numFmtId="9"/>
  </dataFields>
  <formats count="2">
    <format dxfId="226">
      <pivotArea outline="0" fieldPosition="0">
        <references count="1">
          <reference field="4294967294" count="1">
            <x v="0"/>
          </reference>
        </references>
      </pivotArea>
    </format>
    <format dxfId="225">
      <pivotArea outline="0" collapsedLevelsAreSubtotals="1" fieldPosition="0"/>
    </format>
  </formats>
  <chartFormats count="1">
    <chartFormat chart="19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2.xml><?xml version="1.0" encoding="utf-8"?>
<pivotTableDefinition xmlns="http://schemas.openxmlformats.org/spreadsheetml/2006/main" name="Tableau croisé dynamique13" cacheId="149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8" fieldListSortAscending="1">
  <location ref="E26:F28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9"/>
  </colFields>
  <colItems count="1">
    <i t="grand">
      <x/>
    </i>
  </colItems>
  <pageFields count="1">
    <pageField fld="14" hier="-1"/>
  </pageFields>
  <dataFields count="1">
    <dataField name="Nombre de Transfu_RV" fld="69" subtotal="count" baseField="0" baseItem="0"/>
  </dataFields>
  <formats count="11">
    <format dxfId="212">
      <pivotArea type="all" dataOnly="0" outline="0" fieldPosition="0"/>
    </format>
    <format dxfId="211">
      <pivotArea field="14" type="button" dataOnly="0" labelOnly="1" outline="0" axis="axisPage" fieldPosition="0"/>
    </format>
    <format dxfId="210">
      <pivotArea dataOnly="0" labelOnly="1" outline="0" fieldPosition="0">
        <references count="1">
          <reference field="14" count="0"/>
        </references>
      </pivotArea>
    </format>
    <format dxfId="209">
      <pivotArea type="origin" dataOnly="0" labelOnly="1" outline="0" fieldPosition="0"/>
    </format>
    <format dxfId="208">
      <pivotArea field="11" type="button" dataOnly="0" labelOnly="1" outline="0" axis="axisRow" fieldPosition="0"/>
    </format>
    <format dxfId="207">
      <pivotArea field="69" type="button" dataOnly="0" labelOnly="1" outline="0" axis="axisCol" fieldPosition="0"/>
    </format>
    <format dxfId="206">
      <pivotArea type="topRight" dataOnly="0" labelOnly="1" outline="0" fieldPosition="0"/>
    </format>
    <format dxfId="205">
      <pivotArea dataOnly="0" labelOnly="1" grandCol="1" outline="0" fieldPosition="0"/>
    </format>
    <format dxfId="204">
      <pivotArea outline="0" collapsedLevelsAreSubtotals="1" fieldPosition="0"/>
    </format>
    <format dxfId="203">
      <pivotArea dataOnly="0" labelOnly="1" grandRow="1" outline="0" fieldPosition="0"/>
    </format>
    <format dxfId="202">
      <pivotArea dataOnly="0" labelOnly="1" fieldPosition="0">
        <references count="1">
          <reference field="11" count="0"/>
        </references>
      </pivotArea>
    </format>
  </formats>
  <pivotTableStyleInfo name="PivotStyleMedium3" showRowHeaders="1" showColHeaders="1" showRowStripes="1" showColStripes="1" showLastColumn="1"/>
</pivotTableDefinition>
</file>

<file path=xl/pivotTables/pivotTable73.xml><?xml version="1.0" encoding="utf-8"?>
<pivotTableDefinition xmlns="http://schemas.openxmlformats.org/spreadsheetml/2006/main" name="Tableau croisé dynamique10" cacheId="149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8" fieldListSortAscending="1">
  <location ref="J39:K41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h="1"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9"/>
  </colFields>
  <colItems count="1">
    <i t="grand">
      <x/>
    </i>
  </colItems>
  <pageFields count="1">
    <pageField fld="14" hier="-1"/>
  </pageFields>
  <dataFields count="1">
    <dataField name="Nombre de Transfu_RV" fld="69" subtotal="count" showDataAs="percentOfRow" baseField="0" baseItem="0" numFmtId="9"/>
  </dataFields>
  <formats count="1">
    <format dxfId="213">
      <pivotArea outline="0" collapsedLevelsAreSubtotals="1" fieldPosition="0"/>
    </format>
  </formats>
  <chartFormats count="2">
    <chartFormat chart="17" format="2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17" format="3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4.xml><?xml version="1.0" encoding="utf-8"?>
<pivotTableDefinition xmlns="http://schemas.openxmlformats.org/spreadsheetml/2006/main" name="Tableau croisé dynamique8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24" fieldListSortAscending="1">
  <location ref="A16:B17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h="1" x="1"/>
        <item h="1" x="2"/>
        <item x="3"/>
        <item x="4"/>
        <item h="1" x="5"/>
        <item h="1" x="6"/>
        <item h="1" x="7"/>
        <item h="1" x="8"/>
        <item h="1" x="9"/>
        <item h="1" x="10"/>
        <item h="1" x="11"/>
        <item h="1" x="12"/>
        <item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9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_RV" fld="69" subtotal="count" showDataAs="percentOfCol" baseField="0" baseItem="0" numFmtId="10"/>
  </dataFields>
  <chartFormats count="1">
    <chartFormat chart="2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5.xml><?xml version="1.0" encoding="utf-8"?>
<pivotTableDefinition xmlns="http://schemas.openxmlformats.org/spreadsheetml/2006/main" name="Tableau croisé dynamique15" cacheId="149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6" fieldListSortAscending="1">
  <location ref="E44:F46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h="1" x="2"/>
        <item h="1" x="1"/>
        <item h="1" m="1" x="13"/>
        <item h="1" m="1" x="3"/>
        <item h="1" m="1" x="9"/>
        <item h="1" m="1" x="4"/>
        <item h="1" m="1" x="11"/>
        <item h="1" m="1" x="10"/>
        <item h="1" m="1" x="6"/>
        <item m="1" x="16"/>
        <item m="1" x="5"/>
        <item m="1" x="15"/>
        <item m="1" x="8"/>
        <item h="1" x="0"/>
        <item m="1" x="12"/>
        <item h="1"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9"/>
  </colFields>
  <colItems count="1">
    <i t="grand">
      <x/>
    </i>
  </colItems>
  <pageFields count="1">
    <pageField fld="14" hier="-1"/>
  </pageFields>
  <dataFields count="1">
    <dataField name="Nombre de Transfu_RV" fld="69" subtotal="count" baseField="0" baseItem="0"/>
  </dataFields>
  <chartFormats count="2">
    <chartFormat chart="15" format="2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15" format="3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6.xml><?xml version="1.0" encoding="utf-8"?>
<pivotTableDefinition xmlns="http://schemas.openxmlformats.org/spreadsheetml/2006/main" name="Tableau croisé dynamique7" cacheId="149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6" fieldListSortAscending="1">
  <location ref="E5:F7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9"/>
  </colFields>
  <colItems count="1">
    <i t="grand">
      <x/>
    </i>
  </colItems>
  <pageFields count="1">
    <pageField fld="14" hier="-1"/>
  </pageFields>
  <dataFields count="1">
    <dataField name="Nombre de Transfu_RV" fld="69" subtotal="count" baseField="0" baseItem="0"/>
  </dataFields>
  <chartFormats count="4">
    <chartFormat chart="15" format="2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15" format="3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  <chartFormat chart="15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9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7.xml><?xml version="1.0" encoding="utf-8"?>
<pivotTableDefinition xmlns="http://schemas.openxmlformats.org/spreadsheetml/2006/main" name="Tableau croisé dynamique6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61" fieldListSortAscending="1">
  <location ref="A6:C8" firstHeaderRow="1" firstDataRow="2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4">
        <item x="1"/>
        <item x="0"/>
        <item x="2"/>
        <item m="1" x="3"/>
      </items>
    </pivotField>
    <pivotField dataField="1"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9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11" hier="-1"/>
    <pageField fld="14" hier="-1"/>
  </pageFields>
  <dataFields count="2">
    <dataField name="Nombre de Transfu_RV" fld="69" subtotal="count" baseField="0" baseItem="0"/>
    <dataField name="Somme de Transfu_Total_RV" fld="70" baseField="0" baseItem="0"/>
  </dataFields>
  <chartFormats count="22">
    <chartFormat chart="2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5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6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6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7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4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5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5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7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8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8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3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4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9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9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8.xml><?xml version="1.0" encoding="utf-8"?>
<pivotTableDefinition xmlns="http://schemas.openxmlformats.org/spreadsheetml/2006/main" name="Tableau croisé dynamique9" cacheId="149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8" fieldListSortAscending="1">
  <location ref="J5:K7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9"/>
  </colFields>
  <colItems count="1">
    <i t="grand">
      <x/>
    </i>
  </colItems>
  <pageFields count="1">
    <pageField fld="14" hier="-1"/>
  </pageFields>
  <dataFields count="1">
    <dataField name="Nombre de Transfu_RV" fld="69" subtotal="count" showDataAs="percentOfRow" baseField="0" baseItem="0" numFmtId="9"/>
  </dataFields>
  <formats count="1">
    <format dxfId="214">
      <pivotArea outline="0" collapsedLevelsAreSubtotals="1" fieldPosition="0"/>
    </format>
  </formats>
  <chartFormats count="4">
    <chartFormat chart="17" format="2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17" format="3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  <chartFormat chart="17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9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2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79.xml><?xml version="1.0" encoding="utf-8"?>
<pivotTableDefinition xmlns="http://schemas.openxmlformats.org/spreadsheetml/2006/main" name="Tableau croisé dynamique5" cacheId="149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21" fieldListSortAscending="1">
  <location ref="J23:K25" firstHeaderRow="1" firstDataRow="2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Fields count="1">
    <field x="69"/>
  </colFields>
  <colItems count="1">
    <i t="grand">
      <x/>
    </i>
  </colItems>
  <pageFields count="1">
    <pageField fld="14" hier="-1"/>
  </pageFields>
  <dataFields count="1">
    <dataField name="Nombre de Transfu_RV" fld="69" subtotal="count" showDataAs="percentOfRow" baseField="0" baseItem="0" numFmtId="9"/>
  </dataFields>
  <formats count="9">
    <format dxfId="223">
      <pivotArea type="all" dataOnly="0" outline="0" fieldPosition="0"/>
    </format>
    <format dxfId="222">
      <pivotArea type="all" dataOnly="0" outline="0" fieldPosition="0"/>
    </format>
    <format dxfId="221">
      <pivotArea outline="0" collapsedLevelsAreSubtotals="1" fieldPosition="0"/>
    </format>
    <format dxfId="220">
      <pivotArea dataOnly="0" labelOnly="1" fieldPosition="0">
        <references count="1">
          <reference field="11" count="4">
            <x v="3"/>
            <x v="4"/>
            <x v="5"/>
            <x v="6"/>
          </reference>
        </references>
      </pivotArea>
    </format>
    <format dxfId="219">
      <pivotArea dataOnly="0" labelOnly="1" grandRow="1" outline="0" fieldPosition="0"/>
    </format>
    <format dxfId="218">
      <pivotArea dataOnly="0" labelOnly="1" fieldPosition="0">
        <references count="1">
          <reference field="11" count="1">
            <x v="7"/>
          </reference>
        </references>
      </pivotArea>
    </format>
    <format dxfId="217">
      <pivotArea field="69" grandRow="1" outline="0" collapsedLevelsAreSubtotals="1" axis="axisCol" fieldPosition="0">
        <references count="1">
          <reference field="69" count="1" selected="0">
            <x v="1"/>
          </reference>
        </references>
      </pivotArea>
    </format>
    <format dxfId="216">
      <pivotArea field="69" grandRow="1" outline="0" collapsedLevelsAreSubtotals="1" axis="axisCol" fieldPosition="0">
        <references count="1">
          <reference field="69" count="1" selected="0">
            <x v="0"/>
          </reference>
        </references>
      </pivotArea>
    </format>
    <format dxfId="215">
      <pivotArea outline="0" collapsedLevelsAreSubtotals="1" fieldPosition="0"/>
    </format>
  </formats>
  <chartFormats count="2">
    <chartFormat chart="17" format="2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17" format="3" series="1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80.xml><?xml version="1.0" encoding="utf-8"?>
<pivotTableDefinition xmlns="http://schemas.openxmlformats.org/spreadsheetml/2006/main" name="Tableau croisé dynamique13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9" fieldListSortAscending="1">
  <location ref="D24:E25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4">
        <item h="1" x="1"/>
        <item x="0"/>
        <item h="1" x="2"/>
        <item h="1" m="1" x="3"/>
      </items>
    </pivotField>
    <pivotField dataField="1"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2">
    <pageField fld="69" hier="-1"/>
    <pageField fld="14" hier="-1"/>
  </pageFields>
  <dataFields count="1">
    <dataField name="Moyenne de Transfu_Total_RV" fld="70" subtotal="average" baseField="0" baseItem="0" numFmtId="167"/>
  </dataFields>
  <formats count="10">
    <format dxfId="187">
      <pivotArea type="all" dataOnly="0" outline="0" fieldPosition="0"/>
    </format>
    <format dxfId="186">
      <pivotArea type="all" dataOnly="0" outline="0" fieldPosition="0"/>
    </format>
    <format dxfId="185">
      <pivotArea field="69" type="button" dataOnly="0" labelOnly="1" outline="0" axis="axisPage" fieldPosition="0"/>
    </format>
    <format dxfId="184">
      <pivotArea dataOnly="0" labelOnly="1" outline="0" fieldPosition="0">
        <references count="1">
          <reference field="69" count="0"/>
        </references>
      </pivotArea>
    </format>
    <format dxfId="183">
      <pivotArea field="14" type="button" dataOnly="0" labelOnly="1" outline="0" axis="axisPage" fieldPosition="1"/>
    </format>
    <format dxfId="182">
      <pivotArea dataOnly="0" labelOnly="1" outline="0" fieldPosition="0">
        <references count="1">
          <reference field="14" count="0"/>
        </references>
      </pivotArea>
    </format>
    <format dxfId="181">
      <pivotArea field="11" type="button" dataOnly="0" labelOnly="1" outline="0" axis="axisRow" fieldPosition="0"/>
    </format>
    <format dxfId="180">
      <pivotArea dataOnly="0" labelOnly="1" outline="0" axis="axisValues" fieldPosition="0"/>
    </format>
    <format dxfId="179">
      <pivotArea outline="0" collapsedLevelsAreSubtotals="1" fieldPosition="0"/>
    </format>
    <format dxfId="178">
      <pivotArea grandRow="1" outline="0" collapsedLevelsAreSubtotals="1" fieldPosition="0"/>
    </format>
  </formats>
  <chartFormats count="1">
    <chartFormat chart="18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81.xml><?xml version="1.0" encoding="utf-8"?>
<pivotTableDefinition xmlns="http://schemas.openxmlformats.org/spreadsheetml/2006/main" name="Tableau croisé dynamique12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28" fieldListSortAscending="1">
  <location ref="D7:E8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h="1" m="1" x="16"/>
        <item h="1"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9"/>
  </rowFields>
  <rowItems count="1">
    <i t="grand">
      <x/>
    </i>
  </rowItems>
  <colItems count="1">
    <i/>
  </colItems>
  <pageFields count="2">
    <pageField fld="11" hier="-1"/>
    <pageField fld="14" hier="-1"/>
  </pageFields>
  <dataFields count="1">
    <dataField name="Nombre de Transfu_RV" fld="69" subtotal="count" showDataAs="percentOfCol" baseField="0" baseItem="0" numFmtId="10"/>
  </dataFields>
  <formats count="11">
    <format dxfId="198">
      <pivotArea type="all" dataOnly="0" outline="0" fieldPosition="0"/>
    </format>
    <format dxfId="197">
      <pivotArea type="all" dataOnly="0" outline="0" fieldPosition="0"/>
    </format>
    <format dxfId="196">
      <pivotArea field="11" type="button" dataOnly="0" labelOnly="1" outline="0" axis="axisPage" fieldPosition="0"/>
    </format>
    <format dxfId="195">
      <pivotArea dataOnly="0" labelOnly="1" outline="0" fieldPosition="0">
        <references count="1">
          <reference field="11" count="0"/>
        </references>
      </pivotArea>
    </format>
    <format dxfId="194">
      <pivotArea field="14" type="button" dataOnly="0" labelOnly="1" outline="0" axis="axisPage" fieldPosition="1"/>
    </format>
    <format dxfId="193">
      <pivotArea dataOnly="0" labelOnly="1" outline="0" fieldPosition="0">
        <references count="1">
          <reference field="14" count="0"/>
        </references>
      </pivotArea>
    </format>
    <format dxfId="192">
      <pivotArea field="69" type="button" dataOnly="0" labelOnly="1" outline="0" axis="axisRow" fieldPosition="0"/>
    </format>
    <format dxfId="191">
      <pivotArea dataOnly="0" labelOnly="1" outline="0" axis="axisValues" fieldPosition="0"/>
    </format>
    <format dxfId="190">
      <pivotArea grandRow="1" outline="0" collapsedLevelsAreSubtotals="1" fieldPosition="0"/>
    </format>
    <format dxfId="189">
      <pivotArea collapsedLevelsAreSubtotals="1" fieldPosition="0">
        <references count="1">
          <reference field="69" count="1">
            <x v="0"/>
          </reference>
        </references>
      </pivotArea>
    </format>
    <format dxfId="188">
      <pivotArea collapsedLevelsAreSubtotals="1" fieldPosition="0">
        <references count="1">
          <reference field="69" count="1">
            <x v="1"/>
          </reference>
        </references>
      </pivotArea>
    </format>
  </formats>
  <chartFormats count="10">
    <chartFormat chart="18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5" format="5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25" format="6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  <chartFormat chart="26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6" format="8">
      <pivotArea type="data" outline="0" fieldPosition="0">
        <references count="2">
          <reference field="4294967294" count="1" selected="0">
            <x v="0"/>
          </reference>
          <reference field="69" count="1" selected="0">
            <x v="0"/>
          </reference>
        </references>
      </pivotArea>
    </chartFormat>
    <chartFormat chart="26" format="9">
      <pivotArea type="data" outline="0" fieldPosition="0">
        <references count="2">
          <reference field="4294967294" count="1" selected="0">
            <x v="0"/>
          </reference>
          <reference field="69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82.xml><?xml version="1.0" encoding="utf-8"?>
<pivotTableDefinition xmlns="http://schemas.openxmlformats.org/spreadsheetml/2006/main" name="Tableau croisé dynamique1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6" fieldListSortAscending="1">
  <location ref="A7:B8" firstHeaderRow="1" firstDataRow="1" firstDataCol="1" rowPageCount="1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Page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multipleItemSelectionAllowed="1" showAll="0" includeNewItemsInFilter="1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 defaultSubtotal="0">
      <items count="4">
        <item x="1"/>
        <item x="0"/>
        <item x="2"/>
        <item m="1" x="3"/>
      </items>
    </pivotField>
    <pivotField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69"/>
  </rowFields>
  <rowItems count="1">
    <i t="grand">
      <x/>
    </i>
  </rowItems>
  <colItems count="1">
    <i/>
  </colItems>
  <pageFields count="1">
    <pageField fld="11" hier="-1"/>
  </pageFields>
  <dataFields count="1">
    <dataField name="Nombre de Transfu_RV" fld="69" subtotal="count" showDataAs="percentOfCol" baseField="0" baseItem="0" numFmtId="9"/>
  </dataFields>
  <formats count="2">
    <format dxfId="200">
      <pivotArea grandRow="1" outline="0" collapsedLevelsAreSubtotals="1" fieldPosition="0"/>
    </format>
    <format dxfId="199">
      <pivotArea outline="0" collapsedLevelsAreSubtotals="1" fieldPosition="0"/>
    </format>
  </formats>
  <pivotTableStyleInfo name="PivotStyleMedium3" showRowHeaders="1" showColHeaders="1" showRowStripes="1" showColStripes="1" showLastColumn="1"/>
</pivotTableDefinition>
</file>

<file path=xl/pivotTables/pivotTable83.xml><?xml version="1.0" encoding="utf-8"?>
<pivotTableDefinition xmlns="http://schemas.openxmlformats.org/spreadsheetml/2006/main" name="Tableau croisé dynamique6" cacheId="149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9" fieldListSortAscending="1">
  <location ref="A24:B25" firstHeaderRow="1" firstDataRow="1" firstDataCol="1" rowPageCount="2" colPageCount="1"/>
  <pivotFields count="75">
    <pivotField showAll="0" sortType="ascending"/>
    <pivotField showAll="0"/>
    <pivotField showAll="0"/>
    <pivotField showAll="0"/>
    <pivotField showAll="0"/>
    <pivotField showAll="0" defaultSubtotal="0"/>
    <pivotField showAll="0"/>
    <pivotField includeNewItemsInFilter="1" sortType="ascending">
      <items count="64">
        <item m="1" x="20"/>
        <item m="1" x="5"/>
        <item m="1" x="32"/>
        <item m="1" x="39"/>
        <item m="1" x="12"/>
        <item m="1" x="53"/>
        <item m="1" x="55"/>
        <item m="1" x="61"/>
        <item m="1" x="9"/>
        <item m="1" x="25"/>
        <item m="1" x="49"/>
        <item m="1" x="36"/>
        <item m="1" x="19"/>
        <item m="1" x="34"/>
        <item m="1" x="8"/>
        <item m="1" x="54"/>
        <item m="1" x="29"/>
        <item m="1" x="60"/>
        <item m="1" x="38"/>
        <item m="1" x="40"/>
        <item m="1" x="31"/>
        <item m="1" x="17"/>
        <item m="1" x="6"/>
        <item m="1" x="10"/>
        <item m="1" x="15"/>
        <item m="1" x="14"/>
        <item m="1" x="58"/>
        <item m="1" x="24"/>
        <item m="1" x="2"/>
        <item m="1" x="52"/>
        <item m="1" x="41"/>
        <item m="1" x="43"/>
        <item m="1" x="51"/>
        <item m="1" x="30"/>
        <item m="1" x="46"/>
        <item m="1" x="1"/>
        <item m="1" x="47"/>
        <item m="1" x="16"/>
        <item m="1" x="13"/>
        <item m="1" x="11"/>
        <item m="1" x="56"/>
        <item m="1" x="4"/>
        <item m="1" x="45"/>
        <item m="1" x="42"/>
        <item m="1" x="57"/>
        <item m="1" x="23"/>
        <item m="1" x="35"/>
        <item m="1" x="59"/>
        <item m="1" x="62"/>
        <item m="1" x="26"/>
        <item m="1" x="18"/>
        <item m="1" x="48"/>
        <item m="1" x="21"/>
        <item m="1" x="50"/>
        <item m="1" x="27"/>
        <item m="1" x="28"/>
        <item m="1" x="7"/>
        <item m="1" x="3"/>
        <item m="1" x="37"/>
        <item m="1" x="33"/>
        <item m="1" x="22"/>
        <item m="1" x="44"/>
        <item h="1" x="0"/>
        <item t="default"/>
      </items>
    </pivotField>
    <pivotField showAll="0" defaultSubtotal="0"/>
    <pivotField showAll="0"/>
    <pivotField showAll="0"/>
    <pivotField axis="axisRow" multipleItemSelectionAllowed="1" showAll="0" includeNewItemsInFilter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h="1" x="13"/>
        <item t="default"/>
      </items>
    </pivotField>
    <pivotField showAll="0" defaultSubtotal="0"/>
    <pivotField showAll="0"/>
    <pivotField axis="axisPage" multipleItemSelectionAllowed="1" showAll="0" includeNewItemsInFilter="1">
      <items count="18">
        <item x="2"/>
        <item x="1"/>
        <item m="1" x="13"/>
        <item m="1" x="3"/>
        <item m="1" x="9"/>
        <item m="1" x="4"/>
        <item m="1" x="11"/>
        <item m="1" x="10"/>
        <item m="1" x="6"/>
        <item m="1" x="16"/>
        <item m="1" x="5"/>
        <item m="1" x="15"/>
        <item m="1" x="8"/>
        <item x="0"/>
        <item m="1" x="12"/>
        <item m="1" x="7"/>
        <item m="1" x="14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includeNewItemsInFilter="1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 includeNewItemsInFilter="1"/>
    <pivotField showAll="0"/>
    <pivotField showAll="0" defaultSubtotal="0"/>
    <pivotField showAll="0"/>
    <pivotField multipleItemSelectionAllowed="1" showAll="0" includeNewItemsInFilter="1"/>
    <pivotField showAll="0"/>
    <pivotField multipleItemSelectionAllowed="1" showAll="0"/>
    <pivotField showAll="0"/>
    <pivotField showAll="0" defaultSubtotal="0"/>
    <pivotField showAll="0" defaultSubtotal="0"/>
    <pivotField showAll="0"/>
    <pivotField showAll="0"/>
    <pivotField showAll="0"/>
    <pivotField multipleItemSelectionAllowed="1"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4">
        <item h="1" x="1"/>
        <item x="0"/>
        <item h="1" x="2"/>
        <item h="1" m="1" x="3"/>
      </items>
    </pivotField>
    <pivotField dataField="1" showAll="0" defaultSubtotal="0"/>
    <pivotField showAll="0" defaultSubtotal="0"/>
    <pivotField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</items>
    </pivotField>
    <pivotField showAll="0" defaultSubtotal="0">
      <items count="3">
        <item x="1"/>
        <item x="0"/>
        <item x="2"/>
      </items>
    </pivotField>
    <pivotField dragToRow="0" dragToCol="0" dragToPage="0" showAll="0" defaultSubtotal="0"/>
  </pivotFields>
  <rowFields count="1">
    <field x="11"/>
  </rowFields>
  <rowItems count="1">
    <i t="grand">
      <x/>
    </i>
  </rowItems>
  <colItems count="1">
    <i/>
  </colItems>
  <pageFields count="2">
    <pageField fld="69" hier="-1"/>
    <pageField fld="14" hier="-1"/>
  </pageFields>
  <dataFields count="1">
    <dataField name="Moyenne de Transfu_Total_RV" fld="70" subtotal="average" baseField="0" baseItem="0" numFmtId="167"/>
  </dataFields>
  <formats count="1">
    <format dxfId="201">
      <pivotArea outline="0" collapsedLevelsAreSubtotals="1" fieldPosition="0"/>
    </format>
  </formats>
  <chartFormats count="1">
    <chartFormat chart="18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1" showColStripes="1" showLastColumn="1"/>
</pivotTableDefinition>
</file>

<file path=xl/pivotTables/pivotTable84.xml><?xml version="1.0" encoding="utf-8"?>
<pivotTableDefinition xmlns="http://schemas.openxmlformats.org/spreadsheetml/2006/main" name="Tableau croisé dynamique9" cacheId="11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6">
  <location ref="G23:H25" firstHeaderRow="1" firstDataRow="1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axis="axisRow" dataField="1" showAll="0">
      <items count="4">
        <item x="0"/>
        <item m="1" x="2"/>
        <item x="1"/>
        <item t="default"/>
      </items>
    </pivotField>
  </pivotFields>
  <rowFields count="1">
    <field x="74"/>
  </rowFields>
  <rowItems count="2">
    <i>
      <x/>
    </i>
    <i t="grand">
      <x/>
    </i>
  </rowItems>
  <colItems count="1">
    <i/>
  </colItems>
  <pageFields count="1">
    <pageField fld="0" hier="-1"/>
  </pageFields>
  <dataFields count="1">
    <dataField name="Nombre de HT" fld="74" subtotal="count" showDataAs="percentOfCol" baseField="67" baseItem="0" numFmtId="9"/>
  </dataFields>
  <formats count="1">
    <format dxfId="177">
      <pivotArea outline="0" collapsedLevelsAreSubtotals="1" fieldPosition="0"/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5.xml><?xml version="1.0" encoding="utf-8"?>
<pivotTableDefinition xmlns="http://schemas.openxmlformats.org/spreadsheetml/2006/main" name="Tableau croisé dynamique8" cacheId="107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2">
  <location ref="G4:I16" firstHeaderRow="1" firstDataRow="2" firstDataCol="1"/>
  <pivotFields count="75">
    <pivotField axis="axisRow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axis="axisCol" dataField="1" showAll="0">
      <items count="4">
        <item x="0"/>
        <item m="1" x="2"/>
        <item x="1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 t="grand">
      <x/>
    </i>
  </rowItems>
  <colFields count="1">
    <field x="74"/>
  </colFields>
  <colItems count="2">
    <i>
      <x/>
    </i>
    <i t="grand">
      <x/>
    </i>
  </colItems>
  <dataFields count="1">
    <dataField name="Nombre de HT" fld="74" subtotal="count" baseField="0" baseItem="0"/>
  </dataFields>
  <chartFormats count="2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74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7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6.xml><?xml version="1.0" encoding="utf-8"?>
<pivotTableDefinition xmlns="http://schemas.openxmlformats.org/spreadsheetml/2006/main" name="Tableau croisé dynamique12" cacheId="112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2">
  <location ref="A13:B16" firstHeaderRow="1" firstDataRow="1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axis="axisRow" dataField="1" showAll="0">
      <items count="5">
        <item m="1" x="2"/>
        <item m="1" x="3"/>
        <item x="1"/>
        <item x="0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</pivotFields>
  <rowFields count="1">
    <field x="5"/>
  </rowFields>
  <rowItems count="3">
    <i>
      <x v="2"/>
    </i>
    <i>
      <x v="3"/>
    </i>
    <i t="grand">
      <x/>
    </i>
  </rowItems>
  <colItems count="1">
    <i/>
  </colItems>
  <pageFields count="1">
    <pageField fld="0" hier="-1"/>
  </pageFields>
  <dataFields count="1">
    <dataField name="Nombre de Cardiogéria" fld="5" subtotal="count" baseField="0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7.xml><?xml version="1.0" encoding="utf-8"?>
<pivotTableDefinition xmlns="http://schemas.openxmlformats.org/spreadsheetml/2006/main" name="Tableau croisé dynamique13" cacheId="123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3">
  <location ref="H13:I14" firstHeaderRow="1" firstDataRow="1" firstDataCol="1" rowPageCount="1" colPageCount="1"/>
  <pivotFields count="75"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h="1" x="13"/>
        <item x="8"/>
        <item x="9"/>
        <item h="1" x="10"/>
        <item h="1" x="11"/>
        <item h="1" x="12"/>
        <item t="default"/>
      </items>
    </pivotField>
    <pivotField showAll="0"/>
    <pivotField showAll="0"/>
    <pivotField showAll="0"/>
    <pivotField numFmtId="1" showAll="0"/>
    <pivotField axis="axisRow" dataField="1" showAll="0">
      <items count="5">
        <item m="1" x="2"/>
        <item m="1" x="3"/>
        <item h="1" x="1"/>
        <item h="1" x="0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</pivotFields>
  <rowFields count="1">
    <field x="5"/>
  </rowFields>
  <rowItems count="1">
    <i t="grand">
      <x/>
    </i>
  </rowItems>
  <colItems count="1">
    <i/>
  </colItems>
  <pageFields count="1">
    <pageField fld="0" hier="-1"/>
  </pageFields>
  <dataFields count="1">
    <dataField name="Nombre de Cardiogéria" fld="5" subtotal="count" showDataAs="percentOfRow" baseField="5" baseItem="0" numFmtId="9"/>
  </dataFields>
  <formats count="1">
    <format dxfId="176">
      <pivotArea outline="0" collapsedLevelsAreSubtotals="1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hirurgien" sourceName="Chirurgien">
  <pivotTables>
    <pivotTable tabId="33" name="Tableau croisé dynamique3"/>
  </pivotTables>
  <data>
    <tabular pivotCacheId="1">
      <items count="6">
        <i x="5" s="1" nd="1"/>
        <i x="3" s="1" nd="1"/>
        <i x="1" s="1" nd="1"/>
        <i x="4" s="1" nd="1"/>
        <i x="2" s="1" nd="1"/>
        <i x="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hirurgien 1" cache="Segment_Chirurgien" caption="Chirurgien" rowHeight="241300"/>
</slicers>
</file>

<file path=xl/tables/table1.xml><?xml version="1.0" encoding="utf-8"?>
<table xmlns="http://schemas.openxmlformats.org/spreadsheetml/2006/main" id="1" name="Tableau1" displayName="Tableau1" ref="A1:BX333" totalsRowShown="0" dataDxfId="595">
  <autoFilter ref="A1:BX333"/>
  <tableColumns count="76">
    <tableColumn id="1" name="Mois" dataDxfId="594"/>
    <tableColumn id="2" name="Nom" dataDxfId="593"/>
    <tableColumn id="3" name="Référence" dataDxfId="592"/>
    <tableColumn id="4" name="D/naissance" dataDxfId="591"/>
    <tableColumn id="5" name="Age" dataDxfId="590"/>
    <tableColumn id="6" name="Cardiogéria" dataDxfId="589"/>
    <tableColumn id="7" name="Référant" dataDxfId="588"/>
    <tableColumn id="8" name="Lieu activité" dataDxfId="587"/>
    <tableColumn id="9" name="Lieu activité2" dataDxfId="586"/>
    <tableColumn id="10" name="Chirurgien" dataDxfId="585"/>
    <tableColumn id="11" name="Sexe" dataDxfId="584"/>
    <tableColumn id="12" name="D/opératoire" dataDxfId="583"/>
    <tableColumn id="13" name="Disc HT" dataDxfId="582"/>
    <tableColumn id="14" name="Intervention" dataDxfId="581"/>
    <tableColumn id="15" name="Intervention-activité" dataDxfId="580"/>
    <tableColumn id="16" name="Intervention-activité par type" dataDxfId="579"/>
    <tableColumn id="17" name="intervention-valves" dataDxfId="578"/>
    <tableColumn id="18" name="valves - activité" dataDxfId="577"/>
    <tableColumn id="19" name="Lés. cor." dataDxfId="576"/>
    <tableColumn id="20" name="Type RC" dataDxfId="575"/>
    <tableColumn id="21" name="Marque V" dataDxfId="574"/>
    <tableColumn id="22" name="Type V" dataDxfId="573"/>
    <tableColumn id="23" name="Taille V" dataDxfId="572"/>
    <tableColumn id="24" name="Date révision" dataDxfId="571"/>
    <tableColumn id="25" name="Révision &lt; 24h" dataDxfId="570"/>
    <tableColumn id="26" name="Révision &gt;24h" dataDxfId="569"/>
    <tableColumn id="27" name="Redo" dataDxfId="568"/>
    <tableColumn id="28" name="AVC" dataDxfId="567"/>
    <tableColumn id="29" name="IM" dataDxfId="566"/>
    <tableColumn id="30" name="Inf p.op" dataDxfId="565"/>
    <tableColumn id="31" name="Transfu &lt;24 h" dataDxfId="564"/>
    <tableColumn id="32" name="T &lt;24 - nb trans" dataDxfId="563"/>
    <tableColumn id="33" name="Transfu &gt;24 h" dataDxfId="562"/>
    <tableColumn id="34" name="T &gt;24 h - nb trans" dataDxfId="561"/>
    <tableColumn id="35" name="T total" dataDxfId="560"/>
    <tableColumn id="36" name="Retour salle" dataDxfId="559"/>
    <tableColumn id="37" name="Nbr de j USI" dataDxfId="558"/>
    <tableColumn id="38" name="Date de sortie" dataDxfId="557"/>
    <tableColumn id="39" name="Nbr de j hospi" dataDxfId="556"/>
    <tableColumn id="40" name="Alive" dataDxfId="555"/>
    <tableColumn id="41" name="DCD Délai d'intervention" dataDxfId="554"/>
    <tableColumn id="42" name="Délai intervention" dataDxfId="553"/>
    <tableColumn id="43" name="Destination" dataDxfId="552"/>
    <tableColumn id="44" name="Réhosp." dataDxfId="551"/>
    <tableColumn id="45" name="Réhosp.&lt; 30 j" dataDxfId="550"/>
    <tableColumn id="46" name="Cause réhospit"/>
    <tableColumn id="47" name="Nom3" dataDxfId="549"/>
    <tableColumn id="48" name="RDV postop"/>
    <tableColumn id="49" name="Postopt imm"/>
    <tableColumn id="50" name="Statut 1"/>
    <tableColumn id="51" name="Commentaires"/>
    <tableColumn id="52" name="postop loint"/>
    <tableColumn id="53" name="Statut 2"/>
    <tableColumn id="54" name="Commentaires4"/>
    <tableColumn id="55" name="Inf p.op_RV"/>
    <tableColumn id="56" name="Transfu &lt;24 h_RV"/>
    <tableColumn id="57" name="Transfu &gt;24 h_RV"/>
    <tableColumn id="58" name="délai intervention5"/>
    <tableColumn id="59" name="Inf p.op_RV6" dataDxfId="548"/>
    <tableColumn id="60" name="Transfu &lt;24 h_RV7" dataDxfId="547"/>
    <tableColumn id="61" name="Transfu &gt;24 h_RV8" dataDxfId="546"/>
    <tableColumn id="62" name="Révision &lt; 24h_RV" dataDxfId="545"/>
    <tableColumn id="63" name="Réhosp.&lt; 30 j_RV" dataDxfId="544"/>
    <tableColumn id="64" name="Nbr de j hospi_RV" dataDxfId="543"/>
    <tableColumn id="65" name="Nbr de j hospi_Hors_RV" dataDxfId="542"/>
    <tableColumn id="66" name="Nbr de j hospi_LVAD-TX_RV" dataDxfId="541"/>
    <tableColumn id="67" name="Nbr de j USI_RV" dataDxfId="540"/>
    <tableColumn id="68" name="Nbr de j USI_Hors_RV" dataDxfId="539"/>
    <tableColumn id="69" name="Nbr de j USI_LVAD-TX_RV" dataDxfId="538"/>
    <tableColumn id="70" name="Transfu_RV" dataDxfId="537"/>
    <tableColumn id="71" name="Transfu_Total_RV" dataDxfId="536"/>
    <tableColumn id="72" name="Lieu activité_Groupe" dataDxfId="535"/>
    <tableColumn id="73" name="AVC_RV" dataDxfId="534"/>
    <tableColumn id="74" name="IM_RV" dataDxfId="533"/>
    <tableColumn id="75" name="HT" dataDxfId="532"/>
    <tableColumn id="76" name="Colonne1" dataDxfId="531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7" Type="http://schemas.microsoft.com/office/2007/relationships/slicer" Target="../slicers/slicer1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ivotTable" Target="../pivotTables/pivotTable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0.xml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Relationship Id="rId4" Type="http://schemas.openxmlformats.org/officeDocument/2006/relationships/pivotTable" Target="../pivotTables/pivotTable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ivotTable" Target="../pivotTables/pivotTable13.xml"/><Relationship Id="rId1" Type="http://schemas.openxmlformats.org/officeDocument/2006/relationships/pivotTable" Target="../pivotTables/pivotTable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21.xml"/><Relationship Id="rId3" Type="http://schemas.openxmlformats.org/officeDocument/2006/relationships/pivotTable" Target="../pivotTables/pivotTable16.xml"/><Relationship Id="rId7" Type="http://schemas.openxmlformats.org/officeDocument/2006/relationships/pivotTable" Target="../pivotTables/pivotTable20.xml"/><Relationship Id="rId2" Type="http://schemas.openxmlformats.org/officeDocument/2006/relationships/pivotTable" Target="../pivotTables/pivotTable15.xml"/><Relationship Id="rId1" Type="http://schemas.openxmlformats.org/officeDocument/2006/relationships/pivotTable" Target="../pivotTables/pivotTable14.xml"/><Relationship Id="rId6" Type="http://schemas.openxmlformats.org/officeDocument/2006/relationships/pivotTable" Target="../pivotTables/pivotTable19.xml"/><Relationship Id="rId5" Type="http://schemas.openxmlformats.org/officeDocument/2006/relationships/pivotTable" Target="../pivotTables/pivotTable18.xml"/><Relationship Id="rId4" Type="http://schemas.openxmlformats.org/officeDocument/2006/relationships/pivotTable" Target="../pivotTables/pivotTable17.xml"/><Relationship Id="rId9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23.xml"/><Relationship Id="rId1" Type="http://schemas.openxmlformats.org/officeDocument/2006/relationships/pivotTable" Target="../pivotTables/pivotTable2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6.xml"/><Relationship Id="rId2" Type="http://schemas.openxmlformats.org/officeDocument/2006/relationships/pivotTable" Target="../pivotTables/pivotTable25.xml"/><Relationship Id="rId1" Type="http://schemas.openxmlformats.org/officeDocument/2006/relationships/pivotTable" Target="../pivotTables/pivotTable24.xml"/><Relationship Id="rId4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9.xml"/><Relationship Id="rId2" Type="http://schemas.openxmlformats.org/officeDocument/2006/relationships/pivotTable" Target="../pivotTables/pivotTable28.xml"/><Relationship Id="rId1" Type="http://schemas.openxmlformats.org/officeDocument/2006/relationships/pivotTable" Target="../pivotTables/pivotTable27.xml"/><Relationship Id="rId4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2.xml"/><Relationship Id="rId2" Type="http://schemas.openxmlformats.org/officeDocument/2006/relationships/pivotTable" Target="../pivotTables/pivotTable31.xml"/><Relationship Id="rId1" Type="http://schemas.openxmlformats.org/officeDocument/2006/relationships/pivotTable" Target="../pivotTables/pivotTable30.xml"/><Relationship Id="rId5" Type="http://schemas.openxmlformats.org/officeDocument/2006/relationships/drawing" Target="../drawings/drawing33.xml"/><Relationship Id="rId4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5.xml"/><Relationship Id="rId2" Type="http://schemas.openxmlformats.org/officeDocument/2006/relationships/pivotTable" Target="../pivotTables/pivotTable34.xml"/><Relationship Id="rId1" Type="http://schemas.openxmlformats.org/officeDocument/2006/relationships/pivotTable" Target="../pivotTables/pivotTable33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7.xml"/><Relationship Id="rId1" Type="http://schemas.openxmlformats.org/officeDocument/2006/relationships/pivotTable" Target="../pivotTables/pivotTable36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0.xml"/><Relationship Id="rId2" Type="http://schemas.openxmlformats.org/officeDocument/2006/relationships/pivotTable" Target="../pivotTables/pivotTable39.xml"/><Relationship Id="rId1" Type="http://schemas.openxmlformats.org/officeDocument/2006/relationships/pivotTable" Target="../pivotTables/pivotTable38.xml"/><Relationship Id="rId4" Type="http://schemas.openxmlformats.org/officeDocument/2006/relationships/drawing" Target="../drawings/drawing4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2.xml"/><Relationship Id="rId1" Type="http://schemas.openxmlformats.org/officeDocument/2006/relationships/pivotTable" Target="../pivotTables/pivotTable41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ivotTable" Target="../pivotTables/pivotTable44.xml"/><Relationship Id="rId1" Type="http://schemas.openxmlformats.org/officeDocument/2006/relationships/pivotTable" Target="../pivotTables/pivotTable4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ivotTable" Target="../pivotTables/pivotTable46.xml"/><Relationship Id="rId1" Type="http://schemas.openxmlformats.org/officeDocument/2006/relationships/pivotTable" Target="../pivotTables/pivotTable45.xml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54.xml"/><Relationship Id="rId3" Type="http://schemas.openxmlformats.org/officeDocument/2006/relationships/pivotTable" Target="../pivotTables/pivotTable49.xml"/><Relationship Id="rId7" Type="http://schemas.openxmlformats.org/officeDocument/2006/relationships/pivotTable" Target="../pivotTables/pivotTable53.xml"/><Relationship Id="rId2" Type="http://schemas.openxmlformats.org/officeDocument/2006/relationships/pivotTable" Target="../pivotTables/pivotTable48.xml"/><Relationship Id="rId1" Type="http://schemas.openxmlformats.org/officeDocument/2006/relationships/pivotTable" Target="../pivotTables/pivotTable47.xml"/><Relationship Id="rId6" Type="http://schemas.openxmlformats.org/officeDocument/2006/relationships/pivotTable" Target="../pivotTables/pivotTable52.xml"/><Relationship Id="rId5" Type="http://schemas.openxmlformats.org/officeDocument/2006/relationships/pivotTable" Target="../pivotTables/pivotTable51.xml"/><Relationship Id="rId4" Type="http://schemas.openxmlformats.org/officeDocument/2006/relationships/pivotTable" Target="../pivotTables/pivotTable50.xml"/></Relationships>
</file>

<file path=xl/worksheets/_rels/sheet28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62.xml"/><Relationship Id="rId3" Type="http://schemas.openxmlformats.org/officeDocument/2006/relationships/pivotTable" Target="../pivotTables/pivotTable57.xml"/><Relationship Id="rId7" Type="http://schemas.openxmlformats.org/officeDocument/2006/relationships/pivotTable" Target="../pivotTables/pivotTable61.xml"/><Relationship Id="rId2" Type="http://schemas.openxmlformats.org/officeDocument/2006/relationships/pivotTable" Target="../pivotTables/pivotTable56.xml"/><Relationship Id="rId1" Type="http://schemas.openxmlformats.org/officeDocument/2006/relationships/pivotTable" Target="../pivotTables/pivotTable55.xml"/><Relationship Id="rId6" Type="http://schemas.openxmlformats.org/officeDocument/2006/relationships/pivotTable" Target="../pivotTables/pivotTable60.xml"/><Relationship Id="rId5" Type="http://schemas.openxmlformats.org/officeDocument/2006/relationships/pivotTable" Target="../pivotTables/pivotTable59.xml"/><Relationship Id="rId4" Type="http://schemas.openxmlformats.org/officeDocument/2006/relationships/pivotTable" Target="../pivotTables/pivotTable58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5.xml"/><Relationship Id="rId7" Type="http://schemas.openxmlformats.org/officeDocument/2006/relationships/pivotTable" Target="../pivotTables/pivotTable69.xml"/><Relationship Id="rId2" Type="http://schemas.openxmlformats.org/officeDocument/2006/relationships/pivotTable" Target="../pivotTables/pivotTable64.xml"/><Relationship Id="rId1" Type="http://schemas.openxmlformats.org/officeDocument/2006/relationships/pivotTable" Target="../pivotTables/pivotTable63.xml"/><Relationship Id="rId6" Type="http://schemas.openxmlformats.org/officeDocument/2006/relationships/pivotTable" Target="../pivotTables/pivotTable68.xml"/><Relationship Id="rId5" Type="http://schemas.openxmlformats.org/officeDocument/2006/relationships/pivotTable" Target="../pivotTables/pivotTable67.xml"/><Relationship Id="rId4" Type="http://schemas.openxmlformats.org/officeDocument/2006/relationships/pivotTable" Target="../pivotTables/pivotTable66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71.xml"/><Relationship Id="rId1" Type="http://schemas.openxmlformats.org/officeDocument/2006/relationships/pivotTable" Target="../pivotTables/pivotTable70.xml"/></Relationships>
</file>

<file path=xl/worksheets/_rels/sheet31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79.xml"/><Relationship Id="rId3" Type="http://schemas.openxmlformats.org/officeDocument/2006/relationships/pivotTable" Target="../pivotTables/pivotTable74.xml"/><Relationship Id="rId7" Type="http://schemas.openxmlformats.org/officeDocument/2006/relationships/pivotTable" Target="../pivotTables/pivotTable78.xml"/><Relationship Id="rId2" Type="http://schemas.openxmlformats.org/officeDocument/2006/relationships/pivotTable" Target="../pivotTables/pivotTable73.xml"/><Relationship Id="rId1" Type="http://schemas.openxmlformats.org/officeDocument/2006/relationships/pivotTable" Target="../pivotTables/pivotTable72.xml"/><Relationship Id="rId6" Type="http://schemas.openxmlformats.org/officeDocument/2006/relationships/pivotTable" Target="../pivotTables/pivotTable77.xml"/><Relationship Id="rId5" Type="http://schemas.openxmlformats.org/officeDocument/2006/relationships/pivotTable" Target="../pivotTables/pivotTable76.xml"/><Relationship Id="rId4" Type="http://schemas.openxmlformats.org/officeDocument/2006/relationships/pivotTable" Target="../pivotTables/pivotTable75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82.xml"/><Relationship Id="rId2" Type="http://schemas.openxmlformats.org/officeDocument/2006/relationships/pivotTable" Target="../pivotTables/pivotTable81.xml"/><Relationship Id="rId1" Type="http://schemas.openxmlformats.org/officeDocument/2006/relationships/pivotTable" Target="../pivotTables/pivotTable80.xml"/><Relationship Id="rId4" Type="http://schemas.openxmlformats.org/officeDocument/2006/relationships/pivotTable" Target="../pivotTables/pivotTable83.x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85.xml"/><Relationship Id="rId1" Type="http://schemas.openxmlformats.org/officeDocument/2006/relationships/pivotTable" Target="../pivotTables/pivotTable84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87.xml"/><Relationship Id="rId1" Type="http://schemas.openxmlformats.org/officeDocument/2006/relationships/pivotTable" Target="../pivotTables/pivotTable8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BX333"/>
  <sheetViews>
    <sheetView zoomScale="98" zoomScaleNormal="98" workbookViewId="0">
      <pane xSplit="3" ySplit="1" topLeftCell="BT305" activePane="bottomRight" state="frozen"/>
      <selection pane="topRight" activeCell="D1" sqref="D1"/>
      <selection pane="bottomLeft" activeCell="A2" sqref="A2"/>
      <selection pane="bottomRight" activeCell="BX333" sqref="BX333"/>
    </sheetView>
  </sheetViews>
  <sheetFormatPr baseColWidth="10" defaultColWidth="10" defaultRowHeight="15" x14ac:dyDescent="0.25"/>
  <cols>
    <col min="1" max="1" width="13.5703125" customWidth="1"/>
    <col min="2" max="2" width="26.5703125" customWidth="1"/>
    <col min="3" max="3" width="13.28515625" customWidth="1"/>
    <col min="4" max="4" width="16.7109375" customWidth="1"/>
    <col min="5" max="5" width="9.28515625" customWidth="1"/>
    <col min="6" max="6" width="14.140625" customWidth="1"/>
    <col min="7" max="7" width="17.42578125" customWidth="1"/>
    <col min="8" max="9" width="23.5703125" customWidth="1"/>
    <col min="10" max="10" width="13" customWidth="1"/>
    <col min="11" max="11" width="9.140625" customWidth="1"/>
    <col min="12" max="12" width="17.140625" customWidth="1"/>
    <col min="13" max="13" width="12.5703125" customWidth="1"/>
    <col min="14" max="14" width="23.7109375" customWidth="1"/>
    <col min="15" max="15" width="21.5703125" customWidth="1"/>
    <col min="16" max="16" width="29.7109375" customWidth="1"/>
    <col min="17" max="17" width="20.7109375" customWidth="1"/>
    <col min="18" max="18" width="17.42578125" customWidth="1"/>
    <col min="19" max="19" width="11.140625" customWidth="1"/>
    <col min="20" max="20" width="11.42578125" customWidth="1"/>
    <col min="21" max="21" width="14.5703125" customWidth="1"/>
    <col min="22" max="22" width="12.140625" customWidth="1"/>
    <col min="23" max="23" width="11.28515625" customWidth="1"/>
    <col min="24" max="24" width="15.28515625" customWidth="1"/>
    <col min="25" max="25" width="16.5703125" customWidth="1"/>
    <col min="26" max="26" width="16" customWidth="1"/>
    <col min="27" max="27" width="10.42578125" customWidth="1"/>
    <col min="28" max="28" width="9.5703125" customWidth="1"/>
    <col min="29" max="29" width="10.140625" customWidth="1"/>
    <col min="30" max="30" width="10.7109375" customWidth="1"/>
    <col min="31" max="31" width="15.5703125" customWidth="1"/>
    <col min="32" max="32" width="17.28515625" customWidth="1"/>
    <col min="33" max="33" width="15.5703125" customWidth="1"/>
    <col min="34" max="34" width="19.140625" customWidth="1"/>
    <col min="35" max="35" width="11.140625" customWidth="1"/>
    <col min="36" max="36" width="15.5703125" customWidth="1"/>
    <col min="37" max="37" width="14.28515625" customWidth="1"/>
    <col min="38" max="39" width="16" customWidth="1"/>
    <col min="40" max="40" width="12.28515625" customWidth="1"/>
    <col min="41" max="41" width="25.85546875" customWidth="1"/>
    <col min="42" max="42" width="19.7109375" customWidth="1"/>
    <col min="43" max="43" width="13.5703125" customWidth="1"/>
    <col min="44" max="44" width="10.5703125" customWidth="1"/>
    <col min="45" max="45" width="15.5703125" customWidth="1"/>
    <col min="46" max="46" width="16.85546875" customWidth="1"/>
    <col min="47" max="47" width="24.5703125" customWidth="1"/>
    <col min="48" max="48" width="13.85546875" customWidth="1"/>
    <col min="49" max="49" width="14.7109375" customWidth="1"/>
    <col min="50" max="50" width="10.140625" customWidth="1"/>
    <col min="51" max="51" width="27" customWidth="1"/>
    <col min="52" max="52" width="14" customWidth="1"/>
    <col min="53" max="53" width="10.140625" customWidth="1"/>
    <col min="54" max="54" width="24.5703125" customWidth="1"/>
    <col min="55" max="55" width="15.42578125" customWidth="1"/>
    <col min="56" max="57" width="20.42578125" customWidth="1"/>
    <col min="58" max="58" width="20.5703125" customWidth="1"/>
    <col min="59" max="59" width="17.140625" customWidth="1"/>
    <col min="60" max="60" width="20.42578125" customWidth="1"/>
    <col min="61" max="61" width="20.42578125" hidden="1" customWidth="1"/>
    <col min="62" max="62" width="21" hidden="1" customWidth="1"/>
    <col min="63" max="66" width="20.28515625" hidden="1" customWidth="1"/>
    <col min="67" max="70" width="14" hidden="1" customWidth="1"/>
    <col min="71" max="71" width="20.5703125" hidden="1" customWidth="1"/>
    <col min="72" max="72" width="22.42578125" customWidth="1"/>
    <col min="73" max="74" width="17.140625" customWidth="1"/>
    <col min="75" max="75" width="20.28515625" bestFit="1" customWidth="1"/>
    <col min="76" max="76" width="12" customWidth="1"/>
  </cols>
  <sheetData>
    <row r="1" spans="1:76" x14ac:dyDescent="0.25">
      <c r="A1" s="209" t="s">
        <v>8</v>
      </c>
      <c r="B1" s="35" t="s">
        <v>9</v>
      </c>
      <c r="C1" s="210" t="s">
        <v>10</v>
      </c>
      <c r="D1" s="211" t="s">
        <v>11</v>
      </c>
      <c r="E1" s="35" t="s">
        <v>12</v>
      </c>
      <c r="F1" s="35" t="s">
        <v>196</v>
      </c>
      <c r="G1" s="35" t="s">
        <v>13</v>
      </c>
      <c r="H1" s="35" t="s">
        <v>14</v>
      </c>
      <c r="I1" s="35" t="s">
        <v>329</v>
      </c>
      <c r="J1" s="35" t="s">
        <v>15</v>
      </c>
      <c r="K1" s="35" t="s">
        <v>16</v>
      </c>
      <c r="L1" s="211" t="s">
        <v>17</v>
      </c>
      <c r="M1" s="211" t="s">
        <v>198</v>
      </c>
      <c r="N1" s="212" t="s">
        <v>18</v>
      </c>
      <c r="O1" s="212" t="s">
        <v>60</v>
      </c>
      <c r="P1" s="212" t="s">
        <v>295</v>
      </c>
      <c r="Q1" s="212" t="s">
        <v>185</v>
      </c>
      <c r="R1" s="212" t="s">
        <v>61</v>
      </c>
      <c r="S1" s="35" t="s">
        <v>19</v>
      </c>
      <c r="T1" s="35" t="s">
        <v>20</v>
      </c>
      <c r="U1" s="35" t="s">
        <v>21</v>
      </c>
      <c r="V1" s="35" t="s">
        <v>22</v>
      </c>
      <c r="W1" s="35" t="s">
        <v>23</v>
      </c>
      <c r="X1" s="213" t="s">
        <v>68</v>
      </c>
      <c r="Y1" s="214" t="s">
        <v>69</v>
      </c>
      <c r="Z1" s="214" t="s">
        <v>142</v>
      </c>
      <c r="AA1" s="35" t="s">
        <v>141</v>
      </c>
      <c r="AB1" s="212" t="s">
        <v>207</v>
      </c>
      <c r="AC1" s="215" t="s">
        <v>208</v>
      </c>
      <c r="AD1" s="216" t="s">
        <v>74</v>
      </c>
      <c r="AE1" s="217" t="s">
        <v>75</v>
      </c>
      <c r="AF1" s="217" t="s">
        <v>66</v>
      </c>
      <c r="AG1" s="217" t="s">
        <v>76</v>
      </c>
      <c r="AH1" s="217" t="s">
        <v>67</v>
      </c>
      <c r="AI1" s="217" t="s">
        <v>153</v>
      </c>
      <c r="AJ1" s="35" t="s">
        <v>77</v>
      </c>
      <c r="AK1" s="35" t="s">
        <v>24</v>
      </c>
      <c r="AL1" s="211" t="s">
        <v>25</v>
      </c>
      <c r="AM1" s="35" t="s">
        <v>26</v>
      </c>
      <c r="AN1" s="218" t="s">
        <v>27</v>
      </c>
      <c r="AO1" s="218" t="s">
        <v>291</v>
      </c>
      <c r="AP1" s="218" t="s">
        <v>290</v>
      </c>
      <c r="AQ1" s="35" t="s">
        <v>28</v>
      </c>
      <c r="AR1" s="219" t="s">
        <v>70</v>
      </c>
      <c r="AS1" s="219" t="s">
        <v>71</v>
      </c>
      <c r="AT1" s="219" t="s">
        <v>59</v>
      </c>
      <c r="AU1" s="35" t="s">
        <v>330</v>
      </c>
      <c r="AV1" s="220" t="s">
        <v>29</v>
      </c>
      <c r="AW1" s="221" t="s">
        <v>30</v>
      </c>
      <c r="AX1" s="221" t="s">
        <v>31</v>
      </c>
      <c r="AY1" s="221" t="s">
        <v>32</v>
      </c>
      <c r="AZ1" s="221" t="s">
        <v>33</v>
      </c>
      <c r="BA1" s="221" t="s">
        <v>34</v>
      </c>
      <c r="BB1" s="221" t="s">
        <v>331</v>
      </c>
      <c r="BC1" s="222" t="s">
        <v>93</v>
      </c>
      <c r="BD1" s="222" t="s">
        <v>94</v>
      </c>
      <c r="BE1" s="222" t="s">
        <v>95</v>
      </c>
      <c r="BF1" s="222" t="s">
        <v>332</v>
      </c>
      <c r="BG1" s="222" t="s">
        <v>333</v>
      </c>
      <c r="BH1" s="222" t="s">
        <v>338</v>
      </c>
      <c r="BI1" s="222" t="s">
        <v>334</v>
      </c>
      <c r="BJ1" s="222" t="s">
        <v>96</v>
      </c>
      <c r="BK1" s="222" t="s">
        <v>97</v>
      </c>
      <c r="BL1" s="223" t="s">
        <v>101</v>
      </c>
      <c r="BM1" s="223" t="s">
        <v>132</v>
      </c>
      <c r="BN1" s="223" t="s">
        <v>133</v>
      </c>
      <c r="BO1" s="223" t="s">
        <v>99</v>
      </c>
      <c r="BP1" s="223" t="s">
        <v>136</v>
      </c>
      <c r="BQ1" s="223" t="s">
        <v>137</v>
      </c>
      <c r="BR1" s="223" t="s">
        <v>118</v>
      </c>
      <c r="BS1" s="223" t="s">
        <v>119</v>
      </c>
      <c r="BT1" s="224" t="s">
        <v>117</v>
      </c>
      <c r="BU1" s="222" t="s">
        <v>278</v>
      </c>
      <c r="BV1" s="222" t="s">
        <v>280</v>
      </c>
      <c r="BW1" s="225" t="s">
        <v>195</v>
      </c>
      <c r="BX1" s="2" t="s">
        <v>351</v>
      </c>
    </row>
    <row r="2" spans="1:76" ht="12.95" customHeight="1" x14ac:dyDescent="0.25">
      <c r="A2" s="226" t="s">
        <v>212</v>
      </c>
      <c r="B2" s="234"/>
      <c r="C2" s="227"/>
      <c r="D2" s="257"/>
      <c r="E2" s="278">
        <f>(L2-D2)/365</f>
        <v>0</v>
      </c>
      <c r="F2" s="278" t="str">
        <f>IF(E2&lt;80," ","1")</f>
        <v xml:space="preserve"> </v>
      </c>
      <c r="G2" s="256"/>
      <c r="H2" s="256"/>
      <c r="I2" s="256"/>
      <c r="J2" s="256"/>
      <c r="K2" s="256"/>
      <c r="L2" s="257"/>
      <c r="M2" s="243"/>
      <c r="N2" s="256"/>
      <c r="O2" s="265"/>
      <c r="P2" s="265" t="str">
        <f>IFERROR(VLOOKUP(O2,Références!$K$11:$N$19,2)," ")</f>
        <v xml:space="preserve"> </v>
      </c>
      <c r="Q2" s="265" t="str">
        <f>IFERROR(VLOOKUP(O2,Références!$K$11:$N$19,3)," ")</f>
        <v xml:space="preserve"> </v>
      </c>
      <c r="R2" s="265" t="str">
        <f>IFERROR(VLOOKUP(O2,Références!$K$11:$N$19,4)," ")</f>
        <v xml:space="preserve"> </v>
      </c>
      <c r="S2" s="256"/>
      <c r="T2" s="256"/>
      <c r="U2" s="256"/>
      <c r="V2" s="256"/>
      <c r="W2" s="256"/>
      <c r="X2" s="257"/>
      <c r="Y2" s="256">
        <v>1</v>
      </c>
      <c r="Z2" s="256"/>
      <c r="AA2" s="256"/>
      <c r="AB2" s="235"/>
      <c r="AC2" s="235"/>
      <c r="AD2" s="235"/>
      <c r="AE2" s="235"/>
      <c r="AF2" s="235">
        <v>8</v>
      </c>
      <c r="AG2" s="235"/>
      <c r="AH2" s="235">
        <v>15</v>
      </c>
      <c r="AI2" s="235">
        <f>SUM(AF2,AH2)</f>
        <v>23</v>
      </c>
      <c r="AJ2" s="257"/>
      <c r="AK2" s="256">
        <f>(AJ2-L2)</f>
        <v>0</v>
      </c>
      <c r="AL2" s="257"/>
      <c r="AM2" s="266">
        <f>(AL2-L2)</f>
        <v>0</v>
      </c>
      <c r="AN2" s="256"/>
      <c r="AO2" s="276"/>
      <c r="AP2" s="261" t="str">
        <f>IF(AO2=1,"ELECTIVE",IF(AO2=2,"URGENCY",IF(AO2=3,"EMERGENCY",IF(AO2=4,"SALVAGE"," "))))</f>
        <v xml:space="preserve"> </v>
      </c>
      <c r="AQ2" s="256"/>
      <c r="AR2" s="295"/>
      <c r="AS2" s="295"/>
      <c r="AT2" s="263"/>
      <c r="AU2" s="277"/>
      <c r="AV2" s="263"/>
      <c r="AW2" s="230"/>
      <c r="AX2" s="300"/>
      <c r="AY2" s="301"/>
      <c r="AZ2" s="230"/>
      <c r="BA2" s="300" t="s">
        <v>234</v>
      </c>
      <c r="BB2" s="295"/>
      <c r="BC2" s="228">
        <f>IF(BG2="Aucune",0,1)</f>
        <v>0</v>
      </c>
      <c r="BD2" s="228">
        <f>IF(BH2="Aucune",0,1)</f>
        <v>1</v>
      </c>
      <c r="BE2" s="228">
        <f t="shared" ref="BE2:BE65" si="0">IF(AG2="Aucune",0,1)</f>
        <v>1</v>
      </c>
      <c r="BF2" s="228" t="str">
        <f>IF(AO2=1,"ELECTIVE",IF(AO2=2,"URGENCY",IF(AO2=3,"EMERGENCY",IF(AO2=4,"SALVAGE","ALIVE"))))</f>
        <v>ALIVE</v>
      </c>
      <c r="BG2" s="208" t="str">
        <f>IF(AD2="","Aucune","Infection")</f>
        <v>Aucune</v>
      </c>
      <c r="BH2" s="208" t="str">
        <f t="shared" ref="BH2:BH65" si="1">IF(AI2&gt;0,"Transfusion","Aucune")</f>
        <v>Transfusion</v>
      </c>
      <c r="BI2" s="208" t="str">
        <f t="shared" ref="BI2:BI65" si="2">IF(AG2="","Aucune","Transfusé")</f>
        <v>Aucune</v>
      </c>
      <c r="BJ2" s="208" t="str">
        <f t="shared" ref="BJ2:BJ33" si="3">IF(X2&lt;&gt;"",IF(X2-L2&lt;2,"OUI","NON"),"NON")</f>
        <v>NON</v>
      </c>
      <c r="BK2" s="208" t="str">
        <f t="shared" ref="BK2:BK65" si="4">IF(AS2="","NON","OUI")</f>
        <v>NON</v>
      </c>
      <c r="BL2" s="208" t="str">
        <f t="shared" ref="BL2:BL33" si="5">IF(AL2-L2&gt;0,AL2-L2,"Inconnu")</f>
        <v>Inconnu</v>
      </c>
      <c r="BM2" s="208" t="str">
        <f>IF($O2&lt;&gt;"HTX",IF($O2&lt;&gt;"LVAD",BL2,"Inconnu"),"Inconnu")</f>
        <v>Inconnu</v>
      </c>
      <c r="BN2" s="208" t="str">
        <f>IF($O2="HTX",BL2,IF($O2="LVAD",BL2,"Inconnu"))</f>
        <v>Inconnu</v>
      </c>
      <c r="BO2" s="208" t="str">
        <f t="shared" ref="BO2:BO33" si="6">IF(AJ2-L2&gt;0,AJ2-L2,"Inconnu")</f>
        <v>Inconnu</v>
      </c>
      <c r="BP2" s="208" t="str">
        <f>IF($O2&lt;&gt;"HTX",IF($O2&lt;&gt;"LVAD",BO2,"Inconnu"),"Inconnu")</f>
        <v>Inconnu</v>
      </c>
      <c r="BQ2" s="208" t="str">
        <f>IF($O2="HTX",BO2,IF($O2="LVAD",BO2,"Inconnu"))</f>
        <v>Inconnu</v>
      </c>
      <c r="BR2" s="208" t="str">
        <f>IF(BH2="Aucune",IF(BI2="Aucune","Aucune","Transfusé"),"Transfusé")</f>
        <v>Transfusé</v>
      </c>
      <c r="BS2" s="208">
        <f t="shared" ref="BS2:BS33" si="7">AF2+AH2</f>
        <v>23</v>
      </c>
      <c r="BT2" s="229" t="e">
        <f>VLOOKUP($I2,Lieu_Activité!$A:$B,2,FALSE)</f>
        <v>#N/A</v>
      </c>
      <c r="BU2" s="208" t="str">
        <f t="shared" ref="BU2:BU65" si="8">IF(AB2="","Aucun","AVC")</f>
        <v>Aucun</v>
      </c>
      <c r="BV2" s="208" t="str">
        <f t="shared" ref="BV2:BV65" si="9">IF(AC2="","Aucun","IM")</f>
        <v>Aucun</v>
      </c>
      <c r="BW2" s="207" t="str">
        <f t="shared" ref="BW2:BW33" si="10">IF(M2="","NON","OUI")</f>
        <v>NON</v>
      </c>
      <c r="BX2" s="288"/>
    </row>
    <row r="3" spans="1:76" ht="12.95" customHeight="1" x14ac:dyDescent="0.25">
      <c r="A3" s="226" t="s">
        <v>212</v>
      </c>
      <c r="B3" s="234"/>
      <c r="C3" s="227"/>
      <c r="D3" s="257"/>
      <c r="E3" s="278">
        <f t="shared" ref="E3:E8" si="11">(L3-D3)/365</f>
        <v>0</v>
      </c>
      <c r="F3" s="278" t="str">
        <f t="shared" ref="F3:F66" si="12">IF(E3&lt;80," ","1")</f>
        <v xml:space="preserve"> </v>
      </c>
      <c r="G3" s="256"/>
      <c r="H3" s="256"/>
      <c r="I3" s="256"/>
      <c r="J3" s="256"/>
      <c r="K3" s="256"/>
      <c r="L3" s="257"/>
      <c r="M3" s="243"/>
      <c r="N3" s="256"/>
      <c r="O3" s="256"/>
      <c r="P3" s="265" t="str">
        <f>IFERROR(VLOOKUP(O3,Références!$K$11:$N$19,2)," ")</f>
        <v xml:space="preserve"> </v>
      </c>
      <c r="Q3" s="265" t="str">
        <f>IFERROR(VLOOKUP(O3,Références!$K$11:$N$19,3)," ")</f>
        <v xml:space="preserve"> </v>
      </c>
      <c r="R3" s="265" t="str">
        <f>IFERROR(VLOOKUP(O3,Références!$K$11:$N$19,4)," ")</f>
        <v xml:space="preserve"> </v>
      </c>
      <c r="S3" s="256"/>
      <c r="T3" s="256"/>
      <c r="U3" s="256"/>
      <c r="V3" s="256"/>
      <c r="W3" s="256"/>
      <c r="X3" s="257"/>
      <c r="Y3" s="256">
        <v>1</v>
      </c>
      <c r="Z3" s="256"/>
      <c r="AA3" s="256"/>
      <c r="AB3" s="235"/>
      <c r="AC3" s="235"/>
      <c r="AD3" s="235"/>
      <c r="AE3" s="235"/>
      <c r="AF3" s="235">
        <v>8</v>
      </c>
      <c r="AG3" s="235"/>
      <c r="AH3" s="235">
        <v>15</v>
      </c>
      <c r="AI3" s="235">
        <f t="shared" ref="AI3:AI8" si="13">SUM(AF3,AH3)</f>
        <v>23</v>
      </c>
      <c r="AJ3" s="257"/>
      <c r="AK3" s="256">
        <f t="shared" ref="AK3:AK8" si="14">(AJ3-L3)</f>
        <v>0</v>
      </c>
      <c r="AL3" s="257"/>
      <c r="AM3" s="266">
        <f t="shared" ref="AM3:AM8" si="15">(AL3-L3)</f>
        <v>0</v>
      </c>
      <c r="AN3" s="256"/>
      <c r="AO3" s="276"/>
      <c r="AP3" s="261" t="str">
        <f t="shared" ref="AP3:AP66" si="16">IF(AO3=1,"ELECTIVE",IF(AO3=2,"URGENCY",IF(AO3=3,"EMERGENCY",IF(AO3=4,"SALVAGE"," "))))</f>
        <v xml:space="preserve"> </v>
      </c>
      <c r="AQ3" s="256"/>
      <c r="AR3" s="295"/>
      <c r="AS3" s="295"/>
      <c r="AT3" s="263"/>
      <c r="AU3" s="277"/>
      <c r="AV3" s="263"/>
      <c r="AW3" s="230"/>
      <c r="AX3" s="300"/>
      <c r="AY3" s="301"/>
      <c r="AZ3" s="230"/>
      <c r="BA3" s="230" t="s">
        <v>234</v>
      </c>
      <c r="BB3" s="295"/>
      <c r="BC3" s="228">
        <f t="shared" ref="BC3:BC8" si="17">IF(BG3="Aucune",0,1)</f>
        <v>0</v>
      </c>
      <c r="BD3" s="228">
        <f t="shared" ref="BD3:BD8" si="18">IF(BH3="Aucune",0,1)</f>
        <v>1</v>
      </c>
      <c r="BE3" s="228">
        <f t="shared" si="0"/>
        <v>1</v>
      </c>
      <c r="BF3" s="228" t="str">
        <f t="shared" ref="BF3:BF66" si="19">IF(AO3=1,"ELECTIVE",IF(AO3=2,"URGENCY",IF(AO3=3,"EMERGENCY",IF(AO3=4,"SALVAGE","ALIVE"))))</f>
        <v>ALIVE</v>
      </c>
      <c r="BG3" s="208" t="str">
        <f t="shared" ref="BG3:BG65" si="20">IF(AD3="","Aucune","Infection")</f>
        <v>Aucune</v>
      </c>
      <c r="BH3" s="208" t="str">
        <f t="shared" si="1"/>
        <v>Transfusion</v>
      </c>
      <c r="BI3" s="208" t="str">
        <f t="shared" si="2"/>
        <v>Aucune</v>
      </c>
      <c r="BJ3" s="208" t="str">
        <f t="shared" si="3"/>
        <v>NON</v>
      </c>
      <c r="BK3" s="208" t="str">
        <f t="shared" si="4"/>
        <v>NON</v>
      </c>
      <c r="BL3" s="208" t="str">
        <f t="shared" si="5"/>
        <v>Inconnu</v>
      </c>
      <c r="BM3" s="208" t="str">
        <f t="shared" ref="BM3:BM8" si="21">IF($O3&lt;&gt;"HTX",IF($O3&lt;&gt;"LVAD",BL3,"Inconnu"),"Inconnu")</f>
        <v>Inconnu</v>
      </c>
      <c r="BN3" s="208" t="str">
        <f t="shared" ref="BN3:BN8" si="22">IF($O3="HTX",BL3,IF($O3="LVAD",BL3,"Inconnu"))</f>
        <v>Inconnu</v>
      </c>
      <c r="BO3" s="208" t="str">
        <f t="shared" si="6"/>
        <v>Inconnu</v>
      </c>
      <c r="BP3" s="208" t="str">
        <f t="shared" ref="BP3:BP8" si="23">IF($O3&lt;&gt;"HTX",IF($O3&lt;&gt;"LVAD",BO3,"Inconnu"),"Inconnu")</f>
        <v>Inconnu</v>
      </c>
      <c r="BQ3" s="208" t="str">
        <f t="shared" ref="BQ3:BQ8" si="24">IF($O3="HTX",BO3,IF($O3="LVAD",BO3,"Inconnu"))</f>
        <v>Inconnu</v>
      </c>
      <c r="BR3" s="208" t="str">
        <f t="shared" ref="BR3:BR8" si="25">IF(BH3="Aucune",IF(BI3="Aucune","Aucune","Transfusé"),"Transfusé")</f>
        <v>Transfusé</v>
      </c>
      <c r="BS3" s="208">
        <f t="shared" si="7"/>
        <v>23</v>
      </c>
      <c r="BT3" s="229" t="e">
        <f>VLOOKUP($I3,Lieu_Activité!$A:$B,2,FALSE)</f>
        <v>#N/A</v>
      </c>
      <c r="BU3" s="208" t="str">
        <f t="shared" si="8"/>
        <v>Aucun</v>
      </c>
      <c r="BV3" s="208" t="str">
        <f t="shared" si="9"/>
        <v>Aucun</v>
      </c>
      <c r="BW3" s="207" t="str">
        <f t="shared" si="10"/>
        <v>NON</v>
      </c>
      <c r="BX3" s="288"/>
    </row>
    <row r="4" spans="1:76" ht="12.95" customHeight="1" x14ac:dyDescent="0.25">
      <c r="A4" s="226" t="s">
        <v>212</v>
      </c>
      <c r="B4" s="234"/>
      <c r="C4" s="227"/>
      <c r="D4" s="257"/>
      <c r="E4" s="278">
        <f t="shared" si="11"/>
        <v>0</v>
      </c>
      <c r="F4" s="278" t="str">
        <f t="shared" si="12"/>
        <v xml:space="preserve"> </v>
      </c>
      <c r="G4" s="256"/>
      <c r="H4" s="256"/>
      <c r="I4" s="256"/>
      <c r="J4" s="256"/>
      <c r="K4" s="256"/>
      <c r="L4" s="257"/>
      <c r="M4" s="243"/>
      <c r="N4" s="256"/>
      <c r="O4" s="232"/>
      <c r="P4" s="265" t="str">
        <f>IFERROR(VLOOKUP(O4,Références!$K$11:$N$19,2)," ")</f>
        <v xml:space="preserve"> </v>
      </c>
      <c r="Q4" s="265" t="str">
        <f>IFERROR(VLOOKUP(O4,Références!$K$11:$N$19,3)," ")</f>
        <v xml:space="preserve"> </v>
      </c>
      <c r="R4" s="265" t="str">
        <f>IFERROR(VLOOKUP(O4,Références!$K$11:$N$19,4)," ")</f>
        <v xml:space="preserve"> </v>
      </c>
      <c r="S4" s="232"/>
      <c r="T4" s="256"/>
      <c r="U4" s="256"/>
      <c r="V4" s="256"/>
      <c r="W4" s="256"/>
      <c r="X4" s="257"/>
      <c r="Y4" s="256">
        <v>1</v>
      </c>
      <c r="Z4" s="256"/>
      <c r="AA4" s="256"/>
      <c r="AB4" s="235"/>
      <c r="AC4" s="235"/>
      <c r="AD4" s="235"/>
      <c r="AE4" s="235"/>
      <c r="AF4" s="235">
        <v>8</v>
      </c>
      <c r="AG4" s="235"/>
      <c r="AH4" s="235">
        <v>15</v>
      </c>
      <c r="AI4" s="235">
        <f t="shared" si="13"/>
        <v>23</v>
      </c>
      <c r="AJ4" s="257"/>
      <c r="AK4" s="256">
        <f t="shared" si="14"/>
        <v>0</v>
      </c>
      <c r="AL4" s="257"/>
      <c r="AM4" s="266">
        <f t="shared" si="15"/>
        <v>0</v>
      </c>
      <c r="AN4" s="256"/>
      <c r="AO4" s="276"/>
      <c r="AP4" s="261" t="str">
        <f t="shared" si="16"/>
        <v xml:space="preserve"> </v>
      </c>
      <c r="AQ4" s="256"/>
      <c r="AR4" s="295"/>
      <c r="AS4" s="295"/>
      <c r="AT4" s="263"/>
      <c r="AU4" s="277"/>
      <c r="AV4" s="263"/>
      <c r="AW4" s="230"/>
      <c r="AX4" s="300"/>
      <c r="AY4" s="301"/>
      <c r="AZ4" s="230"/>
      <c r="BA4" s="230" t="s">
        <v>234</v>
      </c>
      <c r="BB4" s="295"/>
      <c r="BC4" s="228">
        <f t="shared" si="17"/>
        <v>0</v>
      </c>
      <c r="BD4" s="228">
        <f t="shared" si="18"/>
        <v>1</v>
      </c>
      <c r="BE4" s="228">
        <f t="shared" si="0"/>
        <v>1</v>
      </c>
      <c r="BF4" s="228" t="str">
        <f t="shared" si="19"/>
        <v>ALIVE</v>
      </c>
      <c r="BG4" s="208" t="str">
        <f t="shared" si="20"/>
        <v>Aucune</v>
      </c>
      <c r="BH4" s="208" t="str">
        <f t="shared" si="1"/>
        <v>Transfusion</v>
      </c>
      <c r="BI4" s="208" t="str">
        <f t="shared" si="2"/>
        <v>Aucune</v>
      </c>
      <c r="BJ4" s="208" t="str">
        <f t="shared" si="3"/>
        <v>NON</v>
      </c>
      <c r="BK4" s="208" t="str">
        <f t="shared" si="4"/>
        <v>NON</v>
      </c>
      <c r="BL4" s="208" t="str">
        <f t="shared" si="5"/>
        <v>Inconnu</v>
      </c>
      <c r="BM4" s="208" t="str">
        <f t="shared" si="21"/>
        <v>Inconnu</v>
      </c>
      <c r="BN4" s="208" t="str">
        <f t="shared" si="22"/>
        <v>Inconnu</v>
      </c>
      <c r="BO4" s="208" t="str">
        <f t="shared" si="6"/>
        <v>Inconnu</v>
      </c>
      <c r="BP4" s="208" t="str">
        <f t="shared" si="23"/>
        <v>Inconnu</v>
      </c>
      <c r="BQ4" s="208" t="str">
        <f t="shared" si="24"/>
        <v>Inconnu</v>
      </c>
      <c r="BR4" s="208" t="str">
        <f t="shared" si="25"/>
        <v>Transfusé</v>
      </c>
      <c r="BS4" s="208">
        <f t="shared" si="7"/>
        <v>23</v>
      </c>
      <c r="BT4" s="229" t="e">
        <f>VLOOKUP($I4,Lieu_Activité!$A:$B,2,FALSE)</f>
        <v>#N/A</v>
      </c>
      <c r="BU4" s="208" t="str">
        <f t="shared" si="8"/>
        <v>Aucun</v>
      </c>
      <c r="BV4" s="208" t="str">
        <f t="shared" si="9"/>
        <v>Aucun</v>
      </c>
      <c r="BW4" s="207" t="str">
        <f t="shared" si="10"/>
        <v>NON</v>
      </c>
      <c r="BX4" s="288"/>
    </row>
    <row r="5" spans="1:76" ht="12.95" customHeight="1" x14ac:dyDescent="0.25">
      <c r="A5" s="226" t="s">
        <v>212</v>
      </c>
      <c r="B5" s="234"/>
      <c r="C5" s="227"/>
      <c r="D5" s="257"/>
      <c r="E5" s="278">
        <f t="shared" si="11"/>
        <v>0</v>
      </c>
      <c r="F5" s="278" t="str">
        <f t="shared" si="12"/>
        <v xml:space="preserve"> </v>
      </c>
      <c r="G5" s="256"/>
      <c r="H5" s="256"/>
      <c r="I5" s="256"/>
      <c r="J5" s="256"/>
      <c r="K5" s="256"/>
      <c r="L5" s="257"/>
      <c r="M5" s="243"/>
      <c r="N5" s="256"/>
      <c r="O5" s="256"/>
      <c r="P5" s="265" t="str">
        <f>IFERROR(VLOOKUP(O5,Références!$K$11:$N$19,2)," ")</f>
        <v xml:space="preserve"> </v>
      </c>
      <c r="Q5" s="265" t="str">
        <f>IFERROR(VLOOKUP(O5,Références!$K$11:$N$19,3)," ")</f>
        <v xml:space="preserve"> </v>
      </c>
      <c r="R5" s="265" t="str">
        <f>IFERROR(VLOOKUP(O5,Références!$K$11:$N$19,4)," ")</f>
        <v xml:space="preserve"> </v>
      </c>
      <c r="S5" s="256"/>
      <c r="T5" s="256"/>
      <c r="U5" s="256"/>
      <c r="V5" s="256"/>
      <c r="W5" s="256"/>
      <c r="X5" s="257"/>
      <c r="Y5" s="256">
        <v>1</v>
      </c>
      <c r="Z5" s="256"/>
      <c r="AA5" s="256"/>
      <c r="AB5" s="235"/>
      <c r="AC5" s="235"/>
      <c r="AD5" s="235"/>
      <c r="AE5" s="235"/>
      <c r="AF5" s="235">
        <v>8</v>
      </c>
      <c r="AG5" s="235"/>
      <c r="AH5" s="235">
        <v>15</v>
      </c>
      <c r="AI5" s="235">
        <f t="shared" si="13"/>
        <v>23</v>
      </c>
      <c r="AJ5" s="257"/>
      <c r="AK5" s="256">
        <f t="shared" si="14"/>
        <v>0</v>
      </c>
      <c r="AL5" s="257"/>
      <c r="AM5" s="266">
        <f t="shared" si="15"/>
        <v>0</v>
      </c>
      <c r="AN5" s="256"/>
      <c r="AO5" s="276"/>
      <c r="AP5" s="261" t="str">
        <f t="shared" si="16"/>
        <v xml:space="preserve"> </v>
      </c>
      <c r="AQ5" s="256"/>
      <c r="AR5" s="295"/>
      <c r="AS5" s="295"/>
      <c r="AT5" s="263"/>
      <c r="AU5" s="277"/>
      <c r="AV5" s="263"/>
      <c r="AW5" s="230"/>
      <c r="AX5" s="300"/>
      <c r="AY5" s="301"/>
      <c r="AZ5" s="230"/>
      <c r="BA5" s="230" t="s">
        <v>234</v>
      </c>
      <c r="BB5" s="295"/>
      <c r="BC5" s="228">
        <f t="shared" si="17"/>
        <v>0</v>
      </c>
      <c r="BD5" s="228">
        <f t="shared" si="18"/>
        <v>1</v>
      </c>
      <c r="BE5" s="228">
        <f t="shared" si="0"/>
        <v>1</v>
      </c>
      <c r="BF5" s="228" t="str">
        <f t="shared" si="19"/>
        <v>ALIVE</v>
      </c>
      <c r="BG5" s="208" t="str">
        <f t="shared" si="20"/>
        <v>Aucune</v>
      </c>
      <c r="BH5" s="208" t="str">
        <f t="shared" si="1"/>
        <v>Transfusion</v>
      </c>
      <c r="BI5" s="208" t="str">
        <f t="shared" si="2"/>
        <v>Aucune</v>
      </c>
      <c r="BJ5" s="208" t="str">
        <f t="shared" si="3"/>
        <v>NON</v>
      </c>
      <c r="BK5" s="208" t="str">
        <f t="shared" si="4"/>
        <v>NON</v>
      </c>
      <c r="BL5" s="208" t="str">
        <f t="shared" si="5"/>
        <v>Inconnu</v>
      </c>
      <c r="BM5" s="208" t="str">
        <f t="shared" si="21"/>
        <v>Inconnu</v>
      </c>
      <c r="BN5" s="208" t="str">
        <f t="shared" si="22"/>
        <v>Inconnu</v>
      </c>
      <c r="BO5" s="208" t="str">
        <f t="shared" si="6"/>
        <v>Inconnu</v>
      </c>
      <c r="BP5" s="208" t="str">
        <f t="shared" si="23"/>
        <v>Inconnu</v>
      </c>
      <c r="BQ5" s="208" t="str">
        <f t="shared" si="24"/>
        <v>Inconnu</v>
      </c>
      <c r="BR5" s="208" t="str">
        <f t="shared" si="25"/>
        <v>Transfusé</v>
      </c>
      <c r="BS5" s="208">
        <f t="shared" si="7"/>
        <v>23</v>
      </c>
      <c r="BT5" s="229" t="e">
        <f>VLOOKUP($I5,Lieu_Activité!$A:$B,2,FALSE)</f>
        <v>#N/A</v>
      </c>
      <c r="BU5" s="208" t="str">
        <f t="shared" si="8"/>
        <v>Aucun</v>
      </c>
      <c r="BV5" s="208" t="str">
        <f t="shared" si="9"/>
        <v>Aucun</v>
      </c>
      <c r="BW5" s="207" t="str">
        <f t="shared" si="10"/>
        <v>NON</v>
      </c>
      <c r="BX5" s="288"/>
    </row>
    <row r="6" spans="1:76" ht="12.95" customHeight="1" x14ac:dyDescent="0.25">
      <c r="A6" s="226" t="s">
        <v>212</v>
      </c>
      <c r="B6" s="234"/>
      <c r="C6" s="227"/>
      <c r="D6" s="257"/>
      <c r="E6" s="278">
        <f t="shared" si="11"/>
        <v>0</v>
      </c>
      <c r="F6" s="278" t="str">
        <f t="shared" si="12"/>
        <v xml:space="preserve"> </v>
      </c>
      <c r="G6" s="256"/>
      <c r="H6" s="256"/>
      <c r="I6" s="256"/>
      <c r="J6" s="256"/>
      <c r="K6" s="256"/>
      <c r="L6" s="257"/>
      <c r="M6" s="243"/>
      <c r="N6" s="256"/>
      <c r="O6" s="232"/>
      <c r="P6" s="265" t="str">
        <f>IFERROR(VLOOKUP(O6,Références!$K$11:$N$19,2)," ")</f>
        <v xml:space="preserve"> </v>
      </c>
      <c r="Q6" s="265" t="str">
        <f>IFERROR(VLOOKUP(O6,Références!$K$11:$N$19,3)," ")</f>
        <v xml:space="preserve"> </v>
      </c>
      <c r="R6" s="265" t="str">
        <f>IFERROR(VLOOKUP(O6,Références!$K$11:$N$19,4)," ")</f>
        <v xml:space="preserve"> </v>
      </c>
      <c r="S6" s="232"/>
      <c r="T6" s="256"/>
      <c r="U6" s="256"/>
      <c r="V6" s="256"/>
      <c r="W6" s="256"/>
      <c r="X6" s="257"/>
      <c r="Y6" s="256">
        <v>1</v>
      </c>
      <c r="Z6" s="256"/>
      <c r="AA6" s="256"/>
      <c r="AB6" s="235"/>
      <c r="AC6" s="235"/>
      <c r="AD6" s="235"/>
      <c r="AE6" s="235"/>
      <c r="AF6" s="235">
        <v>8</v>
      </c>
      <c r="AG6" s="235"/>
      <c r="AH6" s="235">
        <v>15</v>
      </c>
      <c r="AI6" s="235">
        <f t="shared" si="13"/>
        <v>23</v>
      </c>
      <c r="AJ6" s="257"/>
      <c r="AK6" s="256">
        <f t="shared" si="14"/>
        <v>0</v>
      </c>
      <c r="AL6" s="257"/>
      <c r="AM6" s="266">
        <f t="shared" si="15"/>
        <v>0</v>
      </c>
      <c r="AN6" s="256"/>
      <c r="AO6" s="276"/>
      <c r="AP6" s="261" t="str">
        <f t="shared" si="16"/>
        <v xml:space="preserve"> </v>
      </c>
      <c r="AQ6" s="256"/>
      <c r="AR6" s="295"/>
      <c r="AS6" s="295"/>
      <c r="AT6" s="263"/>
      <c r="AU6" s="277"/>
      <c r="AV6" s="263"/>
      <c r="AW6" s="230"/>
      <c r="AX6" s="300"/>
      <c r="AY6" s="301"/>
      <c r="AZ6" s="230"/>
      <c r="BA6" s="300" t="s">
        <v>234</v>
      </c>
      <c r="BB6" s="295"/>
      <c r="BC6" s="228">
        <f t="shared" si="17"/>
        <v>0</v>
      </c>
      <c r="BD6" s="228">
        <f t="shared" si="18"/>
        <v>1</v>
      </c>
      <c r="BE6" s="228">
        <f t="shared" si="0"/>
        <v>1</v>
      </c>
      <c r="BF6" s="228" t="str">
        <f t="shared" si="19"/>
        <v>ALIVE</v>
      </c>
      <c r="BG6" s="208" t="str">
        <f t="shared" si="20"/>
        <v>Aucune</v>
      </c>
      <c r="BH6" s="208" t="str">
        <f t="shared" si="1"/>
        <v>Transfusion</v>
      </c>
      <c r="BI6" s="208" t="str">
        <f t="shared" si="2"/>
        <v>Aucune</v>
      </c>
      <c r="BJ6" s="208" t="str">
        <f t="shared" si="3"/>
        <v>NON</v>
      </c>
      <c r="BK6" s="208" t="str">
        <f t="shared" si="4"/>
        <v>NON</v>
      </c>
      <c r="BL6" s="208" t="str">
        <f t="shared" si="5"/>
        <v>Inconnu</v>
      </c>
      <c r="BM6" s="208" t="str">
        <f t="shared" si="21"/>
        <v>Inconnu</v>
      </c>
      <c r="BN6" s="208" t="str">
        <f t="shared" si="22"/>
        <v>Inconnu</v>
      </c>
      <c r="BO6" s="208" t="str">
        <f t="shared" si="6"/>
        <v>Inconnu</v>
      </c>
      <c r="BP6" s="208" t="str">
        <f t="shared" si="23"/>
        <v>Inconnu</v>
      </c>
      <c r="BQ6" s="208" t="str">
        <f t="shared" si="24"/>
        <v>Inconnu</v>
      </c>
      <c r="BR6" s="208" t="str">
        <f t="shared" si="25"/>
        <v>Transfusé</v>
      </c>
      <c r="BS6" s="208">
        <f t="shared" si="7"/>
        <v>23</v>
      </c>
      <c r="BT6" s="229" t="e">
        <f>VLOOKUP($I6,Lieu_Activité!$A:$B,2,FALSE)</f>
        <v>#N/A</v>
      </c>
      <c r="BU6" s="208" t="str">
        <f t="shared" si="8"/>
        <v>Aucun</v>
      </c>
      <c r="BV6" s="208" t="str">
        <f t="shared" si="9"/>
        <v>Aucun</v>
      </c>
      <c r="BW6" s="207" t="str">
        <f t="shared" si="10"/>
        <v>NON</v>
      </c>
      <c r="BX6" s="288"/>
    </row>
    <row r="7" spans="1:76" ht="12.95" customHeight="1" x14ac:dyDescent="0.25">
      <c r="A7" s="226" t="s">
        <v>212</v>
      </c>
      <c r="B7" s="234"/>
      <c r="C7" s="227"/>
      <c r="D7" s="257"/>
      <c r="E7" s="278">
        <f t="shared" si="11"/>
        <v>0</v>
      </c>
      <c r="F7" s="278" t="str">
        <f t="shared" si="12"/>
        <v xml:space="preserve"> </v>
      </c>
      <c r="G7" s="256"/>
      <c r="H7" s="256"/>
      <c r="I7" s="256"/>
      <c r="J7" s="256"/>
      <c r="K7" s="256"/>
      <c r="L7" s="257"/>
      <c r="M7" s="243"/>
      <c r="N7" s="256"/>
      <c r="O7" s="256"/>
      <c r="P7" s="265" t="str">
        <f>IFERROR(VLOOKUP(O7,Références!$K$11:$N$19,2)," ")</f>
        <v xml:space="preserve"> </v>
      </c>
      <c r="Q7" s="265" t="str">
        <f>IFERROR(VLOOKUP(O7,Références!$K$11:$N$19,3)," ")</f>
        <v xml:space="preserve"> </v>
      </c>
      <c r="R7" s="265" t="str">
        <f>IFERROR(VLOOKUP(O7,Références!$K$11:$N$19,4)," ")</f>
        <v xml:space="preserve"> </v>
      </c>
      <c r="S7" s="256"/>
      <c r="T7" s="256"/>
      <c r="U7" s="256"/>
      <c r="V7" s="256"/>
      <c r="W7" s="256"/>
      <c r="X7" s="257"/>
      <c r="Y7" s="256">
        <v>1</v>
      </c>
      <c r="Z7" s="256"/>
      <c r="AA7" s="256"/>
      <c r="AB7" s="235"/>
      <c r="AC7" s="235"/>
      <c r="AD7" s="235"/>
      <c r="AE7" s="235"/>
      <c r="AF7" s="235">
        <v>8</v>
      </c>
      <c r="AG7" s="235"/>
      <c r="AH7" s="235">
        <v>15</v>
      </c>
      <c r="AI7" s="235">
        <f t="shared" si="13"/>
        <v>23</v>
      </c>
      <c r="AJ7" s="257"/>
      <c r="AK7" s="256">
        <f t="shared" si="14"/>
        <v>0</v>
      </c>
      <c r="AL7" s="257"/>
      <c r="AM7" s="266">
        <f t="shared" si="15"/>
        <v>0</v>
      </c>
      <c r="AN7" s="256"/>
      <c r="AO7" s="276"/>
      <c r="AP7" s="261" t="str">
        <f t="shared" si="16"/>
        <v xml:space="preserve"> </v>
      </c>
      <c r="AQ7" s="256"/>
      <c r="AR7" s="295"/>
      <c r="AS7" s="295"/>
      <c r="AT7" s="263"/>
      <c r="AU7" s="277"/>
      <c r="AV7" s="263"/>
      <c r="AW7" s="230"/>
      <c r="AX7" s="300"/>
      <c r="AY7" s="301"/>
      <c r="AZ7" s="230"/>
      <c r="BA7" s="230" t="s">
        <v>234</v>
      </c>
      <c r="BB7" s="295"/>
      <c r="BC7" s="228">
        <f t="shared" si="17"/>
        <v>0</v>
      </c>
      <c r="BD7" s="228">
        <f t="shared" si="18"/>
        <v>1</v>
      </c>
      <c r="BE7" s="228">
        <f t="shared" si="0"/>
        <v>1</v>
      </c>
      <c r="BF7" s="228" t="str">
        <f t="shared" si="19"/>
        <v>ALIVE</v>
      </c>
      <c r="BG7" s="208" t="str">
        <f t="shared" si="20"/>
        <v>Aucune</v>
      </c>
      <c r="BH7" s="208" t="str">
        <f t="shared" si="1"/>
        <v>Transfusion</v>
      </c>
      <c r="BI7" s="208" t="str">
        <f t="shared" si="2"/>
        <v>Aucune</v>
      </c>
      <c r="BJ7" s="208" t="str">
        <f t="shared" si="3"/>
        <v>NON</v>
      </c>
      <c r="BK7" s="208" t="str">
        <f t="shared" si="4"/>
        <v>NON</v>
      </c>
      <c r="BL7" s="208" t="str">
        <f t="shared" si="5"/>
        <v>Inconnu</v>
      </c>
      <c r="BM7" s="208" t="str">
        <f t="shared" si="21"/>
        <v>Inconnu</v>
      </c>
      <c r="BN7" s="208" t="str">
        <f t="shared" si="22"/>
        <v>Inconnu</v>
      </c>
      <c r="BO7" s="208" t="str">
        <f t="shared" si="6"/>
        <v>Inconnu</v>
      </c>
      <c r="BP7" s="208" t="str">
        <f t="shared" si="23"/>
        <v>Inconnu</v>
      </c>
      <c r="BQ7" s="208" t="str">
        <f t="shared" si="24"/>
        <v>Inconnu</v>
      </c>
      <c r="BR7" s="208" t="str">
        <f t="shared" si="25"/>
        <v>Transfusé</v>
      </c>
      <c r="BS7" s="208">
        <f t="shared" si="7"/>
        <v>23</v>
      </c>
      <c r="BT7" s="229" t="e">
        <f>VLOOKUP($I7,Lieu_Activité!$A:$B,2,FALSE)</f>
        <v>#N/A</v>
      </c>
      <c r="BU7" s="208" t="str">
        <f t="shared" si="8"/>
        <v>Aucun</v>
      </c>
      <c r="BV7" s="208" t="str">
        <f t="shared" si="9"/>
        <v>Aucun</v>
      </c>
      <c r="BW7" s="207" t="str">
        <f t="shared" si="10"/>
        <v>NON</v>
      </c>
      <c r="BX7" s="288"/>
    </row>
    <row r="8" spans="1:76" ht="12.95" customHeight="1" x14ac:dyDescent="0.25">
      <c r="A8" s="226" t="s">
        <v>212</v>
      </c>
      <c r="B8" s="234"/>
      <c r="C8" s="227"/>
      <c r="D8" s="257"/>
      <c r="E8" s="278">
        <f t="shared" si="11"/>
        <v>0</v>
      </c>
      <c r="F8" s="278" t="str">
        <f t="shared" si="12"/>
        <v xml:space="preserve"> </v>
      </c>
      <c r="G8" s="256"/>
      <c r="H8" s="256"/>
      <c r="I8" s="256"/>
      <c r="J8" s="256"/>
      <c r="K8" s="256"/>
      <c r="L8" s="257"/>
      <c r="M8" s="243"/>
      <c r="N8" s="256"/>
      <c r="O8" s="256"/>
      <c r="P8" s="265" t="str">
        <f>IFERROR(VLOOKUP(O8,Références!$K$11:$N$19,2)," ")</f>
        <v xml:space="preserve"> </v>
      </c>
      <c r="Q8" s="265" t="str">
        <f>IFERROR(VLOOKUP(O8,Références!$K$11:$N$19,3)," ")</f>
        <v xml:space="preserve"> </v>
      </c>
      <c r="R8" s="265" t="str">
        <f>IFERROR(VLOOKUP(O8,Références!$K$11:$N$19,4)," ")</f>
        <v xml:space="preserve"> </v>
      </c>
      <c r="S8" s="256"/>
      <c r="T8" s="256"/>
      <c r="U8" s="256"/>
      <c r="V8" s="256"/>
      <c r="W8" s="256"/>
      <c r="X8" s="257"/>
      <c r="Y8" s="256">
        <v>1</v>
      </c>
      <c r="Z8" s="256"/>
      <c r="AA8" s="256"/>
      <c r="AB8" s="235"/>
      <c r="AC8" s="235"/>
      <c r="AD8" s="235"/>
      <c r="AE8" s="235"/>
      <c r="AF8" s="235">
        <v>8</v>
      </c>
      <c r="AG8" s="235"/>
      <c r="AH8" s="235">
        <v>15</v>
      </c>
      <c r="AI8" s="235">
        <f t="shared" si="13"/>
        <v>23</v>
      </c>
      <c r="AJ8" s="257"/>
      <c r="AK8" s="256">
        <f t="shared" si="14"/>
        <v>0</v>
      </c>
      <c r="AL8" s="257"/>
      <c r="AM8" s="266">
        <f t="shared" si="15"/>
        <v>0</v>
      </c>
      <c r="AN8" s="256"/>
      <c r="AO8" s="276"/>
      <c r="AP8" s="261" t="str">
        <f t="shared" si="16"/>
        <v xml:space="preserve"> </v>
      </c>
      <c r="AQ8" s="256"/>
      <c r="AR8" s="295"/>
      <c r="AS8" s="295"/>
      <c r="AT8" s="263"/>
      <c r="AU8" s="277"/>
      <c r="AV8" s="263"/>
      <c r="AW8" s="230"/>
      <c r="AX8" s="300"/>
      <c r="AY8" s="301"/>
      <c r="AZ8" s="230"/>
      <c r="BA8" s="230" t="s">
        <v>234</v>
      </c>
      <c r="BB8" s="295"/>
      <c r="BC8" s="228">
        <f t="shared" si="17"/>
        <v>0</v>
      </c>
      <c r="BD8" s="228">
        <f t="shared" si="18"/>
        <v>1</v>
      </c>
      <c r="BE8" s="228">
        <f t="shared" si="0"/>
        <v>1</v>
      </c>
      <c r="BF8" s="228" t="str">
        <f t="shared" si="19"/>
        <v>ALIVE</v>
      </c>
      <c r="BG8" s="208" t="str">
        <f t="shared" si="20"/>
        <v>Aucune</v>
      </c>
      <c r="BH8" s="208" t="str">
        <f t="shared" si="1"/>
        <v>Transfusion</v>
      </c>
      <c r="BI8" s="208" t="str">
        <f t="shared" si="2"/>
        <v>Aucune</v>
      </c>
      <c r="BJ8" s="208" t="str">
        <f t="shared" si="3"/>
        <v>NON</v>
      </c>
      <c r="BK8" s="208" t="str">
        <f t="shared" si="4"/>
        <v>NON</v>
      </c>
      <c r="BL8" s="208" t="str">
        <f t="shared" si="5"/>
        <v>Inconnu</v>
      </c>
      <c r="BM8" s="208" t="str">
        <f t="shared" si="21"/>
        <v>Inconnu</v>
      </c>
      <c r="BN8" s="208" t="str">
        <f t="shared" si="22"/>
        <v>Inconnu</v>
      </c>
      <c r="BO8" s="208" t="str">
        <f t="shared" si="6"/>
        <v>Inconnu</v>
      </c>
      <c r="BP8" s="208" t="str">
        <f t="shared" si="23"/>
        <v>Inconnu</v>
      </c>
      <c r="BQ8" s="208" t="str">
        <f t="shared" si="24"/>
        <v>Inconnu</v>
      </c>
      <c r="BR8" s="208" t="str">
        <f t="shared" si="25"/>
        <v>Transfusé</v>
      </c>
      <c r="BS8" s="208">
        <f t="shared" si="7"/>
        <v>23</v>
      </c>
      <c r="BT8" s="229" t="e">
        <f>VLOOKUP($I8,Lieu_Activité!$A:$B,2,FALSE)</f>
        <v>#N/A</v>
      </c>
      <c r="BU8" s="208" t="str">
        <f t="shared" si="8"/>
        <v>Aucun</v>
      </c>
      <c r="BV8" s="208" t="str">
        <f t="shared" si="9"/>
        <v>Aucun</v>
      </c>
      <c r="BW8" s="207" t="str">
        <f t="shared" si="10"/>
        <v>NON</v>
      </c>
      <c r="BX8" s="288"/>
    </row>
    <row r="9" spans="1:76" ht="12.95" customHeight="1" x14ac:dyDescent="0.25">
      <c r="A9" s="226" t="s">
        <v>212</v>
      </c>
      <c r="B9" s="234"/>
      <c r="C9" s="227"/>
      <c r="D9" s="257"/>
      <c r="E9" s="278">
        <f>(L9-D9)/365</f>
        <v>0</v>
      </c>
      <c r="F9" s="278" t="str">
        <f t="shared" si="12"/>
        <v xml:space="preserve"> </v>
      </c>
      <c r="G9" s="256"/>
      <c r="H9" s="256"/>
      <c r="I9" s="256"/>
      <c r="J9" s="256"/>
      <c r="K9" s="256"/>
      <c r="L9" s="257"/>
      <c r="M9" s="243"/>
      <c r="N9" s="256"/>
      <c r="O9" s="271"/>
      <c r="P9" s="265" t="str">
        <f>IFERROR(VLOOKUP(O9,Références!$K$11:$N$19,2)," ")</f>
        <v xml:space="preserve"> </v>
      </c>
      <c r="Q9" s="265" t="str">
        <f>IFERROR(VLOOKUP(O9,Références!$K$11:$N$19,3)," ")</f>
        <v xml:space="preserve"> </v>
      </c>
      <c r="R9" s="265" t="str">
        <f>IFERROR(VLOOKUP(O9,Références!$K$11:$N$19,4)," ")</f>
        <v xml:space="preserve"> </v>
      </c>
      <c r="S9" s="256"/>
      <c r="T9" s="256"/>
      <c r="U9" s="256"/>
      <c r="V9" s="256"/>
      <c r="W9" s="256"/>
      <c r="X9" s="257"/>
      <c r="Y9" s="256">
        <v>1</v>
      </c>
      <c r="Z9" s="256"/>
      <c r="AA9" s="256"/>
      <c r="AB9" s="235"/>
      <c r="AC9" s="235"/>
      <c r="AD9" s="235"/>
      <c r="AE9" s="235"/>
      <c r="AF9" s="235">
        <v>8</v>
      </c>
      <c r="AG9" s="235"/>
      <c r="AH9" s="235">
        <v>15</v>
      </c>
      <c r="AI9" s="235">
        <f>SUM(AF9,AH9)</f>
        <v>23</v>
      </c>
      <c r="AJ9" s="257"/>
      <c r="AK9" s="256">
        <f>(AJ9-L9)</f>
        <v>0</v>
      </c>
      <c r="AL9" s="257"/>
      <c r="AM9" s="266">
        <f>(AL9-L9)</f>
        <v>0</v>
      </c>
      <c r="AN9" s="256"/>
      <c r="AO9" s="276"/>
      <c r="AP9" s="261" t="str">
        <f t="shared" si="16"/>
        <v xml:space="preserve"> </v>
      </c>
      <c r="AQ9" s="256"/>
      <c r="AR9" s="295"/>
      <c r="AS9" s="295"/>
      <c r="AT9" s="263"/>
      <c r="AU9" s="277"/>
      <c r="AV9" s="263"/>
      <c r="AW9" s="230"/>
      <c r="AX9" s="300"/>
      <c r="AY9" s="301"/>
      <c r="AZ9" s="230"/>
      <c r="BA9" s="230" t="s">
        <v>234</v>
      </c>
      <c r="BB9" s="295"/>
      <c r="BC9" s="228">
        <f>IF(BG9="Aucune",0,1)</f>
        <v>0</v>
      </c>
      <c r="BD9" s="228">
        <f>IF(BH9="Aucune",0,1)</f>
        <v>1</v>
      </c>
      <c r="BE9" s="228">
        <f t="shared" si="0"/>
        <v>1</v>
      </c>
      <c r="BF9" s="228" t="str">
        <f t="shared" si="19"/>
        <v>ALIVE</v>
      </c>
      <c r="BG9" s="208" t="str">
        <f t="shared" si="20"/>
        <v>Aucune</v>
      </c>
      <c r="BH9" s="208" t="str">
        <f t="shared" si="1"/>
        <v>Transfusion</v>
      </c>
      <c r="BI9" s="208" t="str">
        <f t="shared" si="2"/>
        <v>Aucune</v>
      </c>
      <c r="BJ9" s="208" t="str">
        <f t="shared" si="3"/>
        <v>NON</v>
      </c>
      <c r="BK9" s="208" t="str">
        <f t="shared" si="4"/>
        <v>NON</v>
      </c>
      <c r="BL9" s="208" t="str">
        <f t="shared" si="5"/>
        <v>Inconnu</v>
      </c>
      <c r="BM9" s="208" t="str">
        <f>IF($O9&lt;&gt;"HTX",IF($O9&lt;&gt;"LVAD",BL9,"Inconnu"),"Inconnu")</f>
        <v>Inconnu</v>
      </c>
      <c r="BN9" s="208" t="str">
        <f>IF($O9="HTX",BL9,IF($O9="LVAD",BL9,"Inconnu"))</f>
        <v>Inconnu</v>
      </c>
      <c r="BO9" s="208" t="str">
        <f t="shared" si="6"/>
        <v>Inconnu</v>
      </c>
      <c r="BP9" s="208" t="str">
        <f>IF($O9&lt;&gt;"HTX",IF($O9&lt;&gt;"LVAD",BO9,"Inconnu"),"Inconnu")</f>
        <v>Inconnu</v>
      </c>
      <c r="BQ9" s="208" t="str">
        <f>IF($O9="HTX",BO9,IF($O9="LVAD",BO9,"Inconnu"))</f>
        <v>Inconnu</v>
      </c>
      <c r="BR9" s="208" t="str">
        <f>IF(BH9="Aucune",IF(BI9="Aucune","Aucune","Transfusé"),"Transfusé")</f>
        <v>Transfusé</v>
      </c>
      <c r="BS9" s="208">
        <f t="shared" si="7"/>
        <v>23</v>
      </c>
      <c r="BT9" s="229" t="e">
        <f>VLOOKUP($I9,Lieu_Activité!$A:$B,2,FALSE)</f>
        <v>#N/A</v>
      </c>
      <c r="BU9" s="208" t="str">
        <f t="shared" si="8"/>
        <v>Aucun</v>
      </c>
      <c r="BV9" s="208" t="str">
        <f t="shared" si="9"/>
        <v>Aucun</v>
      </c>
      <c r="BW9" s="207" t="str">
        <f t="shared" si="10"/>
        <v>NON</v>
      </c>
      <c r="BX9" s="288"/>
    </row>
    <row r="10" spans="1:76" ht="12.95" customHeight="1" x14ac:dyDescent="0.25">
      <c r="A10" s="226" t="s">
        <v>212</v>
      </c>
      <c r="B10" s="234"/>
      <c r="C10" s="227"/>
      <c r="D10" s="257"/>
      <c r="E10" s="278">
        <f t="shared" ref="E10:E19" si="26">(L10-D10)/365</f>
        <v>0</v>
      </c>
      <c r="F10" s="278" t="str">
        <f t="shared" si="12"/>
        <v xml:space="preserve"> </v>
      </c>
      <c r="G10" s="256"/>
      <c r="H10" s="256"/>
      <c r="I10" s="256"/>
      <c r="J10" s="256"/>
      <c r="K10" s="256"/>
      <c r="L10" s="257"/>
      <c r="M10" s="243"/>
      <c r="N10" s="256"/>
      <c r="O10" s="256"/>
      <c r="P10" s="265" t="str">
        <f>IFERROR(VLOOKUP(O10,Références!$K$11:$N$19,2)," ")</f>
        <v xml:space="preserve"> </v>
      </c>
      <c r="Q10" s="265" t="str">
        <f>IFERROR(VLOOKUP(O10,Références!$K$11:$N$19,3)," ")</f>
        <v xml:space="preserve"> </v>
      </c>
      <c r="R10" s="265" t="str">
        <f>IFERROR(VLOOKUP(O10,Références!$K$11:$N$19,4)," ")</f>
        <v xml:space="preserve"> </v>
      </c>
      <c r="S10" s="256"/>
      <c r="T10" s="256"/>
      <c r="U10" s="256"/>
      <c r="V10" s="256"/>
      <c r="W10" s="256"/>
      <c r="X10" s="257"/>
      <c r="Y10" s="256">
        <v>1</v>
      </c>
      <c r="Z10" s="256"/>
      <c r="AA10" s="256"/>
      <c r="AB10" s="235"/>
      <c r="AC10" s="235"/>
      <c r="AD10" s="235"/>
      <c r="AE10" s="235"/>
      <c r="AF10" s="235">
        <v>8</v>
      </c>
      <c r="AG10" s="235"/>
      <c r="AH10" s="235">
        <v>15</v>
      </c>
      <c r="AI10" s="235">
        <f t="shared" ref="AI10:AI19" si="27">SUM(AF10,AH10)</f>
        <v>23</v>
      </c>
      <c r="AJ10" s="257"/>
      <c r="AK10" s="256">
        <f t="shared" ref="AK10:AK19" si="28">(AJ10-L10)</f>
        <v>0</v>
      </c>
      <c r="AL10" s="257"/>
      <c r="AM10" s="266">
        <f t="shared" ref="AM10:AM19" si="29">(AL10-L10)</f>
        <v>0</v>
      </c>
      <c r="AN10" s="256"/>
      <c r="AO10" s="276"/>
      <c r="AP10" s="261" t="str">
        <f t="shared" si="16"/>
        <v xml:space="preserve"> </v>
      </c>
      <c r="AQ10" s="256"/>
      <c r="AR10" s="295"/>
      <c r="AS10" s="295"/>
      <c r="AT10" s="263"/>
      <c r="AU10" s="277"/>
      <c r="AV10" s="263"/>
      <c r="AW10" s="230"/>
      <c r="AX10" s="300"/>
      <c r="AY10" s="301"/>
      <c r="AZ10" s="230"/>
      <c r="BA10" s="230" t="s">
        <v>234</v>
      </c>
      <c r="BB10" s="295"/>
      <c r="BC10" s="228">
        <f t="shared" ref="BC10:BC19" si="30">IF(BG10="Aucune",0,1)</f>
        <v>0</v>
      </c>
      <c r="BD10" s="228">
        <f t="shared" ref="BD10:BD19" si="31">IF(BH10="Aucune",0,1)</f>
        <v>1</v>
      </c>
      <c r="BE10" s="228">
        <f t="shared" si="0"/>
        <v>1</v>
      </c>
      <c r="BF10" s="228" t="str">
        <f t="shared" si="19"/>
        <v>ALIVE</v>
      </c>
      <c r="BG10" s="208" t="str">
        <f t="shared" si="20"/>
        <v>Aucune</v>
      </c>
      <c r="BH10" s="208" t="str">
        <f t="shared" si="1"/>
        <v>Transfusion</v>
      </c>
      <c r="BI10" s="208" t="str">
        <f t="shared" si="2"/>
        <v>Aucune</v>
      </c>
      <c r="BJ10" s="208" t="str">
        <f t="shared" si="3"/>
        <v>NON</v>
      </c>
      <c r="BK10" s="208" t="str">
        <f t="shared" si="4"/>
        <v>NON</v>
      </c>
      <c r="BL10" s="208" t="str">
        <f t="shared" si="5"/>
        <v>Inconnu</v>
      </c>
      <c r="BM10" s="208" t="str">
        <f t="shared" ref="BM10:BM19" si="32">IF($O10&lt;&gt;"HTX",IF($O10&lt;&gt;"LVAD",BL10,"Inconnu"),"Inconnu")</f>
        <v>Inconnu</v>
      </c>
      <c r="BN10" s="208" t="str">
        <f t="shared" ref="BN10:BN19" si="33">IF($O10="HTX",BL10,IF($O10="LVAD",BL10,"Inconnu"))</f>
        <v>Inconnu</v>
      </c>
      <c r="BO10" s="208" t="str">
        <f t="shared" si="6"/>
        <v>Inconnu</v>
      </c>
      <c r="BP10" s="208" t="str">
        <f t="shared" ref="BP10:BP19" si="34">IF($O10&lt;&gt;"HTX",IF($O10&lt;&gt;"LVAD",BO10,"Inconnu"),"Inconnu")</f>
        <v>Inconnu</v>
      </c>
      <c r="BQ10" s="208" t="str">
        <f t="shared" ref="BQ10:BQ19" si="35">IF($O10="HTX",BO10,IF($O10="LVAD",BO10,"Inconnu"))</f>
        <v>Inconnu</v>
      </c>
      <c r="BR10" s="208" t="str">
        <f t="shared" ref="BR10:BR19" si="36">IF(BH10="Aucune",IF(BI10="Aucune","Aucune","Transfusé"),"Transfusé")</f>
        <v>Transfusé</v>
      </c>
      <c r="BS10" s="208">
        <f t="shared" si="7"/>
        <v>23</v>
      </c>
      <c r="BT10" s="229" t="e">
        <f>VLOOKUP($I10,Lieu_Activité!$A:$B,2,FALSE)</f>
        <v>#N/A</v>
      </c>
      <c r="BU10" s="208" t="str">
        <f t="shared" si="8"/>
        <v>Aucun</v>
      </c>
      <c r="BV10" s="208" t="str">
        <f t="shared" si="9"/>
        <v>Aucun</v>
      </c>
      <c r="BW10" s="207" t="str">
        <f t="shared" si="10"/>
        <v>NON</v>
      </c>
      <c r="BX10" s="288"/>
    </row>
    <row r="11" spans="1:76" ht="12.95" customHeight="1" x14ac:dyDescent="0.25">
      <c r="A11" s="226" t="s">
        <v>212</v>
      </c>
      <c r="B11" s="234"/>
      <c r="C11" s="227"/>
      <c r="D11" s="257"/>
      <c r="E11" s="278">
        <f t="shared" si="26"/>
        <v>0</v>
      </c>
      <c r="F11" s="278" t="str">
        <f t="shared" si="12"/>
        <v xml:space="preserve"> </v>
      </c>
      <c r="G11" s="256"/>
      <c r="H11" s="256"/>
      <c r="I11" s="256"/>
      <c r="J11" s="256"/>
      <c r="K11" s="256"/>
      <c r="L11" s="257"/>
      <c r="M11" s="243"/>
      <c r="N11" s="256"/>
      <c r="O11" s="232"/>
      <c r="P11" s="265" t="str">
        <f>IFERROR(VLOOKUP(O11,Références!$K$11:$N$19,2)," ")</f>
        <v xml:space="preserve"> </v>
      </c>
      <c r="Q11" s="265" t="str">
        <f>IFERROR(VLOOKUP(O11,Références!$K$11:$N$19,3)," ")</f>
        <v xml:space="preserve"> </v>
      </c>
      <c r="R11" s="265" t="str">
        <f>IFERROR(VLOOKUP(O11,Références!$K$11:$N$19,4)," ")</f>
        <v xml:space="preserve"> </v>
      </c>
      <c r="S11" s="256"/>
      <c r="T11" s="256"/>
      <c r="U11" s="256"/>
      <c r="V11" s="256"/>
      <c r="W11" s="256"/>
      <c r="X11" s="257"/>
      <c r="Y11" s="256">
        <v>1</v>
      </c>
      <c r="Z11" s="256"/>
      <c r="AA11" s="256"/>
      <c r="AB11" s="235"/>
      <c r="AC11" s="235"/>
      <c r="AD11" s="235"/>
      <c r="AE11" s="235"/>
      <c r="AF11" s="235">
        <v>8</v>
      </c>
      <c r="AG11" s="235"/>
      <c r="AH11" s="235">
        <v>15</v>
      </c>
      <c r="AI11" s="235">
        <f t="shared" si="27"/>
        <v>23</v>
      </c>
      <c r="AJ11" s="257"/>
      <c r="AK11" s="256">
        <f t="shared" si="28"/>
        <v>0</v>
      </c>
      <c r="AL11" s="257"/>
      <c r="AM11" s="266">
        <f t="shared" si="29"/>
        <v>0</v>
      </c>
      <c r="AN11" s="256"/>
      <c r="AO11" s="276"/>
      <c r="AP11" s="261" t="str">
        <f t="shared" si="16"/>
        <v xml:space="preserve"> </v>
      </c>
      <c r="AQ11" s="256"/>
      <c r="AR11" s="295"/>
      <c r="AS11" s="295"/>
      <c r="AT11" s="263"/>
      <c r="AU11" s="277"/>
      <c r="AV11" s="263"/>
      <c r="AW11" s="230"/>
      <c r="AX11" s="300"/>
      <c r="AY11" s="301"/>
      <c r="AZ11" s="230"/>
      <c r="BA11" s="300" t="s">
        <v>234</v>
      </c>
      <c r="BB11" s="295"/>
      <c r="BC11" s="228">
        <f t="shared" si="30"/>
        <v>0</v>
      </c>
      <c r="BD11" s="228">
        <f t="shared" si="31"/>
        <v>1</v>
      </c>
      <c r="BE11" s="228">
        <f t="shared" si="0"/>
        <v>1</v>
      </c>
      <c r="BF11" s="228" t="str">
        <f t="shared" si="19"/>
        <v>ALIVE</v>
      </c>
      <c r="BG11" s="208" t="str">
        <f t="shared" si="20"/>
        <v>Aucune</v>
      </c>
      <c r="BH11" s="208" t="str">
        <f t="shared" si="1"/>
        <v>Transfusion</v>
      </c>
      <c r="BI11" s="208" t="str">
        <f t="shared" si="2"/>
        <v>Aucune</v>
      </c>
      <c r="BJ11" s="208" t="str">
        <f t="shared" si="3"/>
        <v>NON</v>
      </c>
      <c r="BK11" s="208" t="str">
        <f t="shared" si="4"/>
        <v>NON</v>
      </c>
      <c r="BL11" s="208" t="str">
        <f t="shared" si="5"/>
        <v>Inconnu</v>
      </c>
      <c r="BM11" s="208" t="str">
        <f t="shared" si="32"/>
        <v>Inconnu</v>
      </c>
      <c r="BN11" s="208" t="str">
        <f t="shared" si="33"/>
        <v>Inconnu</v>
      </c>
      <c r="BO11" s="208" t="str">
        <f t="shared" si="6"/>
        <v>Inconnu</v>
      </c>
      <c r="BP11" s="208" t="str">
        <f t="shared" si="34"/>
        <v>Inconnu</v>
      </c>
      <c r="BQ11" s="208" t="str">
        <f t="shared" si="35"/>
        <v>Inconnu</v>
      </c>
      <c r="BR11" s="208" t="str">
        <f t="shared" si="36"/>
        <v>Transfusé</v>
      </c>
      <c r="BS11" s="208">
        <f t="shared" si="7"/>
        <v>23</v>
      </c>
      <c r="BT11" s="229" t="e">
        <f>VLOOKUP($I11,Lieu_Activité!$A:$B,2,FALSE)</f>
        <v>#N/A</v>
      </c>
      <c r="BU11" s="208" t="str">
        <f t="shared" si="8"/>
        <v>Aucun</v>
      </c>
      <c r="BV11" s="208" t="str">
        <f t="shared" si="9"/>
        <v>Aucun</v>
      </c>
      <c r="BW11" s="207" t="str">
        <f t="shared" si="10"/>
        <v>NON</v>
      </c>
      <c r="BX11" s="288"/>
    </row>
    <row r="12" spans="1:76" ht="12.95" customHeight="1" x14ac:dyDescent="0.25">
      <c r="A12" s="226" t="s">
        <v>212</v>
      </c>
      <c r="B12" s="234"/>
      <c r="C12" s="227"/>
      <c r="D12" s="257"/>
      <c r="E12" s="278">
        <f t="shared" si="26"/>
        <v>0</v>
      </c>
      <c r="F12" s="278" t="str">
        <f t="shared" si="12"/>
        <v xml:space="preserve"> </v>
      </c>
      <c r="G12" s="256"/>
      <c r="H12" s="256"/>
      <c r="I12" s="256"/>
      <c r="J12" s="256"/>
      <c r="K12" s="256"/>
      <c r="L12" s="257"/>
      <c r="M12" s="243"/>
      <c r="N12" s="256"/>
      <c r="O12" s="232"/>
      <c r="P12" s="265" t="str">
        <f>IFERROR(VLOOKUP(O12,Références!$K$11:$N$19,2)," ")</f>
        <v xml:space="preserve"> </v>
      </c>
      <c r="Q12" s="265" t="str">
        <f>IFERROR(VLOOKUP(O12,Références!$K$11:$N$19,3)," ")</f>
        <v xml:space="preserve"> </v>
      </c>
      <c r="R12" s="265" t="str">
        <f>IFERROR(VLOOKUP(O12,Références!$K$11:$N$19,4)," ")</f>
        <v xml:space="preserve"> </v>
      </c>
      <c r="S12" s="256"/>
      <c r="T12" s="256"/>
      <c r="U12" s="256"/>
      <c r="V12" s="256"/>
      <c r="W12" s="256"/>
      <c r="X12" s="257"/>
      <c r="Y12" s="256">
        <v>1</v>
      </c>
      <c r="Z12" s="256"/>
      <c r="AA12" s="256"/>
      <c r="AB12" s="235"/>
      <c r="AC12" s="235"/>
      <c r="AD12" s="235"/>
      <c r="AE12" s="235"/>
      <c r="AF12" s="235">
        <v>8</v>
      </c>
      <c r="AG12" s="235"/>
      <c r="AH12" s="235">
        <v>15</v>
      </c>
      <c r="AI12" s="235">
        <f t="shared" si="27"/>
        <v>23</v>
      </c>
      <c r="AJ12" s="257"/>
      <c r="AK12" s="256">
        <f t="shared" si="28"/>
        <v>0</v>
      </c>
      <c r="AL12" s="257"/>
      <c r="AM12" s="266">
        <f t="shared" si="29"/>
        <v>0</v>
      </c>
      <c r="AN12" s="256"/>
      <c r="AO12" s="276"/>
      <c r="AP12" s="261" t="str">
        <f t="shared" si="16"/>
        <v xml:space="preserve"> </v>
      </c>
      <c r="AQ12" s="256"/>
      <c r="AR12" s="295"/>
      <c r="AS12" s="295"/>
      <c r="AT12" s="263"/>
      <c r="AU12" s="277"/>
      <c r="AV12" s="263"/>
      <c r="AW12" s="230"/>
      <c r="AX12" s="300"/>
      <c r="AY12" s="301"/>
      <c r="AZ12" s="230"/>
      <c r="BA12" s="230" t="s">
        <v>234</v>
      </c>
      <c r="BB12" s="295"/>
      <c r="BC12" s="228">
        <f t="shared" si="30"/>
        <v>0</v>
      </c>
      <c r="BD12" s="228">
        <f t="shared" si="31"/>
        <v>1</v>
      </c>
      <c r="BE12" s="228">
        <f t="shared" si="0"/>
        <v>1</v>
      </c>
      <c r="BF12" s="228" t="str">
        <f t="shared" si="19"/>
        <v>ALIVE</v>
      </c>
      <c r="BG12" s="208" t="str">
        <f t="shared" si="20"/>
        <v>Aucune</v>
      </c>
      <c r="BH12" s="208" t="str">
        <f t="shared" si="1"/>
        <v>Transfusion</v>
      </c>
      <c r="BI12" s="208" t="str">
        <f t="shared" si="2"/>
        <v>Aucune</v>
      </c>
      <c r="BJ12" s="208" t="str">
        <f t="shared" si="3"/>
        <v>NON</v>
      </c>
      <c r="BK12" s="208" t="str">
        <f t="shared" si="4"/>
        <v>NON</v>
      </c>
      <c r="BL12" s="208" t="str">
        <f t="shared" si="5"/>
        <v>Inconnu</v>
      </c>
      <c r="BM12" s="208" t="str">
        <f t="shared" si="32"/>
        <v>Inconnu</v>
      </c>
      <c r="BN12" s="208" t="str">
        <f t="shared" si="33"/>
        <v>Inconnu</v>
      </c>
      <c r="BO12" s="208" t="str">
        <f t="shared" si="6"/>
        <v>Inconnu</v>
      </c>
      <c r="BP12" s="208" t="str">
        <f t="shared" si="34"/>
        <v>Inconnu</v>
      </c>
      <c r="BQ12" s="208" t="str">
        <f t="shared" si="35"/>
        <v>Inconnu</v>
      </c>
      <c r="BR12" s="208" t="str">
        <f t="shared" si="36"/>
        <v>Transfusé</v>
      </c>
      <c r="BS12" s="208">
        <f t="shared" si="7"/>
        <v>23</v>
      </c>
      <c r="BT12" s="229" t="e">
        <f>VLOOKUP($I12,Lieu_Activité!$A:$B,2,FALSE)</f>
        <v>#N/A</v>
      </c>
      <c r="BU12" s="208" t="str">
        <f t="shared" si="8"/>
        <v>Aucun</v>
      </c>
      <c r="BV12" s="208" t="str">
        <f t="shared" si="9"/>
        <v>Aucun</v>
      </c>
      <c r="BW12" s="207" t="str">
        <f t="shared" si="10"/>
        <v>NON</v>
      </c>
      <c r="BX12" s="288"/>
    </row>
    <row r="13" spans="1:76" ht="12.95" customHeight="1" x14ac:dyDescent="0.25">
      <c r="A13" s="226" t="s">
        <v>212</v>
      </c>
      <c r="B13" s="234"/>
      <c r="C13" s="227"/>
      <c r="D13" s="257"/>
      <c r="E13" s="278">
        <f t="shared" si="26"/>
        <v>0</v>
      </c>
      <c r="F13" s="278" t="str">
        <f t="shared" si="12"/>
        <v xml:space="preserve"> </v>
      </c>
      <c r="G13" s="256"/>
      <c r="H13" s="256"/>
      <c r="I13" s="256"/>
      <c r="J13" s="256"/>
      <c r="K13" s="256"/>
      <c r="L13" s="257"/>
      <c r="M13" s="243"/>
      <c r="N13" s="256"/>
      <c r="O13" s="256"/>
      <c r="P13" s="265" t="str">
        <f>IFERROR(VLOOKUP(O13,Références!$K$11:$N$19,2)," ")</f>
        <v xml:space="preserve"> </v>
      </c>
      <c r="Q13" s="265" t="str">
        <f>IFERROR(VLOOKUP(O13,Références!$K$11:$N$19,3)," ")</f>
        <v xml:space="preserve"> </v>
      </c>
      <c r="R13" s="265" t="str">
        <f>IFERROR(VLOOKUP(O13,Références!$K$11:$N$19,4)," ")</f>
        <v xml:space="preserve"> </v>
      </c>
      <c r="S13" s="256"/>
      <c r="T13" s="256"/>
      <c r="U13" s="256"/>
      <c r="V13" s="256"/>
      <c r="W13" s="256"/>
      <c r="X13" s="257"/>
      <c r="Y13" s="256">
        <v>1</v>
      </c>
      <c r="Z13" s="256"/>
      <c r="AA13" s="256"/>
      <c r="AB13" s="235"/>
      <c r="AC13" s="235"/>
      <c r="AD13" s="235"/>
      <c r="AE13" s="235"/>
      <c r="AF13" s="235">
        <v>8</v>
      </c>
      <c r="AG13" s="235"/>
      <c r="AH13" s="235">
        <v>15</v>
      </c>
      <c r="AI13" s="235">
        <f t="shared" si="27"/>
        <v>23</v>
      </c>
      <c r="AJ13" s="257"/>
      <c r="AK13" s="256">
        <f t="shared" si="28"/>
        <v>0</v>
      </c>
      <c r="AL13" s="257"/>
      <c r="AM13" s="266">
        <f t="shared" si="29"/>
        <v>0</v>
      </c>
      <c r="AN13" s="256"/>
      <c r="AO13" s="276"/>
      <c r="AP13" s="261" t="str">
        <f t="shared" si="16"/>
        <v xml:space="preserve"> </v>
      </c>
      <c r="AQ13" s="256"/>
      <c r="AR13" s="295"/>
      <c r="AS13" s="295"/>
      <c r="AT13" s="263"/>
      <c r="AU13" s="277"/>
      <c r="AV13" s="263"/>
      <c r="AW13" s="230"/>
      <c r="AX13" s="300"/>
      <c r="AY13" s="301"/>
      <c r="AZ13" s="230"/>
      <c r="BA13" s="230" t="s">
        <v>234</v>
      </c>
      <c r="BB13" s="301"/>
      <c r="BC13" s="228">
        <f t="shared" si="30"/>
        <v>0</v>
      </c>
      <c r="BD13" s="228">
        <f t="shared" si="31"/>
        <v>1</v>
      </c>
      <c r="BE13" s="228">
        <f t="shared" si="0"/>
        <v>1</v>
      </c>
      <c r="BF13" s="228" t="str">
        <f t="shared" si="19"/>
        <v>ALIVE</v>
      </c>
      <c r="BG13" s="208" t="str">
        <f t="shared" si="20"/>
        <v>Aucune</v>
      </c>
      <c r="BH13" s="208" t="str">
        <f t="shared" si="1"/>
        <v>Transfusion</v>
      </c>
      <c r="BI13" s="208" t="str">
        <f t="shared" si="2"/>
        <v>Aucune</v>
      </c>
      <c r="BJ13" s="208" t="str">
        <f t="shared" si="3"/>
        <v>NON</v>
      </c>
      <c r="BK13" s="208" t="str">
        <f t="shared" si="4"/>
        <v>NON</v>
      </c>
      <c r="BL13" s="208" t="str">
        <f t="shared" si="5"/>
        <v>Inconnu</v>
      </c>
      <c r="BM13" s="208" t="str">
        <f t="shared" si="32"/>
        <v>Inconnu</v>
      </c>
      <c r="BN13" s="208" t="str">
        <f t="shared" si="33"/>
        <v>Inconnu</v>
      </c>
      <c r="BO13" s="208" t="str">
        <f t="shared" si="6"/>
        <v>Inconnu</v>
      </c>
      <c r="BP13" s="208" t="str">
        <f t="shared" si="34"/>
        <v>Inconnu</v>
      </c>
      <c r="BQ13" s="208" t="str">
        <f t="shared" si="35"/>
        <v>Inconnu</v>
      </c>
      <c r="BR13" s="208" t="str">
        <f t="shared" si="36"/>
        <v>Transfusé</v>
      </c>
      <c r="BS13" s="208">
        <f t="shared" si="7"/>
        <v>23</v>
      </c>
      <c r="BT13" s="229" t="e">
        <f>VLOOKUP($I13,Lieu_Activité!$A:$B,2,FALSE)</f>
        <v>#N/A</v>
      </c>
      <c r="BU13" s="208" t="str">
        <f t="shared" si="8"/>
        <v>Aucun</v>
      </c>
      <c r="BV13" s="208" t="str">
        <f t="shared" si="9"/>
        <v>Aucun</v>
      </c>
      <c r="BW13" s="207" t="str">
        <f t="shared" si="10"/>
        <v>NON</v>
      </c>
      <c r="BX13" s="288"/>
    </row>
    <row r="14" spans="1:76" ht="12.95" customHeight="1" x14ac:dyDescent="0.25">
      <c r="A14" s="226" t="s">
        <v>212</v>
      </c>
      <c r="B14" s="234"/>
      <c r="C14" s="227"/>
      <c r="D14" s="257"/>
      <c r="E14" s="278">
        <f t="shared" si="26"/>
        <v>0</v>
      </c>
      <c r="F14" s="278" t="str">
        <f t="shared" si="12"/>
        <v xml:space="preserve"> </v>
      </c>
      <c r="G14" s="256"/>
      <c r="H14" s="256"/>
      <c r="I14" s="256"/>
      <c r="J14" s="256"/>
      <c r="K14" s="256"/>
      <c r="L14" s="257"/>
      <c r="M14" s="243"/>
      <c r="N14" s="256"/>
      <c r="O14" s="256"/>
      <c r="P14" s="265" t="str">
        <f>IFERROR(VLOOKUP(O14,Références!$K$11:$N$19,2)," ")</f>
        <v xml:space="preserve"> </v>
      </c>
      <c r="Q14" s="265" t="str">
        <f>IFERROR(VLOOKUP(O14,Références!$K$11:$N$19,3)," ")</f>
        <v xml:space="preserve"> </v>
      </c>
      <c r="R14" s="265" t="str">
        <f>IFERROR(VLOOKUP(O14,Références!$K$11:$N$19,4)," ")</f>
        <v xml:space="preserve"> </v>
      </c>
      <c r="S14" s="256"/>
      <c r="T14" s="256"/>
      <c r="U14" s="256"/>
      <c r="V14" s="256"/>
      <c r="W14" s="256"/>
      <c r="X14" s="257"/>
      <c r="Y14" s="256">
        <v>1</v>
      </c>
      <c r="Z14" s="256"/>
      <c r="AA14" s="256"/>
      <c r="AB14" s="235"/>
      <c r="AC14" s="235"/>
      <c r="AD14" s="235"/>
      <c r="AE14" s="235"/>
      <c r="AF14" s="235">
        <v>15</v>
      </c>
      <c r="AG14" s="235"/>
      <c r="AH14" s="235">
        <v>15</v>
      </c>
      <c r="AI14" s="235">
        <f t="shared" si="27"/>
        <v>30</v>
      </c>
      <c r="AJ14" s="257"/>
      <c r="AK14" s="256">
        <f t="shared" si="28"/>
        <v>0</v>
      </c>
      <c r="AL14" s="257"/>
      <c r="AM14" s="266">
        <f>(AL14-L14)</f>
        <v>0</v>
      </c>
      <c r="AN14" s="256"/>
      <c r="AO14" s="276"/>
      <c r="AP14" s="261" t="str">
        <f t="shared" si="16"/>
        <v xml:space="preserve"> </v>
      </c>
      <c r="AQ14" s="256"/>
      <c r="AR14" s="295"/>
      <c r="AS14" s="295"/>
      <c r="AT14" s="263"/>
      <c r="AU14" s="277"/>
      <c r="AV14" s="263"/>
      <c r="AW14" s="230"/>
      <c r="AX14" s="300"/>
      <c r="AY14" s="301"/>
      <c r="AZ14" s="230"/>
      <c r="BA14" s="300" t="s">
        <v>234</v>
      </c>
      <c r="BB14" s="295"/>
      <c r="BC14" s="228">
        <f t="shared" si="30"/>
        <v>0</v>
      </c>
      <c r="BD14" s="228">
        <f t="shared" si="31"/>
        <v>1</v>
      </c>
      <c r="BE14" s="228">
        <f t="shared" si="0"/>
        <v>1</v>
      </c>
      <c r="BF14" s="228" t="str">
        <f t="shared" si="19"/>
        <v>ALIVE</v>
      </c>
      <c r="BG14" s="208" t="str">
        <f t="shared" si="20"/>
        <v>Aucune</v>
      </c>
      <c r="BH14" s="208" t="str">
        <f t="shared" si="1"/>
        <v>Transfusion</v>
      </c>
      <c r="BI14" s="208" t="str">
        <f t="shared" si="2"/>
        <v>Aucune</v>
      </c>
      <c r="BJ14" s="208" t="str">
        <f t="shared" si="3"/>
        <v>NON</v>
      </c>
      <c r="BK14" s="208" t="str">
        <f t="shared" si="4"/>
        <v>NON</v>
      </c>
      <c r="BL14" s="208" t="str">
        <f t="shared" si="5"/>
        <v>Inconnu</v>
      </c>
      <c r="BM14" s="208" t="str">
        <f t="shared" si="32"/>
        <v>Inconnu</v>
      </c>
      <c r="BN14" s="208" t="str">
        <f t="shared" si="33"/>
        <v>Inconnu</v>
      </c>
      <c r="BO14" s="208" t="str">
        <f t="shared" si="6"/>
        <v>Inconnu</v>
      </c>
      <c r="BP14" s="208" t="str">
        <f t="shared" si="34"/>
        <v>Inconnu</v>
      </c>
      <c r="BQ14" s="208" t="str">
        <f t="shared" si="35"/>
        <v>Inconnu</v>
      </c>
      <c r="BR14" s="208" t="str">
        <f t="shared" si="36"/>
        <v>Transfusé</v>
      </c>
      <c r="BS14" s="208">
        <f t="shared" si="7"/>
        <v>30</v>
      </c>
      <c r="BT14" s="229" t="e">
        <f>VLOOKUP($I14,Lieu_Activité!$A:$B,2,FALSE)</f>
        <v>#N/A</v>
      </c>
      <c r="BU14" s="208" t="str">
        <f t="shared" si="8"/>
        <v>Aucun</v>
      </c>
      <c r="BV14" s="208" t="str">
        <f t="shared" si="9"/>
        <v>Aucun</v>
      </c>
      <c r="BW14" s="207" t="str">
        <f t="shared" si="10"/>
        <v>NON</v>
      </c>
      <c r="BX14" s="288"/>
    </row>
    <row r="15" spans="1:76" ht="12.95" customHeight="1" x14ac:dyDescent="0.25">
      <c r="A15" s="226" t="s">
        <v>212</v>
      </c>
      <c r="B15" s="234"/>
      <c r="C15" s="227"/>
      <c r="D15" s="257"/>
      <c r="E15" s="278">
        <f t="shared" si="26"/>
        <v>0</v>
      </c>
      <c r="F15" s="278" t="str">
        <f t="shared" si="12"/>
        <v xml:space="preserve"> </v>
      </c>
      <c r="G15" s="256"/>
      <c r="H15" s="256"/>
      <c r="I15" s="256"/>
      <c r="J15" s="256"/>
      <c r="K15" s="256"/>
      <c r="L15" s="257"/>
      <c r="M15" s="243"/>
      <c r="N15" s="256"/>
      <c r="O15" s="256"/>
      <c r="P15" s="265" t="str">
        <f>IFERROR(VLOOKUP(O15,Références!$K$11:$N$19,2)," ")</f>
        <v xml:space="preserve"> </v>
      </c>
      <c r="Q15" s="265" t="str">
        <f>IFERROR(VLOOKUP(O15,Références!$K$11:$N$19,3)," ")</f>
        <v xml:space="preserve"> </v>
      </c>
      <c r="R15" s="265" t="str">
        <f>IFERROR(VLOOKUP(O15,Références!$K$11:$N$19,4)," ")</f>
        <v xml:space="preserve"> </v>
      </c>
      <c r="S15" s="256"/>
      <c r="T15" s="256"/>
      <c r="U15" s="256"/>
      <c r="V15" s="256"/>
      <c r="W15" s="256"/>
      <c r="X15" s="257"/>
      <c r="Y15" s="256">
        <v>1</v>
      </c>
      <c r="Z15" s="256"/>
      <c r="AA15" s="256"/>
      <c r="AB15" s="274"/>
      <c r="AC15" s="235"/>
      <c r="AD15" s="235"/>
      <c r="AE15" s="235"/>
      <c r="AF15" s="235"/>
      <c r="AG15" s="235"/>
      <c r="AH15" s="235"/>
      <c r="AI15" s="235">
        <f t="shared" si="27"/>
        <v>0</v>
      </c>
      <c r="AJ15" s="257"/>
      <c r="AK15" s="256">
        <f t="shared" si="28"/>
        <v>0</v>
      </c>
      <c r="AL15" s="257"/>
      <c r="AM15" s="266">
        <f t="shared" si="29"/>
        <v>0</v>
      </c>
      <c r="AN15" s="256"/>
      <c r="AO15" s="276"/>
      <c r="AP15" s="261" t="str">
        <f t="shared" si="16"/>
        <v xml:space="preserve"> </v>
      </c>
      <c r="AQ15" s="256"/>
      <c r="AR15" s="295"/>
      <c r="AS15" s="295"/>
      <c r="AT15" s="263"/>
      <c r="AU15" s="277"/>
      <c r="AV15" s="263"/>
      <c r="AW15" s="230"/>
      <c r="AX15" s="300"/>
      <c r="AY15" s="301"/>
      <c r="AZ15" s="230"/>
      <c r="BA15" s="230" t="s">
        <v>234</v>
      </c>
      <c r="BB15" s="295"/>
      <c r="BC15" s="228">
        <f t="shared" si="30"/>
        <v>0</v>
      </c>
      <c r="BD15" s="228">
        <f t="shared" si="31"/>
        <v>0</v>
      </c>
      <c r="BE15" s="228">
        <f t="shared" si="0"/>
        <v>1</v>
      </c>
      <c r="BF15" s="228" t="str">
        <f t="shared" si="19"/>
        <v>ALIVE</v>
      </c>
      <c r="BG15" s="208" t="str">
        <f t="shared" si="20"/>
        <v>Aucune</v>
      </c>
      <c r="BH15" s="208" t="str">
        <f t="shared" si="1"/>
        <v>Aucune</v>
      </c>
      <c r="BI15" s="208" t="str">
        <f t="shared" si="2"/>
        <v>Aucune</v>
      </c>
      <c r="BJ15" s="208" t="str">
        <f t="shared" si="3"/>
        <v>NON</v>
      </c>
      <c r="BK15" s="208" t="str">
        <f t="shared" si="4"/>
        <v>NON</v>
      </c>
      <c r="BL15" s="208" t="str">
        <f t="shared" si="5"/>
        <v>Inconnu</v>
      </c>
      <c r="BM15" s="208" t="str">
        <f t="shared" si="32"/>
        <v>Inconnu</v>
      </c>
      <c r="BN15" s="208" t="str">
        <f t="shared" si="33"/>
        <v>Inconnu</v>
      </c>
      <c r="BO15" s="208" t="str">
        <f t="shared" si="6"/>
        <v>Inconnu</v>
      </c>
      <c r="BP15" s="208" t="str">
        <f t="shared" si="34"/>
        <v>Inconnu</v>
      </c>
      <c r="BQ15" s="208" t="str">
        <f t="shared" si="35"/>
        <v>Inconnu</v>
      </c>
      <c r="BR15" s="208" t="str">
        <f t="shared" si="36"/>
        <v>Aucune</v>
      </c>
      <c r="BS15" s="208">
        <f t="shared" si="7"/>
        <v>0</v>
      </c>
      <c r="BT15" s="229" t="e">
        <f>VLOOKUP($I15,Lieu_Activité!$A:$B,2,FALSE)</f>
        <v>#N/A</v>
      </c>
      <c r="BU15" s="208" t="str">
        <f t="shared" si="8"/>
        <v>Aucun</v>
      </c>
      <c r="BV15" s="208" t="str">
        <f t="shared" si="9"/>
        <v>Aucun</v>
      </c>
      <c r="BW15" s="207" t="str">
        <f t="shared" si="10"/>
        <v>NON</v>
      </c>
      <c r="BX15" s="288"/>
    </row>
    <row r="16" spans="1:76" ht="12.95" customHeight="1" x14ac:dyDescent="0.25">
      <c r="A16" s="226" t="s">
        <v>212</v>
      </c>
      <c r="B16" s="267"/>
      <c r="C16" s="227"/>
      <c r="D16" s="257"/>
      <c r="E16" s="278">
        <f t="shared" si="26"/>
        <v>0</v>
      </c>
      <c r="F16" s="278" t="str">
        <f t="shared" si="12"/>
        <v xml:space="preserve"> </v>
      </c>
      <c r="G16" s="256"/>
      <c r="H16" s="256"/>
      <c r="I16" s="256"/>
      <c r="J16" s="256"/>
      <c r="K16" s="256"/>
      <c r="L16" s="257"/>
      <c r="M16" s="243"/>
      <c r="N16" s="256"/>
      <c r="O16" s="256"/>
      <c r="P16" s="265" t="str">
        <f>IFERROR(VLOOKUP(O16,Références!$K$11:$N$19,2)," ")</f>
        <v xml:space="preserve"> </v>
      </c>
      <c r="Q16" s="265" t="str">
        <f>IFERROR(VLOOKUP(O16,Références!$K$11:$N$19,3)," ")</f>
        <v xml:space="preserve"> </v>
      </c>
      <c r="R16" s="265" t="str">
        <f>IFERROR(VLOOKUP(O16,Références!$K$11:$N$19,4)," ")</f>
        <v xml:space="preserve"> </v>
      </c>
      <c r="S16" s="256"/>
      <c r="T16" s="256"/>
      <c r="U16" s="256"/>
      <c r="V16" s="256"/>
      <c r="W16" s="256"/>
      <c r="X16" s="257"/>
      <c r="Y16" s="256">
        <v>1</v>
      </c>
      <c r="Z16" s="256"/>
      <c r="AA16" s="256"/>
      <c r="AB16" s="235"/>
      <c r="AC16" s="235"/>
      <c r="AD16" s="235"/>
      <c r="AE16" s="235"/>
      <c r="AF16" s="235"/>
      <c r="AG16" s="235"/>
      <c r="AH16" s="235"/>
      <c r="AI16" s="235">
        <f t="shared" si="27"/>
        <v>0</v>
      </c>
      <c r="AJ16" s="257"/>
      <c r="AK16" s="256">
        <f t="shared" si="28"/>
        <v>0</v>
      </c>
      <c r="AL16" s="257"/>
      <c r="AM16" s="266">
        <f t="shared" si="29"/>
        <v>0</v>
      </c>
      <c r="AN16" s="256"/>
      <c r="AO16" s="276"/>
      <c r="AP16" s="261" t="str">
        <f t="shared" si="16"/>
        <v xml:space="preserve"> </v>
      </c>
      <c r="AQ16" s="256"/>
      <c r="AR16" s="295"/>
      <c r="AS16" s="295"/>
      <c r="AT16" s="263"/>
      <c r="AU16" s="277"/>
      <c r="AV16" s="263"/>
      <c r="AW16" s="230"/>
      <c r="AX16" s="300"/>
      <c r="AY16" s="301"/>
      <c r="AZ16" s="230"/>
      <c r="BA16" s="300"/>
      <c r="BB16" s="301"/>
      <c r="BC16" s="228">
        <f t="shared" si="30"/>
        <v>0</v>
      </c>
      <c r="BD16" s="228">
        <f t="shared" si="31"/>
        <v>0</v>
      </c>
      <c r="BE16" s="228">
        <f t="shared" si="0"/>
        <v>1</v>
      </c>
      <c r="BF16" s="228" t="str">
        <f t="shared" si="19"/>
        <v>ALIVE</v>
      </c>
      <c r="BG16" s="208" t="str">
        <f t="shared" si="20"/>
        <v>Aucune</v>
      </c>
      <c r="BH16" s="208" t="str">
        <f t="shared" si="1"/>
        <v>Aucune</v>
      </c>
      <c r="BI16" s="208" t="str">
        <f t="shared" si="2"/>
        <v>Aucune</v>
      </c>
      <c r="BJ16" s="208" t="str">
        <f t="shared" si="3"/>
        <v>NON</v>
      </c>
      <c r="BK16" s="208" t="str">
        <f t="shared" si="4"/>
        <v>NON</v>
      </c>
      <c r="BL16" s="208" t="str">
        <f t="shared" si="5"/>
        <v>Inconnu</v>
      </c>
      <c r="BM16" s="208" t="str">
        <f t="shared" si="32"/>
        <v>Inconnu</v>
      </c>
      <c r="BN16" s="208" t="str">
        <f t="shared" si="33"/>
        <v>Inconnu</v>
      </c>
      <c r="BO16" s="208" t="str">
        <f t="shared" si="6"/>
        <v>Inconnu</v>
      </c>
      <c r="BP16" s="208" t="str">
        <f t="shared" si="34"/>
        <v>Inconnu</v>
      </c>
      <c r="BQ16" s="208" t="str">
        <f t="shared" si="35"/>
        <v>Inconnu</v>
      </c>
      <c r="BR16" s="208" t="str">
        <f t="shared" si="36"/>
        <v>Aucune</v>
      </c>
      <c r="BS16" s="208">
        <f t="shared" si="7"/>
        <v>0</v>
      </c>
      <c r="BT16" s="229" t="e">
        <f>VLOOKUP($I16,Lieu_Activité!$A:$B,2,FALSE)</f>
        <v>#N/A</v>
      </c>
      <c r="BU16" s="208" t="str">
        <f t="shared" si="8"/>
        <v>Aucun</v>
      </c>
      <c r="BV16" s="208" t="str">
        <f t="shared" si="9"/>
        <v>Aucun</v>
      </c>
      <c r="BW16" s="207" t="str">
        <f t="shared" si="10"/>
        <v>NON</v>
      </c>
      <c r="BX16" s="288"/>
    </row>
    <row r="17" spans="1:76" ht="12.95" customHeight="1" x14ac:dyDescent="0.25">
      <c r="A17" s="226" t="s">
        <v>212</v>
      </c>
      <c r="B17" s="234"/>
      <c r="C17" s="227"/>
      <c r="D17" s="257"/>
      <c r="E17" s="278">
        <f t="shared" si="26"/>
        <v>0</v>
      </c>
      <c r="F17" s="278" t="str">
        <f t="shared" si="12"/>
        <v xml:space="preserve"> </v>
      </c>
      <c r="G17" s="256"/>
      <c r="H17" s="256"/>
      <c r="I17" s="256"/>
      <c r="J17" s="256"/>
      <c r="K17" s="256"/>
      <c r="L17" s="257"/>
      <c r="M17" s="243"/>
      <c r="N17" s="256"/>
      <c r="O17" s="256"/>
      <c r="P17" s="265" t="str">
        <f>IFERROR(VLOOKUP(O17,Références!$K$11:$N$19,2)," ")</f>
        <v xml:space="preserve"> </v>
      </c>
      <c r="Q17" s="265" t="str">
        <f>IFERROR(VLOOKUP(O17,Références!$K$11:$N$19,3)," ")</f>
        <v xml:space="preserve"> </v>
      </c>
      <c r="R17" s="265" t="str">
        <f>IFERROR(VLOOKUP(O17,Références!$K$11:$N$19,4)," ")</f>
        <v xml:space="preserve"> </v>
      </c>
      <c r="S17" s="256"/>
      <c r="T17" s="256"/>
      <c r="U17" s="256"/>
      <c r="V17" s="256"/>
      <c r="W17" s="256"/>
      <c r="X17" s="257"/>
      <c r="Y17" s="256">
        <v>1</v>
      </c>
      <c r="Z17" s="256"/>
      <c r="AA17" s="256"/>
      <c r="AB17" s="235"/>
      <c r="AC17" s="235"/>
      <c r="AD17" s="235"/>
      <c r="AE17" s="235"/>
      <c r="AF17" s="235"/>
      <c r="AG17" s="235"/>
      <c r="AH17" s="235"/>
      <c r="AI17" s="235">
        <f t="shared" si="27"/>
        <v>0</v>
      </c>
      <c r="AJ17" s="257"/>
      <c r="AK17" s="256">
        <f t="shared" si="28"/>
        <v>0</v>
      </c>
      <c r="AL17" s="257"/>
      <c r="AM17" s="266">
        <f t="shared" si="29"/>
        <v>0</v>
      </c>
      <c r="AN17" s="256"/>
      <c r="AO17" s="276"/>
      <c r="AP17" s="261" t="str">
        <f t="shared" si="16"/>
        <v xml:space="preserve"> </v>
      </c>
      <c r="AQ17" s="256"/>
      <c r="AR17" s="295"/>
      <c r="AS17" s="295"/>
      <c r="AT17" s="263"/>
      <c r="AU17" s="277"/>
      <c r="AV17" s="263"/>
      <c r="AW17" s="230"/>
      <c r="AX17" s="300"/>
      <c r="AY17" s="301"/>
      <c r="AZ17" s="230"/>
      <c r="BA17" s="230" t="s">
        <v>234</v>
      </c>
      <c r="BB17" s="295"/>
      <c r="BC17" s="228">
        <f t="shared" si="30"/>
        <v>0</v>
      </c>
      <c r="BD17" s="228">
        <f t="shared" si="31"/>
        <v>0</v>
      </c>
      <c r="BE17" s="228">
        <f t="shared" si="0"/>
        <v>1</v>
      </c>
      <c r="BF17" s="228" t="str">
        <f t="shared" si="19"/>
        <v>ALIVE</v>
      </c>
      <c r="BG17" s="208" t="str">
        <f t="shared" si="20"/>
        <v>Aucune</v>
      </c>
      <c r="BH17" s="208" t="str">
        <f t="shared" si="1"/>
        <v>Aucune</v>
      </c>
      <c r="BI17" s="208" t="str">
        <f t="shared" si="2"/>
        <v>Aucune</v>
      </c>
      <c r="BJ17" s="208" t="str">
        <f t="shared" si="3"/>
        <v>NON</v>
      </c>
      <c r="BK17" s="208" t="str">
        <f t="shared" si="4"/>
        <v>NON</v>
      </c>
      <c r="BL17" s="208" t="str">
        <f t="shared" si="5"/>
        <v>Inconnu</v>
      </c>
      <c r="BM17" s="208" t="str">
        <f t="shared" si="32"/>
        <v>Inconnu</v>
      </c>
      <c r="BN17" s="208" t="str">
        <f t="shared" si="33"/>
        <v>Inconnu</v>
      </c>
      <c r="BO17" s="208" t="str">
        <f t="shared" si="6"/>
        <v>Inconnu</v>
      </c>
      <c r="BP17" s="208" t="str">
        <f t="shared" si="34"/>
        <v>Inconnu</v>
      </c>
      <c r="BQ17" s="208" t="str">
        <f t="shared" si="35"/>
        <v>Inconnu</v>
      </c>
      <c r="BR17" s="208" t="str">
        <f t="shared" si="36"/>
        <v>Aucune</v>
      </c>
      <c r="BS17" s="208">
        <f t="shared" si="7"/>
        <v>0</v>
      </c>
      <c r="BT17" s="229" t="e">
        <f>VLOOKUP($I17,Lieu_Activité!$A:$B,2,FALSE)</f>
        <v>#N/A</v>
      </c>
      <c r="BU17" s="208" t="str">
        <f t="shared" si="8"/>
        <v>Aucun</v>
      </c>
      <c r="BV17" s="208" t="str">
        <f t="shared" si="9"/>
        <v>Aucun</v>
      </c>
      <c r="BW17" s="207" t="str">
        <f t="shared" si="10"/>
        <v>NON</v>
      </c>
      <c r="BX17" s="288"/>
    </row>
    <row r="18" spans="1:76" ht="12.95" customHeight="1" x14ac:dyDescent="0.25">
      <c r="A18" s="226" t="s">
        <v>212</v>
      </c>
      <c r="B18" s="234"/>
      <c r="C18" s="227"/>
      <c r="D18" s="257"/>
      <c r="E18" s="278">
        <f t="shared" si="26"/>
        <v>0</v>
      </c>
      <c r="F18" s="278" t="str">
        <f t="shared" si="12"/>
        <v xml:space="preserve"> </v>
      </c>
      <c r="G18" s="256"/>
      <c r="H18" s="256"/>
      <c r="I18" s="256"/>
      <c r="J18" s="256"/>
      <c r="K18" s="256"/>
      <c r="L18" s="257"/>
      <c r="M18" s="243"/>
      <c r="N18" s="256"/>
      <c r="O18" s="256"/>
      <c r="P18" s="265" t="str">
        <f>IFERROR(VLOOKUP(O18,Références!$K$11:$N$19,2)," ")</f>
        <v xml:space="preserve"> </v>
      </c>
      <c r="Q18" s="265" t="str">
        <f>IFERROR(VLOOKUP(O18,Références!$K$11:$N$19,3)," ")</f>
        <v xml:space="preserve"> </v>
      </c>
      <c r="R18" s="265" t="str">
        <f>IFERROR(VLOOKUP(O18,Références!$K$11:$N$19,4)," ")</f>
        <v xml:space="preserve"> </v>
      </c>
      <c r="S18" s="256"/>
      <c r="T18" s="256"/>
      <c r="U18" s="256"/>
      <c r="V18" s="256"/>
      <c r="W18" s="256"/>
      <c r="X18" s="257"/>
      <c r="Y18" s="256">
        <v>1</v>
      </c>
      <c r="Z18" s="256"/>
      <c r="AA18" s="256"/>
      <c r="AB18" s="235"/>
      <c r="AC18" s="235"/>
      <c r="AD18" s="235"/>
      <c r="AE18" s="235"/>
      <c r="AF18" s="235"/>
      <c r="AG18" s="235"/>
      <c r="AH18" s="235"/>
      <c r="AI18" s="235">
        <f t="shared" si="27"/>
        <v>0</v>
      </c>
      <c r="AJ18" s="257"/>
      <c r="AK18" s="256">
        <f t="shared" si="28"/>
        <v>0</v>
      </c>
      <c r="AL18" s="257"/>
      <c r="AM18" s="266">
        <f t="shared" si="29"/>
        <v>0</v>
      </c>
      <c r="AN18" s="256"/>
      <c r="AO18" s="276"/>
      <c r="AP18" s="261" t="str">
        <f t="shared" si="16"/>
        <v xml:space="preserve"> </v>
      </c>
      <c r="AQ18" s="256"/>
      <c r="AR18" s="295"/>
      <c r="AS18" s="295"/>
      <c r="AT18" s="263"/>
      <c r="AU18" s="277"/>
      <c r="AV18" s="263"/>
      <c r="AW18" s="230"/>
      <c r="AX18" s="300"/>
      <c r="AY18" s="301"/>
      <c r="AZ18" s="230"/>
      <c r="BA18" s="230" t="s">
        <v>234</v>
      </c>
      <c r="BB18" s="295"/>
      <c r="BC18" s="228">
        <f t="shared" si="30"/>
        <v>0</v>
      </c>
      <c r="BD18" s="228">
        <f t="shared" si="31"/>
        <v>0</v>
      </c>
      <c r="BE18" s="228">
        <f t="shared" si="0"/>
        <v>1</v>
      </c>
      <c r="BF18" s="228" t="str">
        <f t="shared" si="19"/>
        <v>ALIVE</v>
      </c>
      <c r="BG18" s="208" t="str">
        <f t="shared" si="20"/>
        <v>Aucune</v>
      </c>
      <c r="BH18" s="208" t="str">
        <f t="shared" si="1"/>
        <v>Aucune</v>
      </c>
      <c r="BI18" s="208" t="str">
        <f t="shared" si="2"/>
        <v>Aucune</v>
      </c>
      <c r="BJ18" s="208" t="str">
        <f t="shared" si="3"/>
        <v>NON</v>
      </c>
      <c r="BK18" s="208" t="str">
        <f t="shared" si="4"/>
        <v>NON</v>
      </c>
      <c r="BL18" s="208" t="str">
        <f t="shared" si="5"/>
        <v>Inconnu</v>
      </c>
      <c r="BM18" s="208" t="str">
        <f t="shared" si="32"/>
        <v>Inconnu</v>
      </c>
      <c r="BN18" s="208" t="str">
        <f t="shared" si="33"/>
        <v>Inconnu</v>
      </c>
      <c r="BO18" s="208" t="str">
        <f t="shared" si="6"/>
        <v>Inconnu</v>
      </c>
      <c r="BP18" s="208" t="str">
        <f t="shared" si="34"/>
        <v>Inconnu</v>
      </c>
      <c r="BQ18" s="208" t="str">
        <f t="shared" si="35"/>
        <v>Inconnu</v>
      </c>
      <c r="BR18" s="208" t="str">
        <f t="shared" si="36"/>
        <v>Aucune</v>
      </c>
      <c r="BS18" s="208">
        <f t="shared" si="7"/>
        <v>0</v>
      </c>
      <c r="BT18" s="229" t="e">
        <f>VLOOKUP($I18,Lieu_Activité!$A:$B,2,FALSE)</f>
        <v>#N/A</v>
      </c>
      <c r="BU18" s="208" t="str">
        <f t="shared" si="8"/>
        <v>Aucun</v>
      </c>
      <c r="BV18" s="208" t="str">
        <f t="shared" si="9"/>
        <v>Aucun</v>
      </c>
      <c r="BW18" s="207" t="str">
        <f t="shared" si="10"/>
        <v>NON</v>
      </c>
      <c r="BX18" s="288"/>
    </row>
    <row r="19" spans="1:76" ht="12.95" customHeight="1" x14ac:dyDescent="0.25">
      <c r="A19" s="226" t="s">
        <v>212</v>
      </c>
      <c r="B19" s="234"/>
      <c r="C19" s="227"/>
      <c r="D19" s="257"/>
      <c r="E19" s="278">
        <f t="shared" si="26"/>
        <v>0</v>
      </c>
      <c r="F19" s="278" t="str">
        <f t="shared" si="12"/>
        <v xml:space="preserve"> </v>
      </c>
      <c r="G19" s="256"/>
      <c r="H19" s="256"/>
      <c r="I19" s="256"/>
      <c r="J19" s="256"/>
      <c r="K19" s="256"/>
      <c r="L19" s="257"/>
      <c r="M19" s="243"/>
      <c r="N19" s="256"/>
      <c r="O19" s="256"/>
      <c r="P19" s="265" t="str">
        <f>IFERROR(VLOOKUP(O19,Références!$K$11:$N$19,2)," ")</f>
        <v xml:space="preserve"> </v>
      </c>
      <c r="Q19" s="265" t="str">
        <f>IFERROR(VLOOKUP(O19,Références!$K$11:$N$19,3)," ")</f>
        <v xml:space="preserve"> </v>
      </c>
      <c r="R19" s="265" t="str">
        <f>IFERROR(VLOOKUP(O19,Références!$K$11:$N$19,4)," ")</f>
        <v xml:space="preserve"> </v>
      </c>
      <c r="S19" s="256"/>
      <c r="T19" s="256"/>
      <c r="U19" s="256"/>
      <c r="V19" s="256"/>
      <c r="W19" s="256"/>
      <c r="X19" s="257"/>
      <c r="Y19" s="256">
        <v>1</v>
      </c>
      <c r="Z19" s="256"/>
      <c r="AA19" s="256"/>
      <c r="AB19" s="235"/>
      <c r="AC19" s="235"/>
      <c r="AD19" s="235"/>
      <c r="AE19" s="235"/>
      <c r="AF19" s="235"/>
      <c r="AG19" s="235"/>
      <c r="AH19" s="235"/>
      <c r="AI19" s="235">
        <f t="shared" si="27"/>
        <v>0</v>
      </c>
      <c r="AJ19" s="257"/>
      <c r="AK19" s="256">
        <f t="shared" si="28"/>
        <v>0</v>
      </c>
      <c r="AL19" s="257"/>
      <c r="AM19" s="266">
        <f t="shared" si="29"/>
        <v>0</v>
      </c>
      <c r="AN19" s="256"/>
      <c r="AO19" s="276"/>
      <c r="AP19" s="261" t="str">
        <f t="shared" si="16"/>
        <v xml:space="preserve"> </v>
      </c>
      <c r="AQ19" s="256"/>
      <c r="AR19" s="295"/>
      <c r="AS19" s="295"/>
      <c r="AT19" s="263"/>
      <c r="AU19" s="277"/>
      <c r="AV19" s="263"/>
      <c r="AW19" s="230"/>
      <c r="AX19" s="300"/>
      <c r="AY19" s="301"/>
      <c r="AZ19" s="230"/>
      <c r="BA19" s="300" t="s">
        <v>234</v>
      </c>
      <c r="BB19" s="295"/>
      <c r="BC19" s="228">
        <f t="shared" si="30"/>
        <v>0</v>
      </c>
      <c r="BD19" s="228">
        <f t="shared" si="31"/>
        <v>0</v>
      </c>
      <c r="BE19" s="228">
        <f t="shared" si="0"/>
        <v>1</v>
      </c>
      <c r="BF19" s="228" t="str">
        <f t="shared" si="19"/>
        <v>ALIVE</v>
      </c>
      <c r="BG19" s="208" t="str">
        <f t="shared" si="20"/>
        <v>Aucune</v>
      </c>
      <c r="BH19" s="208" t="str">
        <f t="shared" si="1"/>
        <v>Aucune</v>
      </c>
      <c r="BI19" s="208" t="str">
        <f t="shared" si="2"/>
        <v>Aucune</v>
      </c>
      <c r="BJ19" s="208" t="str">
        <f t="shared" si="3"/>
        <v>NON</v>
      </c>
      <c r="BK19" s="208" t="str">
        <f t="shared" si="4"/>
        <v>NON</v>
      </c>
      <c r="BL19" s="208" t="str">
        <f t="shared" si="5"/>
        <v>Inconnu</v>
      </c>
      <c r="BM19" s="208" t="str">
        <f t="shared" si="32"/>
        <v>Inconnu</v>
      </c>
      <c r="BN19" s="208" t="str">
        <f t="shared" si="33"/>
        <v>Inconnu</v>
      </c>
      <c r="BO19" s="208" t="str">
        <f t="shared" si="6"/>
        <v>Inconnu</v>
      </c>
      <c r="BP19" s="208" t="str">
        <f t="shared" si="34"/>
        <v>Inconnu</v>
      </c>
      <c r="BQ19" s="208" t="str">
        <f t="shared" si="35"/>
        <v>Inconnu</v>
      </c>
      <c r="BR19" s="208" t="str">
        <f t="shared" si="36"/>
        <v>Aucune</v>
      </c>
      <c r="BS19" s="208">
        <f t="shared" si="7"/>
        <v>0</v>
      </c>
      <c r="BT19" s="229" t="e">
        <f>VLOOKUP($I19,Lieu_Activité!$A:$B,2,FALSE)</f>
        <v>#N/A</v>
      </c>
      <c r="BU19" s="208" t="str">
        <f t="shared" si="8"/>
        <v>Aucun</v>
      </c>
      <c r="BV19" s="208" t="str">
        <f t="shared" si="9"/>
        <v>Aucun</v>
      </c>
      <c r="BW19" s="207" t="str">
        <f t="shared" si="10"/>
        <v>NON</v>
      </c>
      <c r="BX19" s="288"/>
    </row>
    <row r="20" spans="1:76" ht="12.95" customHeight="1" x14ac:dyDescent="0.25">
      <c r="A20" s="226" t="s">
        <v>212</v>
      </c>
      <c r="B20" s="234"/>
      <c r="C20" s="227"/>
      <c r="D20" s="257"/>
      <c r="E20" s="278">
        <f>(L20-D20)/365</f>
        <v>0</v>
      </c>
      <c r="F20" s="278" t="str">
        <f t="shared" si="12"/>
        <v xml:space="preserve"> </v>
      </c>
      <c r="G20" s="256"/>
      <c r="H20" s="256"/>
      <c r="I20" s="256"/>
      <c r="J20" s="256"/>
      <c r="K20" s="256"/>
      <c r="L20" s="257"/>
      <c r="M20" s="243"/>
      <c r="N20" s="256"/>
      <c r="O20" s="256"/>
      <c r="P20" s="265" t="str">
        <f>IFERROR(VLOOKUP(O20,Références!$K$11:$N$19,2)," ")</f>
        <v xml:space="preserve"> </v>
      </c>
      <c r="Q20" s="265" t="str">
        <f>IFERROR(VLOOKUP(O20,Références!$K$11:$N$19,3)," ")</f>
        <v xml:space="preserve"> </v>
      </c>
      <c r="R20" s="265" t="str">
        <f>IFERROR(VLOOKUP(O20,Références!$K$11:$N$19,4)," ")</f>
        <v xml:space="preserve"> </v>
      </c>
      <c r="S20" s="256"/>
      <c r="T20" s="256"/>
      <c r="U20" s="256"/>
      <c r="V20" s="256"/>
      <c r="W20" s="256"/>
      <c r="X20" s="257"/>
      <c r="Y20" s="256">
        <v>1</v>
      </c>
      <c r="Z20" s="256"/>
      <c r="AA20" s="256"/>
      <c r="AB20" s="235"/>
      <c r="AC20" s="235"/>
      <c r="AD20" s="235"/>
      <c r="AE20" s="235"/>
      <c r="AF20" s="235"/>
      <c r="AG20" s="235"/>
      <c r="AH20" s="235"/>
      <c r="AI20" s="235">
        <f t="shared" ref="AI20:AI28" si="37">SUM(AF20,AH20)</f>
        <v>0</v>
      </c>
      <c r="AJ20" s="257"/>
      <c r="AK20" s="256">
        <f t="shared" ref="AK20:AK57" si="38">(AJ20-L20)</f>
        <v>0</v>
      </c>
      <c r="AL20" s="257"/>
      <c r="AM20" s="266">
        <f t="shared" ref="AM20:AM28" si="39">(AL20-L20)</f>
        <v>0</v>
      </c>
      <c r="AN20" s="256"/>
      <c r="AO20" s="276"/>
      <c r="AP20" s="261" t="str">
        <f t="shared" si="16"/>
        <v xml:space="preserve"> </v>
      </c>
      <c r="AQ20" s="256"/>
      <c r="AR20" s="295"/>
      <c r="AS20" s="295"/>
      <c r="AT20" s="263"/>
      <c r="AU20" s="277"/>
      <c r="AV20" s="263"/>
      <c r="AW20" s="230"/>
      <c r="AX20" s="300"/>
      <c r="AY20" s="301"/>
      <c r="AZ20" s="230"/>
      <c r="BA20" s="230" t="s">
        <v>234</v>
      </c>
      <c r="BB20" s="295"/>
      <c r="BC20" s="228">
        <f t="shared" ref="BC20:BC28" si="40">IF(BG20="Aucune",0,1)</f>
        <v>0</v>
      </c>
      <c r="BD20" s="228">
        <f t="shared" ref="BD20:BD28" si="41">IF(BH20="Aucune",0,1)</f>
        <v>0</v>
      </c>
      <c r="BE20" s="228">
        <f t="shared" si="0"/>
        <v>1</v>
      </c>
      <c r="BF20" s="228" t="str">
        <f t="shared" si="19"/>
        <v>ALIVE</v>
      </c>
      <c r="BG20" s="208" t="str">
        <f t="shared" si="20"/>
        <v>Aucune</v>
      </c>
      <c r="BH20" s="208" t="str">
        <f t="shared" si="1"/>
        <v>Aucune</v>
      </c>
      <c r="BI20" s="208" t="str">
        <f t="shared" si="2"/>
        <v>Aucune</v>
      </c>
      <c r="BJ20" s="208" t="str">
        <f t="shared" si="3"/>
        <v>NON</v>
      </c>
      <c r="BK20" s="208" t="str">
        <f t="shared" si="4"/>
        <v>NON</v>
      </c>
      <c r="BL20" s="208" t="str">
        <f t="shared" si="5"/>
        <v>Inconnu</v>
      </c>
      <c r="BM20" s="208" t="str">
        <f t="shared" ref="BM20:BM28" si="42">IF($O20&lt;&gt;"HTX",IF($O20&lt;&gt;"LVAD",BL20,"Inconnu"),"Inconnu")</f>
        <v>Inconnu</v>
      </c>
      <c r="BN20" s="208" t="str">
        <f t="shared" ref="BN20:BN28" si="43">IF($O20="HTX",BL20,IF($O20="LVAD",BL20,"Inconnu"))</f>
        <v>Inconnu</v>
      </c>
      <c r="BO20" s="208" t="str">
        <f t="shared" si="6"/>
        <v>Inconnu</v>
      </c>
      <c r="BP20" s="208" t="str">
        <f t="shared" ref="BP20:BP28" si="44">IF($O20&lt;&gt;"HTX",IF($O20&lt;&gt;"LVAD",BO20,"Inconnu"),"Inconnu")</f>
        <v>Inconnu</v>
      </c>
      <c r="BQ20" s="208" t="str">
        <f t="shared" ref="BQ20:BQ28" si="45">IF($O20="HTX",BO20,IF($O20="LVAD",BO20,"Inconnu"))</f>
        <v>Inconnu</v>
      </c>
      <c r="BR20" s="208" t="str">
        <f t="shared" ref="BR20:BR28" si="46">IF(BH20="Aucune",IF(BI20="Aucune","Aucune","Transfusé"),"Transfusé")</f>
        <v>Aucune</v>
      </c>
      <c r="BS20" s="208">
        <f t="shared" si="7"/>
        <v>0</v>
      </c>
      <c r="BT20" s="229" t="e">
        <f>VLOOKUP($I20,Lieu_Activité!$A:$B,2,FALSE)</f>
        <v>#N/A</v>
      </c>
      <c r="BU20" s="208" t="str">
        <f t="shared" si="8"/>
        <v>Aucun</v>
      </c>
      <c r="BV20" s="208" t="str">
        <f t="shared" si="9"/>
        <v>Aucun</v>
      </c>
      <c r="BW20" s="207" t="str">
        <f t="shared" si="10"/>
        <v>NON</v>
      </c>
      <c r="BX20" s="288"/>
    </row>
    <row r="21" spans="1:76" ht="12.95" customHeight="1" x14ac:dyDescent="0.25">
      <c r="A21" s="226" t="s">
        <v>212</v>
      </c>
      <c r="B21" s="234"/>
      <c r="C21" s="227"/>
      <c r="D21" s="257"/>
      <c r="E21" s="278">
        <f>(L21-D21)/365</f>
        <v>0</v>
      </c>
      <c r="F21" s="278" t="str">
        <f t="shared" si="12"/>
        <v xml:space="preserve"> </v>
      </c>
      <c r="G21" s="256"/>
      <c r="H21" s="256"/>
      <c r="I21" s="256"/>
      <c r="J21" s="256"/>
      <c r="K21" s="256"/>
      <c r="L21" s="257"/>
      <c r="M21" s="243"/>
      <c r="N21" s="256"/>
      <c r="O21" s="256"/>
      <c r="P21" s="265" t="str">
        <f>IFERROR(VLOOKUP(O21,Références!$K$11:$N$19,2)," ")</f>
        <v xml:space="preserve"> </v>
      </c>
      <c r="Q21" s="265" t="str">
        <f>IFERROR(VLOOKUP(O21,Références!$K$11:$N$19,3)," ")</f>
        <v xml:space="preserve"> </v>
      </c>
      <c r="R21" s="265" t="str">
        <f>IFERROR(VLOOKUP(O21,Références!$K$11:$N$19,4)," ")</f>
        <v xml:space="preserve"> </v>
      </c>
      <c r="S21" s="256"/>
      <c r="T21" s="256"/>
      <c r="U21" s="256"/>
      <c r="V21" s="256"/>
      <c r="W21" s="256"/>
      <c r="X21" s="257"/>
      <c r="Y21" s="256">
        <v>1</v>
      </c>
      <c r="Z21" s="256"/>
      <c r="AA21" s="256"/>
      <c r="AB21" s="235"/>
      <c r="AC21" s="235"/>
      <c r="AD21" s="235"/>
      <c r="AE21" s="235"/>
      <c r="AF21" s="235"/>
      <c r="AG21" s="235"/>
      <c r="AH21" s="235"/>
      <c r="AI21" s="235">
        <f t="shared" si="37"/>
        <v>0</v>
      </c>
      <c r="AJ21" s="257"/>
      <c r="AK21" s="256">
        <f t="shared" si="38"/>
        <v>0</v>
      </c>
      <c r="AL21" s="257"/>
      <c r="AM21" s="266">
        <f t="shared" si="39"/>
        <v>0</v>
      </c>
      <c r="AN21" s="256"/>
      <c r="AO21" s="276"/>
      <c r="AP21" s="261" t="str">
        <f t="shared" si="16"/>
        <v xml:space="preserve"> </v>
      </c>
      <c r="AQ21" s="256"/>
      <c r="AR21" s="295"/>
      <c r="AS21" s="295"/>
      <c r="AT21" s="263"/>
      <c r="AU21" s="277"/>
      <c r="AV21" s="263"/>
      <c r="AW21" s="230"/>
      <c r="AX21" s="300"/>
      <c r="AY21" s="301"/>
      <c r="AZ21" s="230"/>
      <c r="BA21" s="300" t="s">
        <v>234</v>
      </c>
      <c r="BB21" s="295"/>
      <c r="BC21" s="228">
        <f t="shared" si="40"/>
        <v>0</v>
      </c>
      <c r="BD21" s="228">
        <f t="shared" si="41"/>
        <v>0</v>
      </c>
      <c r="BE21" s="228">
        <f t="shared" si="0"/>
        <v>1</v>
      </c>
      <c r="BF21" s="228" t="str">
        <f t="shared" si="19"/>
        <v>ALIVE</v>
      </c>
      <c r="BG21" s="208" t="str">
        <f t="shared" si="20"/>
        <v>Aucune</v>
      </c>
      <c r="BH21" s="208" t="str">
        <f t="shared" si="1"/>
        <v>Aucune</v>
      </c>
      <c r="BI21" s="208" t="str">
        <f t="shared" si="2"/>
        <v>Aucune</v>
      </c>
      <c r="BJ21" s="208" t="str">
        <f t="shared" si="3"/>
        <v>NON</v>
      </c>
      <c r="BK21" s="208" t="str">
        <f t="shared" si="4"/>
        <v>NON</v>
      </c>
      <c r="BL21" s="208" t="str">
        <f t="shared" si="5"/>
        <v>Inconnu</v>
      </c>
      <c r="BM21" s="208" t="str">
        <f t="shared" si="42"/>
        <v>Inconnu</v>
      </c>
      <c r="BN21" s="208" t="str">
        <f t="shared" si="43"/>
        <v>Inconnu</v>
      </c>
      <c r="BO21" s="208" t="str">
        <f t="shared" si="6"/>
        <v>Inconnu</v>
      </c>
      <c r="BP21" s="208" t="str">
        <f t="shared" si="44"/>
        <v>Inconnu</v>
      </c>
      <c r="BQ21" s="208" t="str">
        <f t="shared" si="45"/>
        <v>Inconnu</v>
      </c>
      <c r="BR21" s="208" t="str">
        <f t="shared" si="46"/>
        <v>Aucune</v>
      </c>
      <c r="BS21" s="208">
        <f t="shared" si="7"/>
        <v>0</v>
      </c>
      <c r="BT21" s="229" t="e">
        <f>VLOOKUP($I21,Lieu_Activité!$A:$B,2,FALSE)</f>
        <v>#N/A</v>
      </c>
      <c r="BU21" s="208" t="str">
        <f t="shared" si="8"/>
        <v>Aucun</v>
      </c>
      <c r="BV21" s="208" t="str">
        <f t="shared" si="9"/>
        <v>Aucun</v>
      </c>
      <c r="BW21" s="207" t="str">
        <f t="shared" si="10"/>
        <v>NON</v>
      </c>
      <c r="BX21" s="288"/>
    </row>
    <row r="22" spans="1:76" ht="12.95" customHeight="1" x14ac:dyDescent="0.25">
      <c r="A22" s="226" t="s">
        <v>212</v>
      </c>
      <c r="B22" s="268"/>
      <c r="C22" s="227"/>
      <c r="D22" s="257"/>
      <c r="E22" s="278">
        <f>(L22-D22)/365</f>
        <v>0</v>
      </c>
      <c r="F22" s="278" t="str">
        <f t="shared" si="12"/>
        <v xml:space="preserve"> </v>
      </c>
      <c r="G22" s="256"/>
      <c r="H22" s="256"/>
      <c r="I22" s="256"/>
      <c r="J22" s="256"/>
      <c r="K22" s="256"/>
      <c r="L22" s="257"/>
      <c r="M22" s="243"/>
      <c r="N22" s="256"/>
      <c r="O22" s="256"/>
      <c r="P22" s="265" t="str">
        <f>IFERROR(VLOOKUP(O22,Références!$K$11:$N$19,2)," ")</f>
        <v xml:space="preserve"> </v>
      </c>
      <c r="Q22" s="265" t="str">
        <f>IFERROR(VLOOKUP(O22,Références!$K$11:$N$19,3)," ")</f>
        <v xml:space="preserve"> </v>
      </c>
      <c r="R22" s="265" t="str">
        <f>IFERROR(VLOOKUP(O22,Références!$K$11:$N$19,4)," ")</f>
        <v xml:space="preserve"> </v>
      </c>
      <c r="S22" s="256"/>
      <c r="T22" s="256"/>
      <c r="U22" s="256"/>
      <c r="V22" s="256"/>
      <c r="W22" s="256"/>
      <c r="X22" s="257"/>
      <c r="Y22" s="256">
        <v>1</v>
      </c>
      <c r="Z22" s="256"/>
      <c r="AA22" s="256"/>
      <c r="AB22" s="235"/>
      <c r="AC22" s="235"/>
      <c r="AD22" s="235"/>
      <c r="AE22" s="235"/>
      <c r="AF22" s="235"/>
      <c r="AG22" s="235"/>
      <c r="AH22" s="235"/>
      <c r="AI22" s="235">
        <f t="shared" si="37"/>
        <v>0</v>
      </c>
      <c r="AJ22" s="257"/>
      <c r="AK22" s="256">
        <f t="shared" si="38"/>
        <v>0</v>
      </c>
      <c r="AL22" s="257"/>
      <c r="AM22" s="266">
        <f t="shared" si="39"/>
        <v>0</v>
      </c>
      <c r="AN22" s="256"/>
      <c r="AO22" s="276"/>
      <c r="AP22" s="261" t="str">
        <f t="shared" si="16"/>
        <v xml:space="preserve"> </v>
      </c>
      <c r="AQ22" s="256"/>
      <c r="AR22" s="295"/>
      <c r="AS22" s="295"/>
      <c r="AT22" s="263"/>
      <c r="AU22" s="277"/>
      <c r="AV22" s="263"/>
      <c r="AW22" s="230"/>
      <c r="AX22" s="300"/>
      <c r="AY22" s="301"/>
      <c r="AZ22" s="230"/>
      <c r="BA22" s="233" t="s">
        <v>246</v>
      </c>
      <c r="BB22" s="295"/>
      <c r="BC22" s="228">
        <f t="shared" si="40"/>
        <v>0</v>
      </c>
      <c r="BD22" s="228">
        <f t="shared" si="41"/>
        <v>0</v>
      </c>
      <c r="BE22" s="228">
        <f t="shared" si="0"/>
        <v>1</v>
      </c>
      <c r="BF22" s="228" t="str">
        <f t="shared" si="19"/>
        <v>ALIVE</v>
      </c>
      <c r="BG22" s="208" t="str">
        <f t="shared" si="20"/>
        <v>Aucune</v>
      </c>
      <c r="BH22" s="208" t="str">
        <f t="shared" si="1"/>
        <v>Aucune</v>
      </c>
      <c r="BI22" s="208" t="str">
        <f t="shared" si="2"/>
        <v>Aucune</v>
      </c>
      <c r="BJ22" s="208" t="str">
        <f t="shared" si="3"/>
        <v>NON</v>
      </c>
      <c r="BK22" s="208" t="str">
        <f t="shared" si="4"/>
        <v>NON</v>
      </c>
      <c r="BL22" s="208" t="str">
        <f t="shared" si="5"/>
        <v>Inconnu</v>
      </c>
      <c r="BM22" s="208" t="str">
        <f t="shared" si="42"/>
        <v>Inconnu</v>
      </c>
      <c r="BN22" s="208" t="str">
        <f t="shared" si="43"/>
        <v>Inconnu</v>
      </c>
      <c r="BO22" s="208" t="str">
        <f t="shared" si="6"/>
        <v>Inconnu</v>
      </c>
      <c r="BP22" s="208" t="str">
        <f t="shared" si="44"/>
        <v>Inconnu</v>
      </c>
      <c r="BQ22" s="208" t="str">
        <f t="shared" si="45"/>
        <v>Inconnu</v>
      </c>
      <c r="BR22" s="208" t="str">
        <f t="shared" si="46"/>
        <v>Aucune</v>
      </c>
      <c r="BS22" s="208">
        <f t="shared" si="7"/>
        <v>0</v>
      </c>
      <c r="BT22" s="229" t="e">
        <f>VLOOKUP($I22,Lieu_Activité!$A:$B,2,FALSE)</f>
        <v>#N/A</v>
      </c>
      <c r="BU22" s="208" t="str">
        <f t="shared" si="8"/>
        <v>Aucun</v>
      </c>
      <c r="BV22" s="208" t="str">
        <f t="shared" si="9"/>
        <v>Aucun</v>
      </c>
      <c r="BW22" s="207" t="str">
        <f t="shared" si="10"/>
        <v>NON</v>
      </c>
      <c r="BX22" s="288"/>
    </row>
    <row r="23" spans="1:76" ht="12.95" customHeight="1" x14ac:dyDescent="0.25">
      <c r="A23" s="226" t="s">
        <v>212</v>
      </c>
      <c r="B23" s="234"/>
      <c r="C23" s="227"/>
      <c r="D23" s="257"/>
      <c r="E23" s="278">
        <f t="shared" ref="E23:E24" si="47">(L23-D23)/365</f>
        <v>0</v>
      </c>
      <c r="F23" s="278" t="str">
        <f t="shared" si="12"/>
        <v xml:space="preserve"> </v>
      </c>
      <c r="G23" s="256"/>
      <c r="H23" s="256"/>
      <c r="I23" s="256"/>
      <c r="J23" s="256"/>
      <c r="K23" s="256"/>
      <c r="L23" s="257"/>
      <c r="M23" s="243"/>
      <c r="N23" s="256"/>
      <c r="O23" s="256"/>
      <c r="P23" s="265" t="str">
        <f>IFERROR(VLOOKUP(O23,Références!$K$11:$N$19,2)," ")</f>
        <v xml:space="preserve"> </v>
      </c>
      <c r="Q23" s="265" t="str">
        <f>IFERROR(VLOOKUP(O23,Références!$K$11:$N$19,3)," ")</f>
        <v xml:space="preserve"> </v>
      </c>
      <c r="R23" s="265" t="str">
        <f>IFERROR(VLOOKUP(O23,Références!$K$11:$N$19,4)," ")</f>
        <v xml:space="preserve"> </v>
      </c>
      <c r="S23" s="256"/>
      <c r="T23" s="256"/>
      <c r="U23" s="256"/>
      <c r="V23" s="256"/>
      <c r="W23" s="256"/>
      <c r="X23" s="257"/>
      <c r="Y23" s="256">
        <v>1</v>
      </c>
      <c r="Z23" s="256"/>
      <c r="AA23" s="256"/>
      <c r="AB23" s="235"/>
      <c r="AC23" s="235"/>
      <c r="AD23" s="235"/>
      <c r="AE23" s="235"/>
      <c r="AF23" s="235"/>
      <c r="AG23" s="235"/>
      <c r="AH23" s="235"/>
      <c r="AI23" s="235">
        <f t="shared" si="37"/>
        <v>0</v>
      </c>
      <c r="AJ23" s="257"/>
      <c r="AK23" s="256">
        <f t="shared" si="38"/>
        <v>0</v>
      </c>
      <c r="AL23" s="257"/>
      <c r="AM23" s="266">
        <f t="shared" si="39"/>
        <v>0</v>
      </c>
      <c r="AN23" s="256"/>
      <c r="AO23" s="276"/>
      <c r="AP23" s="261" t="str">
        <f t="shared" si="16"/>
        <v xml:space="preserve"> </v>
      </c>
      <c r="AQ23" s="256"/>
      <c r="AR23" s="295"/>
      <c r="AS23" s="295"/>
      <c r="AT23" s="263"/>
      <c r="AU23" s="277"/>
      <c r="AV23" s="263"/>
      <c r="AW23" s="230"/>
      <c r="AX23" s="300"/>
      <c r="AY23" s="301"/>
      <c r="AZ23" s="230"/>
      <c r="BA23" s="230" t="s">
        <v>234</v>
      </c>
      <c r="BB23" s="295"/>
      <c r="BC23" s="228">
        <f t="shared" si="40"/>
        <v>0</v>
      </c>
      <c r="BD23" s="228">
        <f t="shared" si="41"/>
        <v>0</v>
      </c>
      <c r="BE23" s="228">
        <f t="shared" si="0"/>
        <v>1</v>
      </c>
      <c r="BF23" s="228" t="str">
        <f t="shared" si="19"/>
        <v>ALIVE</v>
      </c>
      <c r="BG23" s="208" t="str">
        <f t="shared" si="20"/>
        <v>Aucune</v>
      </c>
      <c r="BH23" s="208" t="str">
        <f t="shared" si="1"/>
        <v>Aucune</v>
      </c>
      <c r="BI23" s="208" t="str">
        <f t="shared" si="2"/>
        <v>Aucune</v>
      </c>
      <c r="BJ23" s="208" t="str">
        <f t="shared" si="3"/>
        <v>NON</v>
      </c>
      <c r="BK23" s="208" t="str">
        <f t="shared" si="4"/>
        <v>NON</v>
      </c>
      <c r="BL23" s="208" t="str">
        <f t="shared" si="5"/>
        <v>Inconnu</v>
      </c>
      <c r="BM23" s="208" t="str">
        <f t="shared" si="42"/>
        <v>Inconnu</v>
      </c>
      <c r="BN23" s="208" t="str">
        <f t="shared" si="43"/>
        <v>Inconnu</v>
      </c>
      <c r="BO23" s="208" t="str">
        <f t="shared" si="6"/>
        <v>Inconnu</v>
      </c>
      <c r="BP23" s="208" t="str">
        <f t="shared" si="44"/>
        <v>Inconnu</v>
      </c>
      <c r="BQ23" s="208" t="str">
        <f t="shared" si="45"/>
        <v>Inconnu</v>
      </c>
      <c r="BR23" s="208" t="str">
        <f t="shared" si="46"/>
        <v>Aucune</v>
      </c>
      <c r="BS23" s="208">
        <f t="shared" si="7"/>
        <v>0</v>
      </c>
      <c r="BT23" s="229" t="e">
        <f>VLOOKUP($I23,Lieu_Activité!$A:$B,2,FALSE)</f>
        <v>#N/A</v>
      </c>
      <c r="BU23" s="208" t="str">
        <f t="shared" si="8"/>
        <v>Aucun</v>
      </c>
      <c r="BV23" s="208" t="str">
        <f t="shared" si="9"/>
        <v>Aucun</v>
      </c>
      <c r="BW23" s="207" t="str">
        <f t="shared" si="10"/>
        <v>NON</v>
      </c>
      <c r="BX23" s="288"/>
    </row>
    <row r="24" spans="1:76" ht="12.95" customHeight="1" x14ac:dyDescent="0.25">
      <c r="A24" s="226" t="s">
        <v>212</v>
      </c>
      <c r="B24" s="234"/>
      <c r="C24" s="227"/>
      <c r="D24" s="257"/>
      <c r="E24" s="278">
        <f t="shared" si="47"/>
        <v>0</v>
      </c>
      <c r="F24" s="278" t="str">
        <f t="shared" si="12"/>
        <v xml:space="preserve"> </v>
      </c>
      <c r="G24" s="256"/>
      <c r="H24" s="256"/>
      <c r="I24" s="256"/>
      <c r="J24" s="256"/>
      <c r="K24" s="256"/>
      <c r="L24" s="257"/>
      <c r="M24" s="243"/>
      <c r="N24" s="256"/>
      <c r="O24" s="256"/>
      <c r="P24" s="265" t="str">
        <f>IFERROR(VLOOKUP(O24,Références!$K$11:$N$19,2)," ")</f>
        <v xml:space="preserve"> </v>
      </c>
      <c r="Q24" s="265" t="str">
        <f>IFERROR(VLOOKUP(O24,Références!$K$11:$N$19,3)," ")</f>
        <v xml:space="preserve"> </v>
      </c>
      <c r="R24" s="265" t="str">
        <f>IFERROR(VLOOKUP(O24,Références!$K$11:$N$19,4)," ")</f>
        <v xml:space="preserve"> </v>
      </c>
      <c r="S24" s="256"/>
      <c r="T24" s="256"/>
      <c r="U24" s="256"/>
      <c r="V24" s="256"/>
      <c r="W24" s="256"/>
      <c r="X24" s="257"/>
      <c r="Y24" s="256">
        <v>1</v>
      </c>
      <c r="Z24" s="256"/>
      <c r="AA24" s="256"/>
      <c r="AB24" s="235"/>
      <c r="AC24" s="235"/>
      <c r="AD24" s="235"/>
      <c r="AE24" s="235"/>
      <c r="AF24" s="235"/>
      <c r="AG24" s="235"/>
      <c r="AH24" s="235"/>
      <c r="AI24" s="235">
        <f t="shared" si="37"/>
        <v>0</v>
      </c>
      <c r="AJ24" s="257"/>
      <c r="AK24" s="256">
        <f t="shared" si="38"/>
        <v>0</v>
      </c>
      <c r="AL24" s="257"/>
      <c r="AM24" s="266">
        <f t="shared" si="39"/>
        <v>0</v>
      </c>
      <c r="AN24" s="256"/>
      <c r="AO24" s="276"/>
      <c r="AP24" s="261" t="str">
        <f t="shared" si="16"/>
        <v xml:space="preserve"> </v>
      </c>
      <c r="AQ24" s="256"/>
      <c r="AR24" s="295"/>
      <c r="AS24" s="295"/>
      <c r="AT24" s="263"/>
      <c r="AU24" s="277"/>
      <c r="AV24" s="263"/>
      <c r="AW24" s="230"/>
      <c r="AX24" s="300"/>
      <c r="AY24" s="301"/>
      <c r="AZ24" s="230"/>
      <c r="BA24" s="300" t="s">
        <v>234</v>
      </c>
      <c r="BB24" s="295"/>
      <c r="BC24" s="228">
        <f t="shared" si="40"/>
        <v>0</v>
      </c>
      <c r="BD24" s="228">
        <f t="shared" si="41"/>
        <v>0</v>
      </c>
      <c r="BE24" s="228">
        <f t="shared" si="0"/>
        <v>1</v>
      </c>
      <c r="BF24" s="228" t="str">
        <f t="shared" si="19"/>
        <v>ALIVE</v>
      </c>
      <c r="BG24" s="208" t="str">
        <f t="shared" si="20"/>
        <v>Aucune</v>
      </c>
      <c r="BH24" s="208" t="str">
        <f t="shared" si="1"/>
        <v>Aucune</v>
      </c>
      <c r="BI24" s="208" t="str">
        <f t="shared" si="2"/>
        <v>Aucune</v>
      </c>
      <c r="BJ24" s="208" t="str">
        <f t="shared" si="3"/>
        <v>NON</v>
      </c>
      <c r="BK24" s="208" t="str">
        <f t="shared" si="4"/>
        <v>NON</v>
      </c>
      <c r="BL24" s="208" t="str">
        <f t="shared" si="5"/>
        <v>Inconnu</v>
      </c>
      <c r="BM24" s="208" t="str">
        <f t="shared" si="42"/>
        <v>Inconnu</v>
      </c>
      <c r="BN24" s="208" t="str">
        <f t="shared" si="43"/>
        <v>Inconnu</v>
      </c>
      <c r="BO24" s="208" t="str">
        <f t="shared" si="6"/>
        <v>Inconnu</v>
      </c>
      <c r="BP24" s="208" t="str">
        <f t="shared" si="44"/>
        <v>Inconnu</v>
      </c>
      <c r="BQ24" s="208" t="str">
        <f t="shared" si="45"/>
        <v>Inconnu</v>
      </c>
      <c r="BR24" s="208" t="str">
        <f t="shared" si="46"/>
        <v>Aucune</v>
      </c>
      <c r="BS24" s="208">
        <f t="shared" si="7"/>
        <v>0</v>
      </c>
      <c r="BT24" s="229" t="e">
        <f>VLOOKUP($I24,Lieu_Activité!$A:$B,2,FALSE)</f>
        <v>#N/A</v>
      </c>
      <c r="BU24" s="208" t="str">
        <f t="shared" si="8"/>
        <v>Aucun</v>
      </c>
      <c r="BV24" s="208" t="str">
        <f t="shared" si="9"/>
        <v>Aucun</v>
      </c>
      <c r="BW24" s="207" t="str">
        <f t="shared" si="10"/>
        <v>NON</v>
      </c>
      <c r="BX24" s="288"/>
    </row>
    <row r="25" spans="1:76" ht="12.95" customHeight="1" x14ac:dyDescent="0.25">
      <c r="A25" s="226" t="s">
        <v>212</v>
      </c>
      <c r="B25" s="234"/>
      <c r="C25" s="227"/>
      <c r="D25" s="257"/>
      <c r="E25" s="278">
        <f>(L25-D25)/365</f>
        <v>0</v>
      </c>
      <c r="F25" s="278" t="str">
        <f t="shared" si="12"/>
        <v xml:space="preserve"> </v>
      </c>
      <c r="G25" s="256"/>
      <c r="H25" s="256"/>
      <c r="I25" s="256"/>
      <c r="J25" s="256"/>
      <c r="K25" s="256"/>
      <c r="L25" s="257"/>
      <c r="M25" s="243"/>
      <c r="N25" s="256"/>
      <c r="O25" s="256"/>
      <c r="P25" s="265" t="str">
        <f>IFERROR(VLOOKUP(O25,Références!$K$11:$N$19,2)," ")</f>
        <v xml:space="preserve"> </v>
      </c>
      <c r="Q25" s="265" t="str">
        <f>IFERROR(VLOOKUP(O25,Références!$K$11:$N$19,3)," ")</f>
        <v xml:space="preserve"> </v>
      </c>
      <c r="R25" s="265" t="str">
        <f>IFERROR(VLOOKUP(O25,Références!$K$11:$N$19,4)," ")</f>
        <v xml:space="preserve"> </v>
      </c>
      <c r="S25" s="256"/>
      <c r="T25" s="256"/>
      <c r="U25" s="256"/>
      <c r="V25" s="256"/>
      <c r="W25" s="256"/>
      <c r="X25" s="257"/>
      <c r="Y25" s="256">
        <v>1</v>
      </c>
      <c r="Z25" s="256"/>
      <c r="AA25" s="256"/>
      <c r="AB25" s="235"/>
      <c r="AC25" s="235"/>
      <c r="AD25" s="274"/>
      <c r="AE25" s="235"/>
      <c r="AF25" s="235"/>
      <c r="AG25" s="235"/>
      <c r="AH25" s="235"/>
      <c r="AI25" s="235">
        <f t="shared" si="37"/>
        <v>0</v>
      </c>
      <c r="AJ25" s="257"/>
      <c r="AK25" s="256">
        <f t="shared" si="38"/>
        <v>0</v>
      </c>
      <c r="AL25" s="257"/>
      <c r="AM25" s="266">
        <f t="shared" si="39"/>
        <v>0</v>
      </c>
      <c r="AN25" s="256"/>
      <c r="AO25" s="276"/>
      <c r="AP25" s="261" t="str">
        <f t="shared" si="16"/>
        <v xml:space="preserve"> </v>
      </c>
      <c r="AQ25" s="256"/>
      <c r="AR25" s="295"/>
      <c r="AS25" s="295"/>
      <c r="AT25" s="263"/>
      <c r="AU25" s="277"/>
      <c r="AV25" s="263"/>
      <c r="AW25" s="230"/>
      <c r="AX25" s="300"/>
      <c r="AY25" s="301"/>
      <c r="AZ25" s="230"/>
      <c r="BA25" s="230" t="s">
        <v>234</v>
      </c>
      <c r="BB25" s="295"/>
      <c r="BC25" s="228">
        <f t="shared" si="40"/>
        <v>0</v>
      </c>
      <c r="BD25" s="228">
        <f t="shared" si="41"/>
        <v>0</v>
      </c>
      <c r="BE25" s="228">
        <f t="shared" si="0"/>
        <v>1</v>
      </c>
      <c r="BF25" s="228" t="str">
        <f t="shared" si="19"/>
        <v>ALIVE</v>
      </c>
      <c r="BG25" s="208" t="str">
        <f t="shared" si="20"/>
        <v>Aucune</v>
      </c>
      <c r="BH25" s="208" t="str">
        <f t="shared" si="1"/>
        <v>Aucune</v>
      </c>
      <c r="BI25" s="208" t="str">
        <f t="shared" si="2"/>
        <v>Aucune</v>
      </c>
      <c r="BJ25" s="208" t="str">
        <f t="shared" si="3"/>
        <v>NON</v>
      </c>
      <c r="BK25" s="208" t="str">
        <f t="shared" si="4"/>
        <v>NON</v>
      </c>
      <c r="BL25" s="208" t="str">
        <f t="shared" si="5"/>
        <v>Inconnu</v>
      </c>
      <c r="BM25" s="208" t="str">
        <f t="shared" si="42"/>
        <v>Inconnu</v>
      </c>
      <c r="BN25" s="208" t="str">
        <f t="shared" si="43"/>
        <v>Inconnu</v>
      </c>
      <c r="BO25" s="208" t="str">
        <f t="shared" si="6"/>
        <v>Inconnu</v>
      </c>
      <c r="BP25" s="208" t="str">
        <f t="shared" si="44"/>
        <v>Inconnu</v>
      </c>
      <c r="BQ25" s="208" t="str">
        <f t="shared" si="45"/>
        <v>Inconnu</v>
      </c>
      <c r="BR25" s="208" t="str">
        <f t="shared" si="46"/>
        <v>Aucune</v>
      </c>
      <c r="BS25" s="208">
        <f t="shared" si="7"/>
        <v>0</v>
      </c>
      <c r="BT25" s="229" t="e">
        <f>VLOOKUP($I25,Lieu_Activité!$A:$B,2,FALSE)</f>
        <v>#N/A</v>
      </c>
      <c r="BU25" s="208" t="str">
        <f t="shared" si="8"/>
        <v>Aucun</v>
      </c>
      <c r="BV25" s="208" t="str">
        <f t="shared" si="9"/>
        <v>Aucun</v>
      </c>
      <c r="BW25" s="207" t="str">
        <f t="shared" si="10"/>
        <v>NON</v>
      </c>
      <c r="BX25" s="288"/>
    </row>
    <row r="26" spans="1:76" ht="12.95" customHeight="1" x14ac:dyDescent="0.25">
      <c r="A26" s="226" t="s">
        <v>212</v>
      </c>
      <c r="B26" s="234"/>
      <c r="C26" s="227"/>
      <c r="D26" s="257"/>
      <c r="E26" s="278">
        <f>(L26-D26)/365</f>
        <v>0</v>
      </c>
      <c r="F26" s="278" t="str">
        <f t="shared" si="12"/>
        <v xml:space="preserve"> </v>
      </c>
      <c r="G26" s="256"/>
      <c r="H26" s="256"/>
      <c r="I26" s="256"/>
      <c r="J26" s="256"/>
      <c r="K26" s="256"/>
      <c r="L26" s="257"/>
      <c r="M26" s="243"/>
      <c r="N26" s="256"/>
      <c r="O26" s="256"/>
      <c r="P26" s="265" t="str">
        <f>IFERROR(VLOOKUP(O26,Références!$K$11:$N$19,2)," ")</f>
        <v xml:space="preserve"> </v>
      </c>
      <c r="Q26" s="265" t="str">
        <f>IFERROR(VLOOKUP(O26,Références!$K$11:$N$19,3)," ")</f>
        <v xml:space="preserve"> </v>
      </c>
      <c r="R26" s="265" t="str">
        <f>IFERROR(VLOOKUP(O26,Références!$K$11:$N$19,4)," ")</f>
        <v xml:space="preserve"> </v>
      </c>
      <c r="S26" s="256"/>
      <c r="T26" s="256"/>
      <c r="U26" s="256"/>
      <c r="V26" s="256"/>
      <c r="W26" s="256"/>
      <c r="X26" s="257"/>
      <c r="Y26" s="256">
        <v>1</v>
      </c>
      <c r="Z26" s="256"/>
      <c r="AA26" s="256"/>
      <c r="AB26" s="235"/>
      <c r="AC26" s="235"/>
      <c r="AD26" s="235"/>
      <c r="AE26" s="235"/>
      <c r="AF26" s="235"/>
      <c r="AG26" s="235"/>
      <c r="AH26" s="235"/>
      <c r="AI26" s="235">
        <f t="shared" si="37"/>
        <v>0</v>
      </c>
      <c r="AJ26" s="257"/>
      <c r="AK26" s="256">
        <f t="shared" si="38"/>
        <v>0</v>
      </c>
      <c r="AL26" s="257"/>
      <c r="AM26" s="266">
        <f t="shared" si="39"/>
        <v>0</v>
      </c>
      <c r="AN26" s="256"/>
      <c r="AO26" s="276"/>
      <c r="AP26" s="261" t="str">
        <f t="shared" si="16"/>
        <v xml:space="preserve"> </v>
      </c>
      <c r="AQ26" s="256"/>
      <c r="AR26" s="295"/>
      <c r="AS26" s="295"/>
      <c r="AT26" s="263"/>
      <c r="AU26" s="277"/>
      <c r="AV26" s="263"/>
      <c r="AW26" s="230"/>
      <c r="AX26" s="300"/>
      <c r="AY26" s="301"/>
      <c r="AZ26" s="230"/>
      <c r="BA26" s="300"/>
      <c r="BB26" s="295"/>
      <c r="BC26" s="228">
        <f t="shared" si="40"/>
        <v>0</v>
      </c>
      <c r="BD26" s="228">
        <f t="shared" si="41"/>
        <v>0</v>
      </c>
      <c r="BE26" s="228">
        <f t="shared" si="0"/>
        <v>1</v>
      </c>
      <c r="BF26" s="228" t="str">
        <f t="shared" si="19"/>
        <v>ALIVE</v>
      </c>
      <c r="BG26" s="208" t="str">
        <f t="shared" si="20"/>
        <v>Aucune</v>
      </c>
      <c r="BH26" s="208" t="str">
        <f t="shared" si="1"/>
        <v>Aucune</v>
      </c>
      <c r="BI26" s="208" t="str">
        <f t="shared" si="2"/>
        <v>Aucune</v>
      </c>
      <c r="BJ26" s="208" t="str">
        <f t="shared" si="3"/>
        <v>NON</v>
      </c>
      <c r="BK26" s="208" t="str">
        <f t="shared" si="4"/>
        <v>NON</v>
      </c>
      <c r="BL26" s="208" t="str">
        <f t="shared" si="5"/>
        <v>Inconnu</v>
      </c>
      <c r="BM26" s="208" t="str">
        <f t="shared" si="42"/>
        <v>Inconnu</v>
      </c>
      <c r="BN26" s="208" t="str">
        <f t="shared" si="43"/>
        <v>Inconnu</v>
      </c>
      <c r="BO26" s="208" t="str">
        <f t="shared" si="6"/>
        <v>Inconnu</v>
      </c>
      <c r="BP26" s="208" t="str">
        <f t="shared" si="44"/>
        <v>Inconnu</v>
      </c>
      <c r="BQ26" s="208" t="str">
        <f t="shared" si="45"/>
        <v>Inconnu</v>
      </c>
      <c r="BR26" s="208" t="str">
        <f t="shared" si="46"/>
        <v>Aucune</v>
      </c>
      <c r="BS26" s="208">
        <f t="shared" si="7"/>
        <v>0</v>
      </c>
      <c r="BT26" s="229" t="e">
        <f>VLOOKUP($I26,Lieu_Activité!$A:$B,2,FALSE)</f>
        <v>#N/A</v>
      </c>
      <c r="BU26" s="208" t="str">
        <f t="shared" si="8"/>
        <v>Aucun</v>
      </c>
      <c r="BV26" s="208" t="str">
        <f t="shared" si="9"/>
        <v>Aucun</v>
      </c>
      <c r="BW26" s="207" t="str">
        <f t="shared" si="10"/>
        <v>NON</v>
      </c>
      <c r="BX26" s="288"/>
    </row>
    <row r="27" spans="1:76" ht="12.95" customHeight="1" x14ac:dyDescent="0.25">
      <c r="A27" s="226" t="s">
        <v>212</v>
      </c>
      <c r="B27" s="234"/>
      <c r="C27" s="227"/>
      <c r="D27" s="257"/>
      <c r="E27" s="278">
        <f>(L27-D27)/365</f>
        <v>0</v>
      </c>
      <c r="F27" s="278" t="str">
        <f t="shared" si="12"/>
        <v xml:space="preserve"> </v>
      </c>
      <c r="G27" s="256"/>
      <c r="H27" s="256"/>
      <c r="I27" s="256"/>
      <c r="J27" s="256"/>
      <c r="K27" s="256"/>
      <c r="L27" s="257"/>
      <c r="M27" s="243"/>
      <c r="N27" s="256"/>
      <c r="O27" s="256"/>
      <c r="P27" s="265" t="str">
        <f>IFERROR(VLOOKUP(O27,Références!$K$11:$N$19,2)," ")</f>
        <v xml:space="preserve"> </v>
      </c>
      <c r="Q27" s="265" t="str">
        <f>IFERROR(VLOOKUP(O27,Références!$K$11:$N$19,3)," ")</f>
        <v xml:space="preserve"> </v>
      </c>
      <c r="R27" s="265" t="str">
        <f>IFERROR(VLOOKUP(O27,Références!$K$11:$N$19,4)," ")</f>
        <v xml:space="preserve"> </v>
      </c>
      <c r="S27" s="256"/>
      <c r="T27" s="256"/>
      <c r="U27" s="256"/>
      <c r="V27" s="256"/>
      <c r="W27" s="256"/>
      <c r="X27" s="257"/>
      <c r="Y27" s="256">
        <v>1</v>
      </c>
      <c r="Z27" s="256"/>
      <c r="AA27" s="256"/>
      <c r="AB27" s="235"/>
      <c r="AC27" s="235"/>
      <c r="AD27" s="235"/>
      <c r="AE27" s="235"/>
      <c r="AF27" s="235"/>
      <c r="AG27" s="235"/>
      <c r="AH27" s="235"/>
      <c r="AI27" s="235">
        <f t="shared" si="37"/>
        <v>0</v>
      </c>
      <c r="AJ27" s="257"/>
      <c r="AK27" s="256">
        <f t="shared" si="38"/>
        <v>0</v>
      </c>
      <c r="AL27" s="257"/>
      <c r="AM27" s="266">
        <f t="shared" si="39"/>
        <v>0</v>
      </c>
      <c r="AN27" s="256"/>
      <c r="AO27" s="276"/>
      <c r="AP27" s="261" t="str">
        <f t="shared" si="16"/>
        <v xml:space="preserve"> </v>
      </c>
      <c r="AQ27" s="256"/>
      <c r="AR27" s="295"/>
      <c r="AS27" s="295"/>
      <c r="AT27" s="263"/>
      <c r="AU27" s="277"/>
      <c r="AV27" s="263"/>
      <c r="AW27" s="230"/>
      <c r="AX27" s="300"/>
      <c r="AY27" s="301"/>
      <c r="AZ27" s="230"/>
      <c r="BA27" s="230" t="s">
        <v>234</v>
      </c>
      <c r="BB27" s="295"/>
      <c r="BC27" s="228">
        <f t="shared" si="40"/>
        <v>0</v>
      </c>
      <c r="BD27" s="228">
        <f t="shared" si="41"/>
        <v>0</v>
      </c>
      <c r="BE27" s="228">
        <f t="shared" si="0"/>
        <v>1</v>
      </c>
      <c r="BF27" s="228" t="str">
        <f t="shared" si="19"/>
        <v>ALIVE</v>
      </c>
      <c r="BG27" s="208" t="str">
        <f t="shared" si="20"/>
        <v>Aucune</v>
      </c>
      <c r="BH27" s="208" t="str">
        <f t="shared" si="1"/>
        <v>Aucune</v>
      </c>
      <c r="BI27" s="208" t="str">
        <f t="shared" si="2"/>
        <v>Aucune</v>
      </c>
      <c r="BJ27" s="208" t="str">
        <f t="shared" si="3"/>
        <v>NON</v>
      </c>
      <c r="BK27" s="208" t="str">
        <f t="shared" si="4"/>
        <v>NON</v>
      </c>
      <c r="BL27" s="208" t="str">
        <f t="shared" si="5"/>
        <v>Inconnu</v>
      </c>
      <c r="BM27" s="208" t="str">
        <f t="shared" si="42"/>
        <v>Inconnu</v>
      </c>
      <c r="BN27" s="208" t="str">
        <f t="shared" si="43"/>
        <v>Inconnu</v>
      </c>
      <c r="BO27" s="208" t="str">
        <f t="shared" si="6"/>
        <v>Inconnu</v>
      </c>
      <c r="BP27" s="208" t="str">
        <f t="shared" si="44"/>
        <v>Inconnu</v>
      </c>
      <c r="BQ27" s="208" t="str">
        <f t="shared" si="45"/>
        <v>Inconnu</v>
      </c>
      <c r="BR27" s="208" t="str">
        <f t="shared" si="46"/>
        <v>Aucune</v>
      </c>
      <c r="BS27" s="208">
        <f t="shared" si="7"/>
        <v>0</v>
      </c>
      <c r="BT27" s="229" t="e">
        <f>VLOOKUP($I27,Lieu_Activité!$A:$B,2,FALSE)</f>
        <v>#N/A</v>
      </c>
      <c r="BU27" s="208" t="str">
        <f t="shared" si="8"/>
        <v>Aucun</v>
      </c>
      <c r="BV27" s="208" t="str">
        <f t="shared" si="9"/>
        <v>Aucun</v>
      </c>
      <c r="BW27" s="207" t="str">
        <f t="shared" si="10"/>
        <v>NON</v>
      </c>
      <c r="BX27" s="288"/>
    </row>
    <row r="28" spans="1:76" ht="12.95" customHeight="1" x14ac:dyDescent="0.25">
      <c r="A28" s="226" t="s">
        <v>212</v>
      </c>
      <c r="B28" s="234"/>
      <c r="C28" s="227"/>
      <c r="D28" s="257"/>
      <c r="E28" s="278">
        <f>(L28-D28)/365</f>
        <v>0</v>
      </c>
      <c r="F28" s="278" t="str">
        <f t="shared" si="12"/>
        <v xml:space="preserve"> </v>
      </c>
      <c r="G28" s="256"/>
      <c r="H28" s="256"/>
      <c r="I28" s="256"/>
      <c r="J28" s="256"/>
      <c r="K28" s="256"/>
      <c r="L28" s="257"/>
      <c r="M28" s="243"/>
      <c r="N28" s="256"/>
      <c r="O28" s="256"/>
      <c r="P28" s="265" t="str">
        <f>IFERROR(VLOOKUP(O28,Références!$K$11:$N$19,2)," ")</f>
        <v xml:space="preserve"> </v>
      </c>
      <c r="Q28" s="265" t="str">
        <f>IFERROR(VLOOKUP(O28,Références!$K$11:$N$19,3)," ")</f>
        <v xml:space="preserve"> </v>
      </c>
      <c r="R28" s="265" t="str">
        <f>IFERROR(VLOOKUP(O28,Références!$K$11:$N$19,4)," ")</f>
        <v xml:space="preserve"> </v>
      </c>
      <c r="S28" s="256"/>
      <c r="T28" s="256"/>
      <c r="U28" s="256"/>
      <c r="V28" s="256"/>
      <c r="W28" s="256"/>
      <c r="X28" s="257"/>
      <c r="Y28" s="256">
        <v>1</v>
      </c>
      <c r="Z28" s="256"/>
      <c r="AA28" s="256"/>
      <c r="AB28" s="235"/>
      <c r="AC28" s="235"/>
      <c r="AD28" s="235"/>
      <c r="AE28" s="235"/>
      <c r="AF28" s="235"/>
      <c r="AG28" s="235"/>
      <c r="AH28" s="235"/>
      <c r="AI28" s="235">
        <f t="shared" si="37"/>
        <v>0</v>
      </c>
      <c r="AJ28" s="257"/>
      <c r="AK28" s="256">
        <f t="shared" si="38"/>
        <v>0</v>
      </c>
      <c r="AL28" s="257"/>
      <c r="AM28" s="266">
        <f t="shared" si="39"/>
        <v>0</v>
      </c>
      <c r="AN28" s="256"/>
      <c r="AO28" s="276"/>
      <c r="AP28" s="261" t="str">
        <f t="shared" si="16"/>
        <v xml:space="preserve"> </v>
      </c>
      <c r="AQ28" s="256"/>
      <c r="AR28" s="295"/>
      <c r="AS28" s="295"/>
      <c r="AT28" s="263"/>
      <c r="AU28" s="277"/>
      <c r="AV28" s="263"/>
      <c r="AW28" s="230"/>
      <c r="AX28" s="300"/>
      <c r="AY28" s="301"/>
      <c r="AZ28" s="230"/>
      <c r="BA28" s="300" t="s">
        <v>234</v>
      </c>
      <c r="BB28" s="295"/>
      <c r="BC28" s="228">
        <f t="shared" si="40"/>
        <v>0</v>
      </c>
      <c r="BD28" s="228">
        <f t="shared" si="41"/>
        <v>0</v>
      </c>
      <c r="BE28" s="228">
        <f t="shared" si="0"/>
        <v>1</v>
      </c>
      <c r="BF28" s="228" t="str">
        <f t="shared" si="19"/>
        <v>ALIVE</v>
      </c>
      <c r="BG28" s="208" t="str">
        <f t="shared" si="20"/>
        <v>Aucune</v>
      </c>
      <c r="BH28" s="208" t="str">
        <f t="shared" si="1"/>
        <v>Aucune</v>
      </c>
      <c r="BI28" s="208" t="str">
        <f t="shared" si="2"/>
        <v>Aucune</v>
      </c>
      <c r="BJ28" s="208" t="str">
        <f t="shared" si="3"/>
        <v>NON</v>
      </c>
      <c r="BK28" s="208" t="str">
        <f t="shared" si="4"/>
        <v>NON</v>
      </c>
      <c r="BL28" s="208" t="str">
        <f t="shared" si="5"/>
        <v>Inconnu</v>
      </c>
      <c r="BM28" s="208" t="str">
        <f t="shared" si="42"/>
        <v>Inconnu</v>
      </c>
      <c r="BN28" s="208" t="str">
        <f t="shared" si="43"/>
        <v>Inconnu</v>
      </c>
      <c r="BO28" s="208" t="str">
        <f t="shared" si="6"/>
        <v>Inconnu</v>
      </c>
      <c r="BP28" s="208" t="str">
        <f t="shared" si="44"/>
        <v>Inconnu</v>
      </c>
      <c r="BQ28" s="208" t="str">
        <f t="shared" si="45"/>
        <v>Inconnu</v>
      </c>
      <c r="BR28" s="208" t="str">
        <f t="shared" si="46"/>
        <v>Aucune</v>
      </c>
      <c r="BS28" s="208">
        <f t="shared" si="7"/>
        <v>0</v>
      </c>
      <c r="BT28" s="229" t="e">
        <f>VLOOKUP($I28,Lieu_Activité!$A:$B,2,FALSE)</f>
        <v>#N/A</v>
      </c>
      <c r="BU28" s="208" t="str">
        <f t="shared" si="8"/>
        <v>Aucun</v>
      </c>
      <c r="BV28" s="208" t="str">
        <f t="shared" si="9"/>
        <v>Aucun</v>
      </c>
      <c r="BW28" s="207" t="str">
        <f t="shared" si="10"/>
        <v>NON</v>
      </c>
      <c r="BX28" s="288"/>
    </row>
    <row r="29" spans="1:76" ht="12.95" customHeight="1" x14ac:dyDescent="0.25">
      <c r="A29" s="231" t="s">
        <v>213</v>
      </c>
      <c r="B29" s="234"/>
      <c r="C29" s="227"/>
      <c r="D29" s="257"/>
      <c r="E29" s="278">
        <f t="shared" ref="E29:E42" si="48">(L29-D29)/365</f>
        <v>0</v>
      </c>
      <c r="F29" s="278" t="str">
        <f t="shared" si="12"/>
        <v xml:space="preserve"> </v>
      </c>
      <c r="G29" s="256"/>
      <c r="H29" s="256"/>
      <c r="I29" s="256"/>
      <c r="J29" s="256"/>
      <c r="K29" s="256"/>
      <c r="L29" s="257"/>
      <c r="M29" s="243"/>
      <c r="N29" s="232"/>
      <c r="O29" s="271"/>
      <c r="P29" s="265" t="str">
        <f>IFERROR(VLOOKUP(O29,Références!$K$11:$N$19,2)," ")</f>
        <v xml:space="preserve"> </v>
      </c>
      <c r="Q29" s="265" t="str">
        <f>IFERROR(VLOOKUP(O29,Références!$K$11:$N$19,3)," ")</f>
        <v xml:space="preserve"> </v>
      </c>
      <c r="R29" s="265" t="str">
        <f>IFERROR(VLOOKUP(O29,Références!$K$11:$N$19,4)," ")</f>
        <v xml:space="preserve"> </v>
      </c>
      <c r="S29" s="256"/>
      <c r="T29" s="256"/>
      <c r="U29" s="256"/>
      <c r="V29" s="256"/>
      <c r="W29" s="256"/>
      <c r="X29" s="257"/>
      <c r="Y29" s="256">
        <v>1</v>
      </c>
      <c r="Z29" s="256"/>
      <c r="AA29" s="256"/>
      <c r="AB29" s="235"/>
      <c r="AC29" s="235"/>
      <c r="AD29" s="274"/>
      <c r="AE29" s="235"/>
      <c r="AF29" s="235"/>
      <c r="AG29" s="235"/>
      <c r="AH29" s="235"/>
      <c r="AI29" s="235">
        <f t="shared" ref="AI29:AI42" si="49">SUM(AF29,AH29)</f>
        <v>0</v>
      </c>
      <c r="AJ29" s="257"/>
      <c r="AK29" s="256">
        <f t="shared" si="38"/>
        <v>0</v>
      </c>
      <c r="AL29" s="257"/>
      <c r="AM29" s="266">
        <f t="shared" ref="AM29:AM42" si="50">(AL29-L29)</f>
        <v>0</v>
      </c>
      <c r="AN29" s="256"/>
      <c r="AO29" s="276"/>
      <c r="AP29" s="261" t="str">
        <f t="shared" si="16"/>
        <v xml:space="preserve"> </v>
      </c>
      <c r="AQ29" s="256"/>
      <c r="AR29" s="295"/>
      <c r="AS29" s="295"/>
      <c r="AT29" s="263"/>
      <c r="AU29" s="277"/>
      <c r="AV29" s="263"/>
      <c r="AW29" s="230"/>
      <c r="AX29" s="300"/>
      <c r="AY29" s="301"/>
      <c r="AZ29" s="230"/>
      <c r="BA29" s="300" t="s">
        <v>234</v>
      </c>
      <c r="BB29" s="295"/>
      <c r="BC29" s="228">
        <f t="shared" ref="BC29:BC42" si="51">IF(BG29="Aucune",0,1)</f>
        <v>0</v>
      </c>
      <c r="BD29" s="228">
        <f t="shared" ref="BD29:BD42" si="52">IF(BH29="Aucune",0,1)</f>
        <v>0</v>
      </c>
      <c r="BE29" s="228">
        <f t="shared" si="0"/>
        <v>1</v>
      </c>
      <c r="BF29" s="228" t="str">
        <f t="shared" si="19"/>
        <v>ALIVE</v>
      </c>
      <c r="BG29" s="208" t="str">
        <f t="shared" si="20"/>
        <v>Aucune</v>
      </c>
      <c r="BH29" s="208" t="str">
        <f t="shared" si="1"/>
        <v>Aucune</v>
      </c>
      <c r="BI29" s="208" t="str">
        <f t="shared" si="2"/>
        <v>Aucune</v>
      </c>
      <c r="BJ29" s="208" t="str">
        <f t="shared" si="3"/>
        <v>NON</v>
      </c>
      <c r="BK29" s="208" t="str">
        <f t="shared" si="4"/>
        <v>NON</v>
      </c>
      <c r="BL29" s="208" t="str">
        <f t="shared" si="5"/>
        <v>Inconnu</v>
      </c>
      <c r="BM29" s="208" t="str">
        <f t="shared" ref="BM29:BM42" si="53">IF($O29&lt;&gt;"HTX",IF($O29&lt;&gt;"LVAD",BL29,"Inconnu"),"Inconnu")</f>
        <v>Inconnu</v>
      </c>
      <c r="BN29" s="208" t="str">
        <f t="shared" ref="BN29:BN42" si="54">IF($O29="HTX",BL29,IF($O29="LVAD",BL29,"Inconnu"))</f>
        <v>Inconnu</v>
      </c>
      <c r="BO29" s="208" t="str">
        <f t="shared" si="6"/>
        <v>Inconnu</v>
      </c>
      <c r="BP29" s="208" t="str">
        <f t="shared" ref="BP29:BP42" si="55">IF($O29&lt;&gt;"HTX",IF($O29&lt;&gt;"LVAD",BO29,"Inconnu"),"Inconnu")</f>
        <v>Inconnu</v>
      </c>
      <c r="BQ29" s="208" t="str">
        <f t="shared" ref="BQ29:BQ42" si="56">IF($O29="HTX",BO29,IF($O29="LVAD",BO29,"Inconnu"))</f>
        <v>Inconnu</v>
      </c>
      <c r="BR29" s="208" t="str">
        <f t="shared" ref="BR29:BR42" si="57">IF(BH29="Aucune",IF(BI29="Aucune","Aucune","Transfusé"),"Transfusé")</f>
        <v>Aucune</v>
      </c>
      <c r="BS29" s="208">
        <f t="shared" si="7"/>
        <v>0</v>
      </c>
      <c r="BT29" s="229" t="e">
        <f>VLOOKUP($I29,Lieu_Activité!$A:$B,2,FALSE)</f>
        <v>#N/A</v>
      </c>
      <c r="BU29" s="208" t="str">
        <f t="shared" si="8"/>
        <v>Aucun</v>
      </c>
      <c r="BV29" s="208" t="str">
        <f t="shared" si="9"/>
        <v>Aucun</v>
      </c>
      <c r="BW29" s="207" t="str">
        <f t="shared" si="10"/>
        <v>NON</v>
      </c>
      <c r="BX29" s="288"/>
    </row>
    <row r="30" spans="1:76" ht="12.95" customHeight="1" x14ac:dyDescent="0.25">
      <c r="A30" s="231" t="s">
        <v>213</v>
      </c>
      <c r="B30" s="234"/>
      <c r="C30" s="227"/>
      <c r="D30" s="257"/>
      <c r="E30" s="278">
        <f t="shared" si="48"/>
        <v>0</v>
      </c>
      <c r="F30" s="278" t="str">
        <f t="shared" si="12"/>
        <v xml:space="preserve"> </v>
      </c>
      <c r="G30" s="256"/>
      <c r="H30" s="256"/>
      <c r="I30" s="256"/>
      <c r="J30" s="256"/>
      <c r="K30" s="256"/>
      <c r="L30" s="257"/>
      <c r="M30" s="243"/>
      <c r="N30" s="232"/>
      <c r="O30" s="232"/>
      <c r="P30" s="265" t="str">
        <f>IFERROR(VLOOKUP(O30,Références!$K$11:$N$19,2)," ")</f>
        <v xml:space="preserve"> </v>
      </c>
      <c r="Q30" s="265" t="str">
        <f>IFERROR(VLOOKUP(O30,Références!$K$11:$N$19,3)," ")</f>
        <v xml:space="preserve"> </v>
      </c>
      <c r="R30" s="265" t="str">
        <f>IFERROR(VLOOKUP(O30,Références!$K$11:$N$19,4)," ")</f>
        <v xml:space="preserve"> </v>
      </c>
      <c r="S30" s="256"/>
      <c r="T30" s="256"/>
      <c r="U30" s="256"/>
      <c r="V30" s="256"/>
      <c r="W30" s="256"/>
      <c r="X30" s="257"/>
      <c r="Y30" s="256">
        <v>1</v>
      </c>
      <c r="Z30" s="256"/>
      <c r="AA30" s="256"/>
      <c r="AB30" s="235"/>
      <c r="AC30" s="235"/>
      <c r="AD30" s="235"/>
      <c r="AE30" s="235"/>
      <c r="AF30" s="235"/>
      <c r="AG30" s="235"/>
      <c r="AH30" s="235"/>
      <c r="AI30" s="235">
        <f t="shared" si="49"/>
        <v>0</v>
      </c>
      <c r="AJ30" s="257"/>
      <c r="AK30" s="256">
        <f t="shared" si="38"/>
        <v>0</v>
      </c>
      <c r="AL30" s="257"/>
      <c r="AM30" s="266">
        <f t="shared" si="50"/>
        <v>0</v>
      </c>
      <c r="AN30" s="256"/>
      <c r="AO30" s="276"/>
      <c r="AP30" s="261" t="str">
        <f>IF(AO30=1,"ELECTIVE",IF(AO30=2,"URGENCY",IF(AO30=3,"EMERGENCY",IF(AO30=4,"SALVAGE"," "))))</f>
        <v xml:space="preserve"> </v>
      </c>
      <c r="AQ30" s="256"/>
      <c r="AR30" s="295"/>
      <c r="AS30" s="295"/>
      <c r="AT30" s="263"/>
      <c r="AU30" s="277"/>
      <c r="AV30" s="263"/>
      <c r="AW30" s="230"/>
      <c r="AX30" s="300"/>
      <c r="AY30" s="301"/>
      <c r="AZ30" s="230"/>
      <c r="BA30" s="300" t="s">
        <v>234</v>
      </c>
      <c r="BB30" s="295"/>
      <c r="BC30" s="228">
        <f t="shared" si="51"/>
        <v>0</v>
      </c>
      <c r="BD30" s="228">
        <f t="shared" si="52"/>
        <v>0</v>
      </c>
      <c r="BE30" s="228">
        <f t="shared" si="0"/>
        <v>1</v>
      </c>
      <c r="BF30" s="228" t="str">
        <f t="shared" si="19"/>
        <v>ALIVE</v>
      </c>
      <c r="BG30" s="208" t="str">
        <f t="shared" si="20"/>
        <v>Aucune</v>
      </c>
      <c r="BH30" s="208" t="str">
        <f t="shared" si="1"/>
        <v>Aucune</v>
      </c>
      <c r="BI30" s="208" t="str">
        <f t="shared" si="2"/>
        <v>Aucune</v>
      </c>
      <c r="BJ30" s="208" t="str">
        <f t="shared" si="3"/>
        <v>NON</v>
      </c>
      <c r="BK30" s="208" t="str">
        <f t="shared" si="4"/>
        <v>NON</v>
      </c>
      <c r="BL30" s="208" t="str">
        <f t="shared" si="5"/>
        <v>Inconnu</v>
      </c>
      <c r="BM30" s="208" t="str">
        <f t="shared" si="53"/>
        <v>Inconnu</v>
      </c>
      <c r="BN30" s="208" t="str">
        <f t="shared" si="54"/>
        <v>Inconnu</v>
      </c>
      <c r="BO30" s="208" t="str">
        <f t="shared" si="6"/>
        <v>Inconnu</v>
      </c>
      <c r="BP30" s="208" t="str">
        <f t="shared" si="55"/>
        <v>Inconnu</v>
      </c>
      <c r="BQ30" s="208" t="str">
        <f t="shared" si="56"/>
        <v>Inconnu</v>
      </c>
      <c r="BR30" s="208" t="str">
        <f t="shared" si="57"/>
        <v>Aucune</v>
      </c>
      <c r="BS30" s="208">
        <f t="shared" si="7"/>
        <v>0</v>
      </c>
      <c r="BT30" s="229" t="e">
        <f>VLOOKUP($I30,Lieu_Activité!$A:$B,2,FALSE)</f>
        <v>#N/A</v>
      </c>
      <c r="BU30" s="208" t="str">
        <f t="shared" si="8"/>
        <v>Aucun</v>
      </c>
      <c r="BV30" s="208" t="str">
        <f t="shared" si="9"/>
        <v>Aucun</v>
      </c>
      <c r="BW30" s="207" t="str">
        <f t="shared" si="10"/>
        <v>NON</v>
      </c>
      <c r="BX30" s="288"/>
    </row>
    <row r="31" spans="1:76" ht="12.95" customHeight="1" x14ac:dyDescent="0.25">
      <c r="A31" s="231" t="s">
        <v>213</v>
      </c>
      <c r="B31" s="234"/>
      <c r="C31" s="227"/>
      <c r="D31" s="257"/>
      <c r="E31" s="278">
        <f t="shared" si="48"/>
        <v>0</v>
      </c>
      <c r="F31" s="278" t="str">
        <f t="shared" si="12"/>
        <v xml:space="preserve"> </v>
      </c>
      <c r="G31" s="256"/>
      <c r="H31" s="256"/>
      <c r="I31" s="256"/>
      <c r="J31" s="256"/>
      <c r="K31" s="256"/>
      <c r="L31" s="257"/>
      <c r="M31" s="243"/>
      <c r="N31" s="232"/>
      <c r="O31" s="232"/>
      <c r="P31" s="265" t="str">
        <f>IFERROR(VLOOKUP(O31,Références!$K$11:$N$19,2)," ")</f>
        <v xml:space="preserve"> </v>
      </c>
      <c r="Q31" s="265" t="str">
        <f>IFERROR(VLOOKUP(O31,Références!$K$11:$N$19,3)," ")</f>
        <v xml:space="preserve"> </v>
      </c>
      <c r="R31" s="265" t="str">
        <f>IFERROR(VLOOKUP(O31,Références!$K$11:$N$19,4)," ")</f>
        <v xml:space="preserve"> </v>
      </c>
      <c r="S31" s="256"/>
      <c r="T31" s="256"/>
      <c r="U31" s="256"/>
      <c r="V31" s="256"/>
      <c r="W31" s="256"/>
      <c r="X31" s="257"/>
      <c r="Y31" s="256">
        <v>1</v>
      </c>
      <c r="Z31" s="256"/>
      <c r="AA31" s="256"/>
      <c r="AB31" s="235"/>
      <c r="AC31" s="235"/>
      <c r="AD31" s="235"/>
      <c r="AE31" s="235"/>
      <c r="AF31" s="235"/>
      <c r="AG31" s="235"/>
      <c r="AH31" s="235"/>
      <c r="AI31" s="235">
        <f t="shared" si="49"/>
        <v>0</v>
      </c>
      <c r="AJ31" s="257"/>
      <c r="AK31" s="256">
        <f t="shared" si="38"/>
        <v>0</v>
      </c>
      <c r="AL31" s="257"/>
      <c r="AM31" s="266">
        <f t="shared" si="50"/>
        <v>0</v>
      </c>
      <c r="AN31" s="256"/>
      <c r="AO31" s="276"/>
      <c r="AP31" s="261" t="str">
        <f t="shared" si="16"/>
        <v xml:space="preserve"> </v>
      </c>
      <c r="AQ31" s="256"/>
      <c r="AR31" s="295"/>
      <c r="AS31" s="295"/>
      <c r="AT31" s="263"/>
      <c r="AU31" s="277"/>
      <c r="AV31" s="263"/>
      <c r="AW31" s="230"/>
      <c r="AX31" s="300"/>
      <c r="AY31" s="301"/>
      <c r="AZ31" s="230"/>
      <c r="BA31" s="300" t="s">
        <v>234</v>
      </c>
      <c r="BB31" s="295"/>
      <c r="BC31" s="228">
        <f t="shared" si="51"/>
        <v>0</v>
      </c>
      <c r="BD31" s="228">
        <f t="shared" si="52"/>
        <v>0</v>
      </c>
      <c r="BE31" s="228">
        <f t="shared" si="0"/>
        <v>1</v>
      </c>
      <c r="BF31" s="228" t="str">
        <f t="shared" si="19"/>
        <v>ALIVE</v>
      </c>
      <c r="BG31" s="208" t="str">
        <f t="shared" si="20"/>
        <v>Aucune</v>
      </c>
      <c r="BH31" s="208" t="str">
        <f t="shared" si="1"/>
        <v>Aucune</v>
      </c>
      <c r="BI31" s="208" t="str">
        <f t="shared" si="2"/>
        <v>Aucune</v>
      </c>
      <c r="BJ31" s="208" t="str">
        <f t="shared" si="3"/>
        <v>NON</v>
      </c>
      <c r="BK31" s="208" t="str">
        <f t="shared" si="4"/>
        <v>NON</v>
      </c>
      <c r="BL31" s="208" t="str">
        <f t="shared" si="5"/>
        <v>Inconnu</v>
      </c>
      <c r="BM31" s="208" t="str">
        <f t="shared" si="53"/>
        <v>Inconnu</v>
      </c>
      <c r="BN31" s="208" t="str">
        <f t="shared" si="54"/>
        <v>Inconnu</v>
      </c>
      <c r="BO31" s="208" t="str">
        <f t="shared" si="6"/>
        <v>Inconnu</v>
      </c>
      <c r="BP31" s="208" t="str">
        <f t="shared" si="55"/>
        <v>Inconnu</v>
      </c>
      <c r="BQ31" s="208" t="str">
        <f t="shared" si="56"/>
        <v>Inconnu</v>
      </c>
      <c r="BR31" s="208" t="str">
        <f t="shared" si="57"/>
        <v>Aucune</v>
      </c>
      <c r="BS31" s="208">
        <f t="shared" si="7"/>
        <v>0</v>
      </c>
      <c r="BT31" s="229" t="e">
        <f>VLOOKUP($I31,Lieu_Activité!$A:$B,2,FALSE)</f>
        <v>#N/A</v>
      </c>
      <c r="BU31" s="208" t="str">
        <f t="shared" si="8"/>
        <v>Aucun</v>
      </c>
      <c r="BV31" s="208" t="str">
        <f t="shared" si="9"/>
        <v>Aucun</v>
      </c>
      <c r="BW31" s="207" t="str">
        <f t="shared" si="10"/>
        <v>NON</v>
      </c>
      <c r="BX31" s="288"/>
    </row>
    <row r="32" spans="1:76" ht="12.95" customHeight="1" x14ac:dyDescent="0.25">
      <c r="A32" s="231" t="s">
        <v>213</v>
      </c>
      <c r="B32" s="234"/>
      <c r="C32" s="227"/>
      <c r="D32" s="257"/>
      <c r="E32" s="278">
        <f>(L32-D32)/365</f>
        <v>0</v>
      </c>
      <c r="F32" s="278" t="str">
        <f t="shared" si="12"/>
        <v xml:space="preserve"> </v>
      </c>
      <c r="G32" s="256"/>
      <c r="H32" s="256"/>
      <c r="I32" s="256"/>
      <c r="J32" s="256"/>
      <c r="K32" s="256"/>
      <c r="L32" s="257"/>
      <c r="M32" s="243"/>
      <c r="N32" s="232"/>
      <c r="O32" s="232"/>
      <c r="P32" s="265" t="str">
        <f>IFERROR(VLOOKUP(O32,Références!$K$11:$N$19,2)," ")</f>
        <v xml:space="preserve"> </v>
      </c>
      <c r="Q32" s="265" t="str">
        <f>IFERROR(VLOOKUP(O32,Références!$K$11:$N$19,3)," ")</f>
        <v xml:space="preserve"> </v>
      </c>
      <c r="R32" s="265" t="str">
        <f>IFERROR(VLOOKUP(O32,Références!$K$11:$N$19,4)," ")</f>
        <v xml:space="preserve"> </v>
      </c>
      <c r="S32" s="256"/>
      <c r="T32" s="256"/>
      <c r="U32" s="256"/>
      <c r="V32" s="256"/>
      <c r="W32" s="256"/>
      <c r="X32" s="257"/>
      <c r="Y32" s="256">
        <v>1</v>
      </c>
      <c r="Z32" s="256"/>
      <c r="AA32" s="256"/>
      <c r="AB32" s="235"/>
      <c r="AC32" s="235"/>
      <c r="AD32" s="235"/>
      <c r="AE32" s="235"/>
      <c r="AF32" s="235"/>
      <c r="AG32" s="235"/>
      <c r="AH32" s="235"/>
      <c r="AI32" s="235">
        <f>SUM(AF32,AH32)</f>
        <v>0</v>
      </c>
      <c r="AJ32" s="257"/>
      <c r="AK32" s="256">
        <f t="shared" si="38"/>
        <v>0</v>
      </c>
      <c r="AL32" s="257"/>
      <c r="AM32" s="266">
        <f>(AL32-L32)</f>
        <v>0</v>
      </c>
      <c r="AN32" s="256"/>
      <c r="AO32" s="276"/>
      <c r="AP32" s="261" t="str">
        <f t="shared" si="16"/>
        <v xml:space="preserve"> </v>
      </c>
      <c r="AQ32" s="256"/>
      <c r="AR32" s="295"/>
      <c r="AS32" s="295"/>
      <c r="AT32" s="263"/>
      <c r="AU32" s="277"/>
      <c r="AV32" s="263"/>
      <c r="AW32" s="230"/>
      <c r="AX32" s="300"/>
      <c r="AY32" s="301"/>
      <c r="AZ32" s="230"/>
      <c r="BA32" s="300" t="s">
        <v>234</v>
      </c>
      <c r="BB32" s="295"/>
      <c r="BC32" s="228">
        <f>IF(BG32="Aucune",0,1)</f>
        <v>0</v>
      </c>
      <c r="BD32" s="228">
        <f>IF(BH32="Aucune",0,1)</f>
        <v>0</v>
      </c>
      <c r="BE32" s="228">
        <f t="shared" si="0"/>
        <v>1</v>
      </c>
      <c r="BF32" s="228" t="str">
        <f t="shared" si="19"/>
        <v>ALIVE</v>
      </c>
      <c r="BG32" s="208" t="str">
        <f t="shared" si="20"/>
        <v>Aucune</v>
      </c>
      <c r="BH32" s="208" t="str">
        <f t="shared" si="1"/>
        <v>Aucune</v>
      </c>
      <c r="BI32" s="208" t="str">
        <f t="shared" si="2"/>
        <v>Aucune</v>
      </c>
      <c r="BJ32" s="208" t="str">
        <f t="shared" si="3"/>
        <v>NON</v>
      </c>
      <c r="BK32" s="208" t="str">
        <f t="shared" si="4"/>
        <v>NON</v>
      </c>
      <c r="BL32" s="208" t="str">
        <f t="shared" si="5"/>
        <v>Inconnu</v>
      </c>
      <c r="BM32" s="208" t="str">
        <f>IF($O32&lt;&gt;"HTX",IF($O32&lt;&gt;"LVAD",BL32,"Inconnu"),"Inconnu")</f>
        <v>Inconnu</v>
      </c>
      <c r="BN32" s="208" t="str">
        <f>IF($O32="HTX",BL32,IF($O32="LVAD",BL32,"Inconnu"))</f>
        <v>Inconnu</v>
      </c>
      <c r="BO32" s="208" t="str">
        <f t="shared" si="6"/>
        <v>Inconnu</v>
      </c>
      <c r="BP32" s="208" t="str">
        <f>IF($O32&lt;&gt;"HTX",IF($O32&lt;&gt;"LVAD",BO32,"Inconnu"),"Inconnu")</f>
        <v>Inconnu</v>
      </c>
      <c r="BQ32" s="208" t="str">
        <f>IF($O32="HTX",BO32,IF($O32="LVAD",BO32,"Inconnu"))</f>
        <v>Inconnu</v>
      </c>
      <c r="BR32" s="208" t="str">
        <f>IF(BH32="Aucune",IF(BI32="Aucune","Aucune","Transfusé"),"Transfusé")</f>
        <v>Aucune</v>
      </c>
      <c r="BS32" s="208">
        <f t="shared" si="7"/>
        <v>0</v>
      </c>
      <c r="BT32" s="229" t="e">
        <f>VLOOKUP($I32,Lieu_Activité!$A:$B,2,FALSE)</f>
        <v>#N/A</v>
      </c>
      <c r="BU32" s="208" t="str">
        <f t="shared" si="8"/>
        <v>Aucun</v>
      </c>
      <c r="BV32" s="208" t="str">
        <f t="shared" si="9"/>
        <v>Aucun</v>
      </c>
      <c r="BW32" s="207" t="str">
        <f t="shared" si="10"/>
        <v>NON</v>
      </c>
      <c r="BX32" s="288"/>
    </row>
    <row r="33" spans="1:76" ht="12.95" customHeight="1" x14ac:dyDescent="0.25">
      <c r="A33" s="231" t="s">
        <v>213</v>
      </c>
      <c r="B33" s="234"/>
      <c r="C33" s="227"/>
      <c r="D33" s="257"/>
      <c r="E33" s="278">
        <f t="shared" si="48"/>
        <v>0</v>
      </c>
      <c r="F33" s="278" t="str">
        <f t="shared" si="12"/>
        <v xml:space="preserve"> </v>
      </c>
      <c r="G33" s="256"/>
      <c r="H33" s="256"/>
      <c r="I33" s="256"/>
      <c r="J33" s="256"/>
      <c r="K33" s="256"/>
      <c r="L33" s="257"/>
      <c r="M33" s="243"/>
      <c r="N33" s="232"/>
      <c r="O33" s="232"/>
      <c r="P33" s="265" t="str">
        <f>IFERROR(VLOOKUP(O33,Références!$K$11:$N$19,2)," ")</f>
        <v xml:space="preserve"> </v>
      </c>
      <c r="Q33" s="265" t="str">
        <f>IFERROR(VLOOKUP(O33,Références!$K$11:$N$19,3)," ")</f>
        <v xml:space="preserve"> </v>
      </c>
      <c r="R33" s="265" t="str">
        <f>IFERROR(VLOOKUP(O33,Références!$K$11:$N$19,4)," ")</f>
        <v xml:space="preserve"> </v>
      </c>
      <c r="S33" s="256"/>
      <c r="T33" s="256"/>
      <c r="U33" s="256"/>
      <c r="V33" s="256"/>
      <c r="W33" s="256"/>
      <c r="X33" s="257"/>
      <c r="Y33" s="256">
        <v>1</v>
      </c>
      <c r="Z33" s="256"/>
      <c r="AA33" s="256"/>
      <c r="AB33" s="235"/>
      <c r="AC33" s="235"/>
      <c r="AD33" s="235"/>
      <c r="AE33" s="235"/>
      <c r="AF33" s="235"/>
      <c r="AG33" s="235"/>
      <c r="AH33" s="235"/>
      <c r="AI33" s="235">
        <f t="shared" si="49"/>
        <v>0</v>
      </c>
      <c r="AJ33" s="257"/>
      <c r="AK33" s="256">
        <f t="shared" si="38"/>
        <v>0</v>
      </c>
      <c r="AL33" s="257"/>
      <c r="AM33" s="266">
        <f t="shared" si="50"/>
        <v>0</v>
      </c>
      <c r="AN33" s="256"/>
      <c r="AO33" s="276"/>
      <c r="AP33" s="261" t="str">
        <f t="shared" si="16"/>
        <v xml:space="preserve"> </v>
      </c>
      <c r="AQ33" s="256"/>
      <c r="AR33" s="295"/>
      <c r="AS33" s="295"/>
      <c r="AT33" s="263"/>
      <c r="AU33" s="277"/>
      <c r="AV33" s="263"/>
      <c r="AW33" s="230"/>
      <c r="AX33" s="300"/>
      <c r="AY33" s="301"/>
      <c r="AZ33" s="230"/>
      <c r="BA33" s="300" t="s">
        <v>234</v>
      </c>
      <c r="BB33" s="295"/>
      <c r="BC33" s="228">
        <f t="shared" si="51"/>
        <v>0</v>
      </c>
      <c r="BD33" s="228">
        <f t="shared" si="52"/>
        <v>0</v>
      </c>
      <c r="BE33" s="228">
        <f t="shared" si="0"/>
        <v>1</v>
      </c>
      <c r="BF33" s="228" t="str">
        <f t="shared" si="19"/>
        <v>ALIVE</v>
      </c>
      <c r="BG33" s="208" t="str">
        <f t="shared" si="20"/>
        <v>Aucune</v>
      </c>
      <c r="BH33" s="208" t="str">
        <f t="shared" si="1"/>
        <v>Aucune</v>
      </c>
      <c r="BI33" s="208" t="str">
        <f t="shared" si="2"/>
        <v>Aucune</v>
      </c>
      <c r="BJ33" s="208" t="str">
        <f t="shared" si="3"/>
        <v>NON</v>
      </c>
      <c r="BK33" s="208" t="str">
        <f t="shared" si="4"/>
        <v>NON</v>
      </c>
      <c r="BL33" s="208" t="str">
        <f t="shared" si="5"/>
        <v>Inconnu</v>
      </c>
      <c r="BM33" s="208" t="str">
        <f t="shared" si="53"/>
        <v>Inconnu</v>
      </c>
      <c r="BN33" s="208" t="str">
        <f t="shared" si="54"/>
        <v>Inconnu</v>
      </c>
      <c r="BO33" s="208" t="str">
        <f t="shared" si="6"/>
        <v>Inconnu</v>
      </c>
      <c r="BP33" s="208" t="str">
        <f t="shared" si="55"/>
        <v>Inconnu</v>
      </c>
      <c r="BQ33" s="208" t="str">
        <f t="shared" si="56"/>
        <v>Inconnu</v>
      </c>
      <c r="BR33" s="208" t="str">
        <f t="shared" si="57"/>
        <v>Aucune</v>
      </c>
      <c r="BS33" s="208">
        <f t="shared" si="7"/>
        <v>0</v>
      </c>
      <c r="BT33" s="229" t="e">
        <f>VLOOKUP($I33,Lieu_Activité!$A:$B,2,FALSE)</f>
        <v>#N/A</v>
      </c>
      <c r="BU33" s="208" t="str">
        <f t="shared" si="8"/>
        <v>Aucun</v>
      </c>
      <c r="BV33" s="208" t="str">
        <f t="shared" si="9"/>
        <v>Aucun</v>
      </c>
      <c r="BW33" s="207" t="str">
        <f t="shared" si="10"/>
        <v>NON</v>
      </c>
      <c r="BX33" s="288"/>
    </row>
    <row r="34" spans="1:76" ht="12.95" customHeight="1" x14ac:dyDescent="0.25">
      <c r="A34" s="231" t="s">
        <v>213</v>
      </c>
      <c r="B34" s="234"/>
      <c r="C34" s="227"/>
      <c r="D34" s="257"/>
      <c r="E34" s="278">
        <f t="shared" si="48"/>
        <v>0</v>
      </c>
      <c r="F34" s="278" t="str">
        <f t="shared" si="12"/>
        <v xml:space="preserve"> </v>
      </c>
      <c r="G34" s="256"/>
      <c r="H34" s="256"/>
      <c r="I34" s="256"/>
      <c r="J34" s="256"/>
      <c r="K34" s="256"/>
      <c r="L34" s="257"/>
      <c r="M34" s="243"/>
      <c r="N34" s="232"/>
      <c r="O34" s="232"/>
      <c r="P34" s="265" t="str">
        <f>IFERROR(VLOOKUP(O34,Références!$K$11:$N$19,2)," ")</f>
        <v xml:space="preserve"> </v>
      </c>
      <c r="Q34" s="265" t="str">
        <f>IFERROR(VLOOKUP(O34,Références!$K$11:$N$19,3)," ")</f>
        <v xml:space="preserve"> </v>
      </c>
      <c r="R34" s="265" t="str">
        <f>IFERROR(VLOOKUP(O34,Références!$K$11:$N$19,4)," ")</f>
        <v xml:space="preserve"> </v>
      </c>
      <c r="S34" s="256"/>
      <c r="T34" s="256"/>
      <c r="U34" s="256"/>
      <c r="V34" s="256"/>
      <c r="W34" s="256"/>
      <c r="X34" s="257"/>
      <c r="Y34" s="256">
        <v>1</v>
      </c>
      <c r="Z34" s="256"/>
      <c r="AA34" s="256"/>
      <c r="AB34" s="235"/>
      <c r="AC34" s="235"/>
      <c r="AD34" s="274"/>
      <c r="AE34" s="235"/>
      <c r="AF34" s="235"/>
      <c r="AG34" s="235"/>
      <c r="AH34" s="235"/>
      <c r="AI34" s="235">
        <f t="shared" si="49"/>
        <v>0</v>
      </c>
      <c r="AJ34" s="257"/>
      <c r="AK34" s="256">
        <f t="shared" si="38"/>
        <v>0</v>
      </c>
      <c r="AL34" s="257"/>
      <c r="AM34" s="266">
        <f t="shared" si="50"/>
        <v>0</v>
      </c>
      <c r="AN34" s="256"/>
      <c r="AO34" s="276"/>
      <c r="AP34" s="261" t="str">
        <f>IF(AO34=1,"ELECTIVE",IF(AO34=2,"URGENCY",IF(AO34=3,"EMERGENCY",IF(AO34=4,"SALVAGE"," "))))</f>
        <v xml:space="preserve"> </v>
      </c>
      <c r="AQ34" s="256"/>
      <c r="AR34" s="295"/>
      <c r="AS34" s="295"/>
      <c r="AT34" s="263"/>
      <c r="AU34" s="277"/>
      <c r="AV34" s="263"/>
      <c r="AW34" s="230"/>
      <c r="AX34" s="300"/>
      <c r="AY34" s="301"/>
      <c r="AZ34" s="230"/>
      <c r="BA34" s="300" t="s">
        <v>234</v>
      </c>
      <c r="BB34" s="295"/>
      <c r="BC34" s="228">
        <f t="shared" si="51"/>
        <v>0</v>
      </c>
      <c r="BD34" s="228">
        <f t="shared" si="52"/>
        <v>0</v>
      </c>
      <c r="BE34" s="228">
        <f t="shared" si="0"/>
        <v>1</v>
      </c>
      <c r="BF34" s="228" t="str">
        <f t="shared" si="19"/>
        <v>ALIVE</v>
      </c>
      <c r="BG34" s="208" t="str">
        <f t="shared" si="20"/>
        <v>Aucune</v>
      </c>
      <c r="BH34" s="208" t="str">
        <f t="shared" si="1"/>
        <v>Aucune</v>
      </c>
      <c r="BI34" s="208" t="str">
        <f t="shared" si="2"/>
        <v>Aucune</v>
      </c>
      <c r="BJ34" s="208" t="str">
        <f t="shared" ref="BJ34:BJ53" si="58">IF(X34&lt;&gt;"",IF(X34-L34&lt;2,"OUI","NON"),"NON")</f>
        <v>NON</v>
      </c>
      <c r="BK34" s="208" t="str">
        <f t="shared" si="4"/>
        <v>NON</v>
      </c>
      <c r="BL34" s="208" t="str">
        <f t="shared" ref="BL34:BL53" si="59">IF(AL34-L34&gt;0,AL34-L34,"Inconnu")</f>
        <v>Inconnu</v>
      </c>
      <c r="BM34" s="208" t="str">
        <f t="shared" si="53"/>
        <v>Inconnu</v>
      </c>
      <c r="BN34" s="208" t="str">
        <f t="shared" si="54"/>
        <v>Inconnu</v>
      </c>
      <c r="BO34" s="208" t="str">
        <f t="shared" ref="BO34:BO53" si="60">IF(AJ34-L34&gt;0,AJ34-L34,"Inconnu")</f>
        <v>Inconnu</v>
      </c>
      <c r="BP34" s="208" t="str">
        <f t="shared" si="55"/>
        <v>Inconnu</v>
      </c>
      <c r="BQ34" s="208" t="str">
        <f t="shared" si="56"/>
        <v>Inconnu</v>
      </c>
      <c r="BR34" s="208" t="str">
        <f t="shared" si="57"/>
        <v>Aucune</v>
      </c>
      <c r="BS34" s="208">
        <f t="shared" ref="BS34:BS65" si="61">AF34+AH34</f>
        <v>0</v>
      </c>
      <c r="BT34" s="229" t="e">
        <f>VLOOKUP($I34,Lieu_Activité!$A:$B,2,FALSE)</f>
        <v>#N/A</v>
      </c>
      <c r="BU34" s="208" t="str">
        <f t="shared" si="8"/>
        <v>Aucun</v>
      </c>
      <c r="BV34" s="208" t="str">
        <f t="shared" si="9"/>
        <v>Aucun</v>
      </c>
      <c r="BW34" s="207" t="str">
        <f t="shared" ref="BW34:BW53" si="62">IF(M34="","NON","OUI")</f>
        <v>NON</v>
      </c>
      <c r="BX34" s="288"/>
    </row>
    <row r="35" spans="1:76" ht="12.95" customHeight="1" x14ac:dyDescent="0.25">
      <c r="A35" s="231" t="s">
        <v>213</v>
      </c>
      <c r="B35" s="234"/>
      <c r="C35" s="227"/>
      <c r="D35" s="257"/>
      <c r="E35" s="278">
        <f t="shared" si="48"/>
        <v>0</v>
      </c>
      <c r="F35" s="278" t="str">
        <f t="shared" si="12"/>
        <v xml:space="preserve"> </v>
      </c>
      <c r="G35" s="256"/>
      <c r="H35" s="256"/>
      <c r="I35" s="256"/>
      <c r="J35" s="256"/>
      <c r="K35" s="256"/>
      <c r="L35" s="257"/>
      <c r="M35" s="243"/>
      <c r="N35" s="232"/>
      <c r="O35" s="232"/>
      <c r="P35" s="265" t="str">
        <f>IFERROR(VLOOKUP(O35,Références!$K$11:$N$19,2)," ")</f>
        <v xml:space="preserve"> </v>
      </c>
      <c r="Q35" s="265" t="str">
        <f>IFERROR(VLOOKUP(O35,Références!$K$11:$N$19,3)," ")</f>
        <v xml:space="preserve"> </v>
      </c>
      <c r="R35" s="265" t="str">
        <f>IFERROR(VLOOKUP(O35,Références!$K$11:$N$19,4)," ")</f>
        <v xml:space="preserve"> </v>
      </c>
      <c r="S35" s="256"/>
      <c r="T35" s="256"/>
      <c r="U35" s="256"/>
      <c r="V35" s="256"/>
      <c r="W35" s="256"/>
      <c r="X35" s="257"/>
      <c r="Y35" s="256">
        <v>1</v>
      </c>
      <c r="Z35" s="256"/>
      <c r="AA35" s="256"/>
      <c r="AB35" s="235"/>
      <c r="AC35" s="235"/>
      <c r="AD35" s="235"/>
      <c r="AE35" s="235"/>
      <c r="AF35" s="235"/>
      <c r="AG35" s="235"/>
      <c r="AH35" s="235"/>
      <c r="AI35" s="235">
        <f t="shared" si="49"/>
        <v>0</v>
      </c>
      <c r="AJ35" s="257"/>
      <c r="AK35" s="256">
        <f t="shared" si="38"/>
        <v>0</v>
      </c>
      <c r="AL35" s="257"/>
      <c r="AM35" s="266">
        <f t="shared" si="50"/>
        <v>0</v>
      </c>
      <c r="AN35" s="256"/>
      <c r="AO35" s="276"/>
      <c r="AP35" s="261" t="str">
        <f t="shared" si="16"/>
        <v xml:space="preserve"> </v>
      </c>
      <c r="AQ35" s="256"/>
      <c r="AR35" s="295"/>
      <c r="AS35" s="295"/>
      <c r="AT35" s="263"/>
      <c r="AU35" s="277"/>
      <c r="AV35" s="263"/>
      <c r="AW35" s="230"/>
      <c r="AX35" s="300"/>
      <c r="AY35" s="301"/>
      <c r="AZ35" s="230"/>
      <c r="BA35" s="300" t="s">
        <v>234</v>
      </c>
      <c r="BB35" s="295"/>
      <c r="BC35" s="228">
        <f t="shared" si="51"/>
        <v>0</v>
      </c>
      <c r="BD35" s="228">
        <f t="shared" si="52"/>
        <v>0</v>
      </c>
      <c r="BE35" s="228">
        <f t="shared" si="0"/>
        <v>1</v>
      </c>
      <c r="BF35" s="228" t="str">
        <f t="shared" si="19"/>
        <v>ALIVE</v>
      </c>
      <c r="BG35" s="208" t="str">
        <f t="shared" si="20"/>
        <v>Aucune</v>
      </c>
      <c r="BH35" s="208" t="str">
        <f t="shared" si="1"/>
        <v>Aucune</v>
      </c>
      <c r="BI35" s="208" t="str">
        <f t="shared" si="2"/>
        <v>Aucune</v>
      </c>
      <c r="BJ35" s="208" t="str">
        <f t="shared" si="58"/>
        <v>NON</v>
      </c>
      <c r="BK35" s="208" t="str">
        <f t="shared" si="4"/>
        <v>NON</v>
      </c>
      <c r="BL35" s="208" t="str">
        <f t="shared" si="59"/>
        <v>Inconnu</v>
      </c>
      <c r="BM35" s="208" t="str">
        <f t="shared" si="53"/>
        <v>Inconnu</v>
      </c>
      <c r="BN35" s="208" t="str">
        <f t="shared" si="54"/>
        <v>Inconnu</v>
      </c>
      <c r="BO35" s="208" t="str">
        <f t="shared" si="60"/>
        <v>Inconnu</v>
      </c>
      <c r="BP35" s="208" t="str">
        <f t="shared" si="55"/>
        <v>Inconnu</v>
      </c>
      <c r="BQ35" s="208" t="str">
        <f t="shared" si="56"/>
        <v>Inconnu</v>
      </c>
      <c r="BR35" s="208" t="str">
        <f t="shared" si="57"/>
        <v>Aucune</v>
      </c>
      <c r="BS35" s="208">
        <f t="shared" si="61"/>
        <v>0</v>
      </c>
      <c r="BT35" s="229" t="e">
        <f>VLOOKUP($I35,Lieu_Activité!$A:$B,2,FALSE)</f>
        <v>#N/A</v>
      </c>
      <c r="BU35" s="208" t="str">
        <f t="shared" si="8"/>
        <v>Aucun</v>
      </c>
      <c r="BV35" s="208" t="str">
        <f t="shared" si="9"/>
        <v>Aucun</v>
      </c>
      <c r="BW35" s="207" t="str">
        <f t="shared" si="62"/>
        <v>NON</v>
      </c>
      <c r="BX35" s="288"/>
    </row>
    <row r="36" spans="1:76" ht="12.95" customHeight="1" x14ac:dyDescent="0.25">
      <c r="A36" s="231" t="s">
        <v>213</v>
      </c>
      <c r="B36" s="234"/>
      <c r="C36" s="227"/>
      <c r="D36" s="257"/>
      <c r="E36" s="278">
        <f t="shared" si="48"/>
        <v>0</v>
      </c>
      <c r="F36" s="278" t="str">
        <f t="shared" si="12"/>
        <v xml:space="preserve"> </v>
      </c>
      <c r="G36" s="256"/>
      <c r="H36" s="256"/>
      <c r="I36" s="256"/>
      <c r="J36" s="256"/>
      <c r="K36" s="256"/>
      <c r="L36" s="257"/>
      <c r="M36" s="243"/>
      <c r="N36" s="232"/>
      <c r="O36" s="232"/>
      <c r="P36" s="265" t="str">
        <f>IFERROR(VLOOKUP(O36,Références!$K$11:$N$19,2)," ")</f>
        <v xml:space="preserve"> </v>
      </c>
      <c r="Q36" s="265" t="str">
        <f>IFERROR(VLOOKUP(O36,Références!$K$11:$N$19,3)," ")</f>
        <v xml:space="preserve"> </v>
      </c>
      <c r="R36" s="265" t="str">
        <f>IFERROR(VLOOKUP(O36,Références!$K$11:$N$19,4)," ")</f>
        <v xml:space="preserve"> </v>
      </c>
      <c r="S36" s="256"/>
      <c r="T36" s="256"/>
      <c r="U36" s="256"/>
      <c r="V36" s="256"/>
      <c r="W36" s="256"/>
      <c r="X36" s="257"/>
      <c r="Y36" s="256">
        <v>1</v>
      </c>
      <c r="Z36" s="256"/>
      <c r="AA36" s="256"/>
      <c r="AB36" s="235"/>
      <c r="AC36" s="235"/>
      <c r="AD36" s="235"/>
      <c r="AE36" s="235"/>
      <c r="AF36" s="235"/>
      <c r="AG36" s="235"/>
      <c r="AH36" s="235"/>
      <c r="AI36" s="235">
        <f t="shared" si="49"/>
        <v>0</v>
      </c>
      <c r="AJ36" s="257"/>
      <c r="AK36" s="256">
        <f t="shared" si="38"/>
        <v>0</v>
      </c>
      <c r="AL36" s="257"/>
      <c r="AM36" s="266">
        <f t="shared" si="50"/>
        <v>0</v>
      </c>
      <c r="AN36" s="256"/>
      <c r="AO36" s="276"/>
      <c r="AP36" s="261" t="str">
        <f t="shared" si="16"/>
        <v xml:space="preserve"> </v>
      </c>
      <c r="AQ36" s="256"/>
      <c r="AR36" s="295"/>
      <c r="AS36" s="295"/>
      <c r="AT36" s="263"/>
      <c r="AU36" s="277"/>
      <c r="AV36" s="263"/>
      <c r="AW36" s="230"/>
      <c r="AX36" s="300"/>
      <c r="AY36" s="301"/>
      <c r="AZ36" s="230"/>
      <c r="BA36" s="300" t="s">
        <v>234</v>
      </c>
      <c r="BB36" s="295"/>
      <c r="BC36" s="228">
        <f t="shared" si="51"/>
        <v>0</v>
      </c>
      <c r="BD36" s="228">
        <f t="shared" si="52"/>
        <v>0</v>
      </c>
      <c r="BE36" s="228">
        <f t="shared" si="0"/>
        <v>1</v>
      </c>
      <c r="BF36" s="228" t="str">
        <f t="shared" si="19"/>
        <v>ALIVE</v>
      </c>
      <c r="BG36" s="208" t="str">
        <f t="shared" si="20"/>
        <v>Aucune</v>
      </c>
      <c r="BH36" s="208" t="str">
        <f t="shared" si="1"/>
        <v>Aucune</v>
      </c>
      <c r="BI36" s="208" t="str">
        <f t="shared" si="2"/>
        <v>Aucune</v>
      </c>
      <c r="BJ36" s="208" t="str">
        <f t="shared" si="58"/>
        <v>NON</v>
      </c>
      <c r="BK36" s="208" t="str">
        <f t="shared" si="4"/>
        <v>NON</v>
      </c>
      <c r="BL36" s="208" t="str">
        <f t="shared" si="59"/>
        <v>Inconnu</v>
      </c>
      <c r="BM36" s="208" t="str">
        <f t="shared" si="53"/>
        <v>Inconnu</v>
      </c>
      <c r="BN36" s="208" t="str">
        <f t="shared" si="54"/>
        <v>Inconnu</v>
      </c>
      <c r="BO36" s="208" t="str">
        <f t="shared" si="60"/>
        <v>Inconnu</v>
      </c>
      <c r="BP36" s="208" t="str">
        <f t="shared" si="55"/>
        <v>Inconnu</v>
      </c>
      <c r="BQ36" s="208" t="str">
        <f t="shared" si="56"/>
        <v>Inconnu</v>
      </c>
      <c r="BR36" s="208" t="str">
        <f t="shared" si="57"/>
        <v>Aucune</v>
      </c>
      <c r="BS36" s="208">
        <f t="shared" si="61"/>
        <v>0</v>
      </c>
      <c r="BT36" s="229" t="e">
        <f>VLOOKUP($I36,Lieu_Activité!$A:$B,2,FALSE)</f>
        <v>#N/A</v>
      </c>
      <c r="BU36" s="208" t="str">
        <f t="shared" si="8"/>
        <v>Aucun</v>
      </c>
      <c r="BV36" s="208" t="str">
        <f t="shared" si="9"/>
        <v>Aucun</v>
      </c>
      <c r="BW36" s="207" t="str">
        <f t="shared" si="62"/>
        <v>NON</v>
      </c>
      <c r="BX36" s="288"/>
    </row>
    <row r="37" spans="1:76" ht="12.95" customHeight="1" x14ac:dyDescent="0.25">
      <c r="A37" s="231" t="s">
        <v>213</v>
      </c>
      <c r="B37" s="234"/>
      <c r="C37" s="227"/>
      <c r="D37" s="257"/>
      <c r="E37" s="278">
        <f t="shared" si="48"/>
        <v>0</v>
      </c>
      <c r="F37" s="278" t="str">
        <f t="shared" si="12"/>
        <v xml:space="preserve"> </v>
      </c>
      <c r="G37" s="256"/>
      <c r="H37" s="256"/>
      <c r="I37" s="256"/>
      <c r="J37" s="256"/>
      <c r="K37" s="256"/>
      <c r="L37" s="257"/>
      <c r="M37" s="243"/>
      <c r="N37" s="232"/>
      <c r="O37" s="232"/>
      <c r="P37" s="265" t="str">
        <f>IFERROR(VLOOKUP(O37,Références!$K$11:$N$19,2)," ")</f>
        <v xml:space="preserve"> </v>
      </c>
      <c r="Q37" s="265" t="str">
        <f>IFERROR(VLOOKUP(O37,Références!$K$11:$N$19,3)," ")</f>
        <v xml:space="preserve"> </v>
      </c>
      <c r="R37" s="265" t="str">
        <f>IFERROR(VLOOKUP(O37,Références!$K$11:$N$19,4)," ")</f>
        <v xml:space="preserve"> </v>
      </c>
      <c r="S37" s="256"/>
      <c r="T37" s="256"/>
      <c r="U37" s="256"/>
      <c r="V37" s="256"/>
      <c r="W37" s="256"/>
      <c r="X37" s="257"/>
      <c r="Y37" s="256">
        <v>1</v>
      </c>
      <c r="Z37" s="256"/>
      <c r="AA37" s="256"/>
      <c r="AB37" s="235"/>
      <c r="AC37" s="235"/>
      <c r="AD37" s="235"/>
      <c r="AE37" s="235"/>
      <c r="AF37" s="235"/>
      <c r="AG37" s="235"/>
      <c r="AH37" s="235"/>
      <c r="AI37" s="235">
        <f t="shared" si="49"/>
        <v>0</v>
      </c>
      <c r="AJ37" s="257"/>
      <c r="AK37" s="256">
        <f t="shared" si="38"/>
        <v>0</v>
      </c>
      <c r="AL37" s="257"/>
      <c r="AM37" s="266">
        <f t="shared" si="50"/>
        <v>0</v>
      </c>
      <c r="AN37" s="256"/>
      <c r="AO37" s="276"/>
      <c r="AP37" s="261" t="str">
        <f t="shared" si="16"/>
        <v xml:space="preserve"> </v>
      </c>
      <c r="AQ37" s="256"/>
      <c r="AR37" s="295"/>
      <c r="AS37" s="295"/>
      <c r="AT37" s="263"/>
      <c r="AU37" s="277"/>
      <c r="AV37" s="263"/>
      <c r="AW37" s="230"/>
      <c r="AX37" s="300"/>
      <c r="AY37" s="301"/>
      <c r="AZ37" s="230"/>
      <c r="BA37" s="300" t="s">
        <v>234</v>
      </c>
      <c r="BB37" s="295"/>
      <c r="BC37" s="228">
        <f t="shared" si="51"/>
        <v>0</v>
      </c>
      <c r="BD37" s="228">
        <f t="shared" si="52"/>
        <v>0</v>
      </c>
      <c r="BE37" s="228">
        <f t="shared" si="0"/>
        <v>1</v>
      </c>
      <c r="BF37" s="228" t="str">
        <f t="shared" si="19"/>
        <v>ALIVE</v>
      </c>
      <c r="BG37" s="208" t="str">
        <f t="shared" si="20"/>
        <v>Aucune</v>
      </c>
      <c r="BH37" s="208" t="str">
        <f t="shared" si="1"/>
        <v>Aucune</v>
      </c>
      <c r="BI37" s="208" t="str">
        <f t="shared" si="2"/>
        <v>Aucune</v>
      </c>
      <c r="BJ37" s="208" t="str">
        <f t="shared" si="58"/>
        <v>NON</v>
      </c>
      <c r="BK37" s="208" t="str">
        <f t="shared" si="4"/>
        <v>NON</v>
      </c>
      <c r="BL37" s="208" t="str">
        <f t="shared" si="59"/>
        <v>Inconnu</v>
      </c>
      <c r="BM37" s="208" t="str">
        <f t="shared" si="53"/>
        <v>Inconnu</v>
      </c>
      <c r="BN37" s="208" t="str">
        <f t="shared" si="54"/>
        <v>Inconnu</v>
      </c>
      <c r="BO37" s="208" t="str">
        <f t="shared" si="60"/>
        <v>Inconnu</v>
      </c>
      <c r="BP37" s="208" t="str">
        <f t="shared" si="55"/>
        <v>Inconnu</v>
      </c>
      <c r="BQ37" s="208" t="str">
        <f t="shared" si="56"/>
        <v>Inconnu</v>
      </c>
      <c r="BR37" s="208" t="str">
        <f t="shared" si="57"/>
        <v>Aucune</v>
      </c>
      <c r="BS37" s="208">
        <f t="shared" si="61"/>
        <v>0</v>
      </c>
      <c r="BT37" s="229" t="e">
        <f>VLOOKUP($I37,Lieu_Activité!$A:$B,2,FALSE)</f>
        <v>#N/A</v>
      </c>
      <c r="BU37" s="208" t="str">
        <f t="shared" si="8"/>
        <v>Aucun</v>
      </c>
      <c r="BV37" s="208" t="str">
        <f t="shared" si="9"/>
        <v>Aucun</v>
      </c>
      <c r="BW37" s="207" t="str">
        <f t="shared" si="62"/>
        <v>NON</v>
      </c>
      <c r="BX37" s="288"/>
    </row>
    <row r="38" spans="1:76" ht="12.95" customHeight="1" x14ac:dyDescent="0.25">
      <c r="A38" s="231" t="s">
        <v>213</v>
      </c>
      <c r="B38" s="234"/>
      <c r="C38" s="227"/>
      <c r="D38" s="257"/>
      <c r="E38" s="278">
        <f t="shared" si="48"/>
        <v>0</v>
      </c>
      <c r="F38" s="278" t="str">
        <f t="shared" si="12"/>
        <v xml:space="preserve"> </v>
      </c>
      <c r="G38" s="256"/>
      <c r="H38" s="256"/>
      <c r="I38" s="256"/>
      <c r="J38" s="256"/>
      <c r="K38" s="256"/>
      <c r="L38" s="257"/>
      <c r="M38" s="243"/>
      <c r="N38" s="232"/>
      <c r="O38" s="232"/>
      <c r="P38" s="265" t="str">
        <f>IFERROR(VLOOKUP(O38,Références!$K$11:$N$19,2)," ")</f>
        <v xml:space="preserve"> </v>
      </c>
      <c r="Q38" s="265" t="str">
        <f>IFERROR(VLOOKUP(O38,Références!$K$11:$N$19,3)," ")</f>
        <v xml:space="preserve"> </v>
      </c>
      <c r="R38" s="265" t="str">
        <f>IFERROR(VLOOKUP(O38,Références!$K$11:$N$19,4)," ")</f>
        <v xml:space="preserve"> </v>
      </c>
      <c r="S38" s="256"/>
      <c r="T38" s="256"/>
      <c r="U38" s="256"/>
      <c r="V38" s="256"/>
      <c r="W38" s="256"/>
      <c r="X38" s="257"/>
      <c r="Y38" s="256">
        <v>1</v>
      </c>
      <c r="Z38" s="256"/>
      <c r="AA38" s="256"/>
      <c r="AB38" s="235"/>
      <c r="AC38" s="235"/>
      <c r="AD38" s="235"/>
      <c r="AE38" s="235"/>
      <c r="AF38" s="235"/>
      <c r="AG38" s="235"/>
      <c r="AH38" s="235"/>
      <c r="AI38" s="235">
        <f t="shared" si="49"/>
        <v>0</v>
      </c>
      <c r="AJ38" s="257"/>
      <c r="AK38" s="256">
        <f t="shared" si="38"/>
        <v>0</v>
      </c>
      <c r="AL38" s="257"/>
      <c r="AM38" s="266">
        <f t="shared" si="50"/>
        <v>0</v>
      </c>
      <c r="AN38" s="256"/>
      <c r="AO38" s="276"/>
      <c r="AP38" s="261" t="str">
        <f t="shared" si="16"/>
        <v xml:space="preserve"> </v>
      </c>
      <c r="AQ38" s="256"/>
      <c r="AR38" s="295"/>
      <c r="AS38" s="295"/>
      <c r="AT38" s="263"/>
      <c r="AU38" s="277"/>
      <c r="AV38" s="263"/>
      <c r="AW38" s="230"/>
      <c r="AX38" s="300"/>
      <c r="AY38" s="301"/>
      <c r="AZ38" s="230"/>
      <c r="BA38" s="300" t="s">
        <v>234</v>
      </c>
      <c r="BB38" s="295"/>
      <c r="BC38" s="228">
        <f t="shared" si="51"/>
        <v>0</v>
      </c>
      <c r="BD38" s="228">
        <f t="shared" si="52"/>
        <v>0</v>
      </c>
      <c r="BE38" s="228">
        <f t="shared" si="0"/>
        <v>1</v>
      </c>
      <c r="BF38" s="228" t="str">
        <f t="shared" si="19"/>
        <v>ALIVE</v>
      </c>
      <c r="BG38" s="208" t="str">
        <f t="shared" si="20"/>
        <v>Aucune</v>
      </c>
      <c r="BH38" s="208" t="str">
        <f t="shared" si="1"/>
        <v>Aucune</v>
      </c>
      <c r="BI38" s="208" t="str">
        <f t="shared" si="2"/>
        <v>Aucune</v>
      </c>
      <c r="BJ38" s="208" t="str">
        <f t="shared" si="58"/>
        <v>NON</v>
      </c>
      <c r="BK38" s="208" t="str">
        <f t="shared" si="4"/>
        <v>NON</v>
      </c>
      <c r="BL38" s="208" t="str">
        <f t="shared" si="59"/>
        <v>Inconnu</v>
      </c>
      <c r="BM38" s="208" t="str">
        <f t="shared" si="53"/>
        <v>Inconnu</v>
      </c>
      <c r="BN38" s="208" t="str">
        <f t="shared" si="54"/>
        <v>Inconnu</v>
      </c>
      <c r="BO38" s="208" t="str">
        <f t="shared" si="60"/>
        <v>Inconnu</v>
      </c>
      <c r="BP38" s="208" t="str">
        <f t="shared" si="55"/>
        <v>Inconnu</v>
      </c>
      <c r="BQ38" s="208" t="str">
        <f t="shared" si="56"/>
        <v>Inconnu</v>
      </c>
      <c r="BR38" s="208" t="str">
        <f t="shared" si="57"/>
        <v>Aucune</v>
      </c>
      <c r="BS38" s="208">
        <f t="shared" si="61"/>
        <v>0</v>
      </c>
      <c r="BT38" s="229" t="e">
        <f>VLOOKUP($I38,Lieu_Activité!$A:$B,2,FALSE)</f>
        <v>#N/A</v>
      </c>
      <c r="BU38" s="208" t="str">
        <f t="shared" si="8"/>
        <v>Aucun</v>
      </c>
      <c r="BV38" s="208" t="str">
        <f t="shared" si="9"/>
        <v>Aucun</v>
      </c>
      <c r="BW38" s="207" t="str">
        <f t="shared" si="62"/>
        <v>NON</v>
      </c>
      <c r="BX38" s="288"/>
    </row>
    <row r="39" spans="1:76" ht="12.95" customHeight="1" x14ac:dyDescent="0.25">
      <c r="A39" s="231" t="s">
        <v>213</v>
      </c>
      <c r="B39" s="234"/>
      <c r="C39" s="227"/>
      <c r="D39" s="257"/>
      <c r="E39" s="278">
        <f t="shared" si="48"/>
        <v>0</v>
      </c>
      <c r="F39" s="278" t="str">
        <f t="shared" si="12"/>
        <v xml:space="preserve"> </v>
      </c>
      <c r="G39" s="256"/>
      <c r="H39" s="256"/>
      <c r="I39" s="256"/>
      <c r="J39" s="256"/>
      <c r="K39" s="256"/>
      <c r="L39" s="257"/>
      <c r="M39" s="243"/>
      <c r="N39" s="232"/>
      <c r="O39" s="232"/>
      <c r="P39" s="265" t="str">
        <f>IFERROR(VLOOKUP(O39,Références!$K$11:$N$19,2)," ")</f>
        <v xml:space="preserve"> </v>
      </c>
      <c r="Q39" s="265" t="str">
        <f>IFERROR(VLOOKUP(O39,Références!$K$11:$N$19,3)," ")</f>
        <v xml:space="preserve"> </v>
      </c>
      <c r="R39" s="265" t="str">
        <f>IFERROR(VLOOKUP(O39,Références!$K$11:$N$19,4)," ")</f>
        <v xml:space="preserve"> </v>
      </c>
      <c r="S39" s="256"/>
      <c r="T39" s="256"/>
      <c r="U39" s="256"/>
      <c r="V39" s="256"/>
      <c r="W39" s="256"/>
      <c r="X39" s="257"/>
      <c r="Y39" s="256">
        <v>1</v>
      </c>
      <c r="Z39" s="256"/>
      <c r="AA39" s="256"/>
      <c r="AB39" s="235"/>
      <c r="AC39" s="235"/>
      <c r="AD39" s="235"/>
      <c r="AE39" s="235"/>
      <c r="AF39" s="235"/>
      <c r="AG39" s="235"/>
      <c r="AH39" s="235"/>
      <c r="AI39" s="235">
        <f t="shared" si="49"/>
        <v>0</v>
      </c>
      <c r="AJ39" s="257"/>
      <c r="AK39" s="256">
        <f t="shared" si="38"/>
        <v>0</v>
      </c>
      <c r="AL39" s="257"/>
      <c r="AM39" s="266">
        <f t="shared" si="50"/>
        <v>0</v>
      </c>
      <c r="AN39" s="256"/>
      <c r="AO39" s="276"/>
      <c r="AP39" s="261" t="str">
        <f t="shared" si="16"/>
        <v xml:space="preserve"> </v>
      </c>
      <c r="AQ39" s="256"/>
      <c r="AR39" s="295"/>
      <c r="AS39" s="295"/>
      <c r="AT39" s="263"/>
      <c r="AU39" s="277"/>
      <c r="AV39" s="263"/>
      <c r="AW39" s="230"/>
      <c r="AX39" s="300"/>
      <c r="AY39" s="301"/>
      <c r="AZ39" s="230"/>
      <c r="BA39" s="300" t="s">
        <v>234</v>
      </c>
      <c r="BB39" s="295"/>
      <c r="BC39" s="228">
        <f t="shared" si="51"/>
        <v>0</v>
      </c>
      <c r="BD39" s="228">
        <f t="shared" si="52"/>
        <v>0</v>
      </c>
      <c r="BE39" s="228">
        <f t="shared" si="0"/>
        <v>1</v>
      </c>
      <c r="BF39" s="228" t="str">
        <f t="shared" si="19"/>
        <v>ALIVE</v>
      </c>
      <c r="BG39" s="208" t="str">
        <f t="shared" si="20"/>
        <v>Aucune</v>
      </c>
      <c r="BH39" s="208" t="str">
        <f t="shared" si="1"/>
        <v>Aucune</v>
      </c>
      <c r="BI39" s="208" t="str">
        <f t="shared" si="2"/>
        <v>Aucune</v>
      </c>
      <c r="BJ39" s="208" t="str">
        <f t="shared" si="58"/>
        <v>NON</v>
      </c>
      <c r="BK39" s="208" t="str">
        <f t="shared" si="4"/>
        <v>NON</v>
      </c>
      <c r="BL39" s="208" t="str">
        <f t="shared" si="59"/>
        <v>Inconnu</v>
      </c>
      <c r="BM39" s="208" t="str">
        <f t="shared" si="53"/>
        <v>Inconnu</v>
      </c>
      <c r="BN39" s="208" t="str">
        <f t="shared" si="54"/>
        <v>Inconnu</v>
      </c>
      <c r="BO39" s="208" t="str">
        <f t="shared" si="60"/>
        <v>Inconnu</v>
      </c>
      <c r="BP39" s="208" t="str">
        <f t="shared" si="55"/>
        <v>Inconnu</v>
      </c>
      <c r="BQ39" s="208" t="str">
        <f t="shared" si="56"/>
        <v>Inconnu</v>
      </c>
      <c r="BR39" s="208" t="str">
        <f t="shared" si="57"/>
        <v>Aucune</v>
      </c>
      <c r="BS39" s="208">
        <f t="shared" si="61"/>
        <v>0</v>
      </c>
      <c r="BT39" s="229" t="e">
        <f>VLOOKUP($I39,Lieu_Activité!$A:$B,2,FALSE)</f>
        <v>#N/A</v>
      </c>
      <c r="BU39" s="208" t="str">
        <f t="shared" si="8"/>
        <v>Aucun</v>
      </c>
      <c r="BV39" s="208" t="str">
        <f t="shared" si="9"/>
        <v>Aucun</v>
      </c>
      <c r="BW39" s="207" t="str">
        <f t="shared" si="62"/>
        <v>NON</v>
      </c>
      <c r="BX39" s="288"/>
    </row>
    <row r="40" spans="1:76" ht="12.95" customHeight="1" x14ac:dyDescent="0.25">
      <c r="A40" s="231" t="s">
        <v>213</v>
      </c>
      <c r="B40" s="268"/>
      <c r="C40" s="227"/>
      <c r="D40" s="257"/>
      <c r="E40" s="278">
        <f t="shared" si="48"/>
        <v>0</v>
      </c>
      <c r="F40" s="278" t="str">
        <f t="shared" si="12"/>
        <v xml:space="preserve"> </v>
      </c>
      <c r="G40" s="256"/>
      <c r="H40" s="256"/>
      <c r="I40" s="256"/>
      <c r="J40" s="256"/>
      <c r="K40" s="256"/>
      <c r="L40" s="257"/>
      <c r="M40" s="243"/>
      <c r="N40" s="232"/>
      <c r="O40" s="256"/>
      <c r="P40" s="265" t="str">
        <f>IFERROR(VLOOKUP(O40,Références!$K$11:$N$19,2)," ")</f>
        <v xml:space="preserve"> </v>
      </c>
      <c r="Q40" s="265" t="str">
        <f>IFERROR(VLOOKUP(O40,Références!$K$11:$N$19,3)," ")</f>
        <v xml:space="preserve"> </v>
      </c>
      <c r="R40" s="265" t="str">
        <f>IFERROR(VLOOKUP(O40,Références!$K$11:$N$19,4)," ")</f>
        <v xml:space="preserve"> </v>
      </c>
      <c r="S40" s="256"/>
      <c r="T40" s="256"/>
      <c r="U40" s="256"/>
      <c r="V40" s="256"/>
      <c r="W40" s="256"/>
      <c r="X40" s="257"/>
      <c r="Y40" s="256">
        <v>1</v>
      </c>
      <c r="Z40" s="256"/>
      <c r="AA40" s="256"/>
      <c r="AB40" s="235"/>
      <c r="AC40" s="235"/>
      <c r="AD40" s="235"/>
      <c r="AE40" s="235"/>
      <c r="AF40" s="235"/>
      <c r="AG40" s="235"/>
      <c r="AH40" s="235"/>
      <c r="AI40" s="235">
        <f t="shared" si="49"/>
        <v>0</v>
      </c>
      <c r="AJ40" s="257"/>
      <c r="AK40" s="256">
        <f t="shared" si="38"/>
        <v>0</v>
      </c>
      <c r="AL40" s="257"/>
      <c r="AM40" s="266">
        <f t="shared" si="50"/>
        <v>0</v>
      </c>
      <c r="AN40" s="256"/>
      <c r="AO40" s="276"/>
      <c r="AP40" s="261" t="str">
        <f t="shared" si="16"/>
        <v xml:space="preserve"> </v>
      </c>
      <c r="AQ40" s="256"/>
      <c r="AR40" s="295"/>
      <c r="AS40" s="295"/>
      <c r="AT40" s="263"/>
      <c r="AU40" s="277"/>
      <c r="AV40" s="263"/>
      <c r="AW40" s="230"/>
      <c r="AX40" s="300"/>
      <c r="AY40" s="301"/>
      <c r="AZ40" s="230"/>
      <c r="BA40" s="233" t="s">
        <v>246</v>
      </c>
      <c r="BB40" s="301"/>
      <c r="BC40" s="228">
        <f t="shared" si="51"/>
        <v>0</v>
      </c>
      <c r="BD40" s="228">
        <f t="shared" si="52"/>
        <v>0</v>
      </c>
      <c r="BE40" s="228">
        <f t="shared" si="0"/>
        <v>1</v>
      </c>
      <c r="BF40" s="228" t="str">
        <f t="shared" si="19"/>
        <v>ALIVE</v>
      </c>
      <c r="BG40" s="208" t="str">
        <f t="shared" si="20"/>
        <v>Aucune</v>
      </c>
      <c r="BH40" s="208" t="str">
        <f t="shared" si="1"/>
        <v>Aucune</v>
      </c>
      <c r="BI40" s="208" t="str">
        <f t="shared" si="2"/>
        <v>Aucune</v>
      </c>
      <c r="BJ40" s="208" t="str">
        <f t="shared" si="58"/>
        <v>NON</v>
      </c>
      <c r="BK40" s="208" t="str">
        <f t="shared" si="4"/>
        <v>NON</v>
      </c>
      <c r="BL40" s="208" t="str">
        <f t="shared" si="59"/>
        <v>Inconnu</v>
      </c>
      <c r="BM40" s="208" t="str">
        <f t="shared" si="53"/>
        <v>Inconnu</v>
      </c>
      <c r="BN40" s="208" t="str">
        <f t="shared" si="54"/>
        <v>Inconnu</v>
      </c>
      <c r="BO40" s="208" t="str">
        <f t="shared" si="60"/>
        <v>Inconnu</v>
      </c>
      <c r="BP40" s="208" t="str">
        <f t="shared" si="55"/>
        <v>Inconnu</v>
      </c>
      <c r="BQ40" s="208" t="str">
        <f t="shared" si="56"/>
        <v>Inconnu</v>
      </c>
      <c r="BR40" s="208" t="str">
        <f t="shared" si="57"/>
        <v>Aucune</v>
      </c>
      <c r="BS40" s="208">
        <f t="shared" si="61"/>
        <v>0</v>
      </c>
      <c r="BT40" s="229" t="e">
        <f>VLOOKUP($I40,Lieu_Activité!$A:$B,2,FALSE)</f>
        <v>#N/A</v>
      </c>
      <c r="BU40" s="208" t="str">
        <f t="shared" si="8"/>
        <v>Aucun</v>
      </c>
      <c r="BV40" s="208" t="str">
        <f t="shared" si="9"/>
        <v>Aucun</v>
      </c>
      <c r="BW40" s="207" t="str">
        <f t="shared" si="62"/>
        <v>NON</v>
      </c>
      <c r="BX40" s="288"/>
    </row>
    <row r="41" spans="1:76" ht="12.95" customHeight="1" x14ac:dyDescent="0.25">
      <c r="A41" s="231" t="s">
        <v>213</v>
      </c>
      <c r="B41" s="268"/>
      <c r="C41" s="227"/>
      <c r="D41" s="257"/>
      <c r="E41" s="278">
        <f t="shared" si="48"/>
        <v>0</v>
      </c>
      <c r="F41" s="278" t="str">
        <f t="shared" si="12"/>
        <v xml:space="preserve"> </v>
      </c>
      <c r="G41" s="256"/>
      <c r="H41" s="256"/>
      <c r="I41" s="256"/>
      <c r="J41" s="256"/>
      <c r="K41" s="256"/>
      <c r="L41" s="257"/>
      <c r="M41" s="243"/>
      <c r="N41" s="232"/>
      <c r="O41" s="232"/>
      <c r="P41" s="265" t="str">
        <f>IFERROR(VLOOKUP(O41,Références!$K$11:$N$19,2)," ")</f>
        <v xml:space="preserve"> </v>
      </c>
      <c r="Q41" s="265" t="str">
        <f>IFERROR(VLOOKUP(O41,Références!$K$11:$N$19,3)," ")</f>
        <v xml:space="preserve"> </v>
      </c>
      <c r="R41" s="265" t="str">
        <f>IFERROR(VLOOKUP(O41,Références!$K$11:$N$19,4)," ")</f>
        <v xml:space="preserve"> </v>
      </c>
      <c r="S41" s="256"/>
      <c r="T41" s="256"/>
      <c r="U41" s="256"/>
      <c r="V41" s="256"/>
      <c r="W41" s="256"/>
      <c r="X41" s="257"/>
      <c r="Y41" s="256">
        <v>1</v>
      </c>
      <c r="Z41" s="256"/>
      <c r="AA41" s="256"/>
      <c r="AB41" s="235"/>
      <c r="AC41" s="235"/>
      <c r="AD41" s="235"/>
      <c r="AE41" s="235"/>
      <c r="AF41" s="235"/>
      <c r="AG41" s="235"/>
      <c r="AH41" s="235"/>
      <c r="AI41" s="235">
        <f t="shared" si="49"/>
        <v>0</v>
      </c>
      <c r="AJ41" s="257"/>
      <c r="AK41" s="256">
        <f t="shared" si="38"/>
        <v>0</v>
      </c>
      <c r="AL41" s="257"/>
      <c r="AM41" s="266">
        <f t="shared" si="50"/>
        <v>0</v>
      </c>
      <c r="AN41" s="256"/>
      <c r="AO41" s="276"/>
      <c r="AP41" s="261" t="str">
        <f t="shared" si="16"/>
        <v xml:space="preserve"> </v>
      </c>
      <c r="AQ41" s="256"/>
      <c r="AR41" s="295"/>
      <c r="AS41" s="295"/>
      <c r="AT41" s="263"/>
      <c r="AU41" s="277"/>
      <c r="AV41" s="263"/>
      <c r="AW41" s="230"/>
      <c r="AX41" s="300"/>
      <c r="AY41" s="301"/>
      <c r="AZ41" s="230"/>
      <c r="BA41" s="233" t="s">
        <v>246</v>
      </c>
      <c r="BB41" s="301"/>
      <c r="BC41" s="228">
        <f t="shared" si="51"/>
        <v>0</v>
      </c>
      <c r="BD41" s="228">
        <f t="shared" si="52"/>
        <v>0</v>
      </c>
      <c r="BE41" s="228">
        <f t="shared" si="0"/>
        <v>1</v>
      </c>
      <c r="BF41" s="228" t="str">
        <f t="shared" si="19"/>
        <v>ALIVE</v>
      </c>
      <c r="BG41" s="208" t="str">
        <f t="shared" si="20"/>
        <v>Aucune</v>
      </c>
      <c r="BH41" s="208" t="str">
        <f t="shared" si="1"/>
        <v>Aucune</v>
      </c>
      <c r="BI41" s="208" t="str">
        <f t="shared" si="2"/>
        <v>Aucune</v>
      </c>
      <c r="BJ41" s="208" t="str">
        <f t="shared" si="58"/>
        <v>NON</v>
      </c>
      <c r="BK41" s="208" t="str">
        <f t="shared" si="4"/>
        <v>NON</v>
      </c>
      <c r="BL41" s="208" t="str">
        <f t="shared" si="59"/>
        <v>Inconnu</v>
      </c>
      <c r="BM41" s="208" t="str">
        <f t="shared" si="53"/>
        <v>Inconnu</v>
      </c>
      <c r="BN41" s="208" t="str">
        <f t="shared" si="54"/>
        <v>Inconnu</v>
      </c>
      <c r="BO41" s="208" t="str">
        <f t="shared" si="60"/>
        <v>Inconnu</v>
      </c>
      <c r="BP41" s="208" t="str">
        <f t="shared" si="55"/>
        <v>Inconnu</v>
      </c>
      <c r="BQ41" s="208" t="str">
        <f t="shared" si="56"/>
        <v>Inconnu</v>
      </c>
      <c r="BR41" s="208" t="str">
        <f t="shared" si="57"/>
        <v>Aucune</v>
      </c>
      <c r="BS41" s="208">
        <f t="shared" si="61"/>
        <v>0</v>
      </c>
      <c r="BT41" s="229" t="e">
        <f>VLOOKUP($I41,Lieu_Activité!$A:$B,2,FALSE)</f>
        <v>#N/A</v>
      </c>
      <c r="BU41" s="208" t="str">
        <f t="shared" si="8"/>
        <v>Aucun</v>
      </c>
      <c r="BV41" s="208" t="str">
        <f t="shared" si="9"/>
        <v>Aucun</v>
      </c>
      <c r="BW41" s="207" t="str">
        <f t="shared" si="62"/>
        <v>NON</v>
      </c>
      <c r="BX41" s="288"/>
    </row>
    <row r="42" spans="1:76" ht="12.95" customHeight="1" x14ac:dyDescent="0.25">
      <c r="A42" s="231" t="s">
        <v>213</v>
      </c>
      <c r="B42" s="234"/>
      <c r="C42" s="227"/>
      <c r="D42" s="257"/>
      <c r="E42" s="278">
        <f t="shared" si="48"/>
        <v>0</v>
      </c>
      <c r="F42" s="278" t="str">
        <f t="shared" si="12"/>
        <v xml:space="preserve"> </v>
      </c>
      <c r="G42" s="256"/>
      <c r="H42" s="256"/>
      <c r="I42" s="256"/>
      <c r="J42" s="256"/>
      <c r="K42" s="256"/>
      <c r="L42" s="257"/>
      <c r="M42" s="243"/>
      <c r="N42" s="232"/>
      <c r="O42" s="232"/>
      <c r="P42" s="265" t="str">
        <f>IFERROR(VLOOKUP(O42,Références!$K$11:$N$19,2)," ")</f>
        <v xml:space="preserve"> </v>
      </c>
      <c r="Q42" s="265" t="str">
        <f>IFERROR(VLOOKUP(O42,Références!$K$11:$N$19,3)," ")</f>
        <v xml:space="preserve"> </v>
      </c>
      <c r="R42" s="265" t="str">
        <f>IFERROR(VLOOKUP(O42,Références!$K$11:$N$19,4)," ")</f>
        <v xml:space="preserve"> </v>
      </c>
      <c r="S42" s="256"/>
      <c r="T42" s="256"/>
      <c r="U42" s="256"/>
      <c r="V42" s="256"/>
      <c r="W42" s="256"/>
      <c r="X42" s="257"/>
      <c r="Y42" s="256">
        <v>1</v>
      </c>
      <c r="Z42" s="256"/>
      <c r="AA42" s="256"/>
      <c r="AB42" s="235"/>
      <c r="AC42" s="235"/>
      <c r="AD42" s="235"/>
      <c r="AE42" s="235"/>
      <c r="AF42" s="235"/>
      <c r="AG42" s="235"/>
      <c r="AH42" s="235"/>
      <c r="AI42" s="235">
        <f t="shared" si="49"/>
        <v>0</v>
      </c>
      <c r="AJ42" s="257"/>
      <c r="AK42" s="256">
        <f t="shared" si="38"/>
        <v>0</v>
      </c>
      <c r="AL42" s="257"/>
      <c r="AM42" s="266">
        <f t="shared" si="50"/>
        <v>0</v>
      </c>
      <c r="AN42" s="256"/>
      <c r="AO42" s="276"/>
      <c r="AP42" s="261" t="str">
        <f t="shared" si="16"/>
        <v xml:space="preserve"> </v>
      </c>
      <c r="AQ42" s="256"/>
      <c r="AR42" s="295"/>
      <c r="AS42" s="295"/>
      <c r="AT42" s="263"/>
      <c r="AU42" s="277"/>
      <c r="AV42" s="263"/>
      <c r="AW42" s="230"/>
      <c r="AX42" s="300"/>
      <c r="AY42" s="301"/>
      <c r="AZ42" s="230"/>
      <c r="BA42" s="300" t="s">
        <v>234</v>
      </c>
      <c r="BB42" s="295"/>
      <c r="BC42" s="228">
        <f t="shared" si="51"/>
        <v>0</v>
      </c>
      <c r="BD42" s="228">
        <f t="shared" si="52"/>
        <v>0</v>
      </c>
      <c r="BE42" s="228">
        <f t="shared" si="0"/>
        <v>1</v>
      </c>
      <c r="BF42" s="228" t="str">
        <f t="shared" si="19"/>
        <v>ALIVE</v>
      </c>
      <c r="BG42" s="208" t="str">
        <f t="shared" si="20"/>
        <v>Aucune</v>
      </c>
      <c r="BH42" s="208" t="str">
        <f t="shared" si="1"/>
        <v>Aucune</v>
      </c>
      <c r="BI42" s="208" t="str">
        <f t="shared" si="2"/>
        <v>Aucune</v>
      </c>
      <c r="BJ42" s="208" t="str">
        <f t="shared" si="58"/>
        <v>NON</v>
      </c>
      <c r="BK42" s="208" t="str">
        <f t="shared" si="4"/>
        <v>NON</v>
      </c>
      <c r="BL42" s="208" t="str">
        <f t="shared" si="59"/>
        <v>Inconnu</v>
      </c>
      <c r="BM42" s="208" t="str">
        <f t="shared" si="53"/>
        <v>Inconnu</v>
      </c>
      <c r="BN42" s="208" t="str">
        <f t="shared" si="54"/>
        <v>Inconnu</v>
      </c>
      <c r="BO42" s="208" t="str">
        <f t="shared" si="60"/>
        <v>Inconnu</v>
      </c>
      <c r="BP42" s="208" t="str">
        <f t="shared" si="55"/>
        <v>Inconnu</v>
      </c>
      <c r="BQ42" s="208" t="str">
        <f t="shared" si="56"/>
        <v>Inconnu</v>
      </c>
      <c r="BR42" s="208" t="str">
        <f t="shared" si="57"/>
        <v>Aucune</v>
      </c>
      <c r="BS42" s="208">
        <f t="shared" si="61"/>
        <v>0</v>
      </c>
      <c r="BT42" s="229" t="e">
        <f>VLOOKUP($I42,Lieu_Activité!$A:$B,2,FALSE)</f>
        <v>#N/A</v>
      </c>
      <c r="BU42" s="208" t="str">
        <f t="shared" si="8"/>
        <v>Aucun</v>
      </c>
      <c r="BV42" s="208" t="str">
        <f t="shared" si="9"/>
        <v>Aucun</v>
      </c>
      <c r="BW42" s="207" t="str">
        <f t="shared" si="62"/>
        <v>NON</v>
      </c>
      <c r="BX42" s="288"/>
    </row>
    <row r="43" spans="1:76" ht="12.95" customHeight="1" x14ac:dyDescent="0.25">
      <c r="A43" s="231" t="s">
        <v>213</v>
      </c>
      <c r="B43" s="234"/>
      <c r="C43" s="227"/>
      <c r="D43" s="257"/>
      <c r="E43" s="278">
        <f t="shared" ref="E43:E53" si="63">(L43-D43)/365</f>
        <v>0</v>
      </c>
      <c r="F43" s="278" t="str">
        <f t="shared" si="12"/>
        <v xml:space="preserve"> </v>
      </c>
      <c r="G43" s="256"/>
      <c r="H43" s="256"/>
      <c r="I43" s="256"/>
      <c r="J43" s="256"/>
      <c r="K43" s="256"/>
      <c r="L43" s="257"/>
      <c r="M43" s="243"/>
      <c r="N43" s="232"/>
      <c r="O43" s="232"/>
      <c r="P43" s="265" t="str">
        <f>IFERROR(VLOOKUP(O43,Références!$K$11:$N$19,2)," ")</f>
        <v xml:space="preserve"> </v>
      </c>
      <c r="Q43" s="265" t="str">
        <f>IFERROR(VLOOKUP(O43,Références!$K$11:$N$19,3)," ")</f>
        <v xml:space="preserve"> </v>
      </c>
      <c r="R43" s="265" t="str">
        <f>IFERROR(VLOOKUP(O43,Références!$K$11:$N$19,4)," ")</f>
        <v xml:space="preserve"> </v>
      </c>
      <c r="S43" s="256"/>
      <c r="T43" s="256"/>
      <c r="U43" s="256"/>
      <c r="V43" s="256"/>
      <c r="W43" s="256"/>
      <c r="X43" s="257"/>
      <c r="Y43" s="256">
        <v>1</v>
      </c>
      <c r="Z43" s="256"/>
      <c r="AA43" s="256"/>
      <c r="AB43" s="235"/>
      <c r="AC43" s="235"/>
      <c r="AD43" s="235"/>
      <c r="AE43" s="235"/>
      <c r="AF43" s="235"/>
      <c r="AG43" s="235"/>
      <c r="AH43" s="235"/>
      <c r="AI43" s="235">
        <f t="shared" ref="AI43:AI90" si="64">SUM(AF43,AH43)</f>
        <v>0</v>
      </c>
      <c r="AJ43" s="257"/>
      <c r="AK43" s="256">
        <f t="shared" si="38"/>
        <v>0</v>
      </c>
      <c r="AL43" s="257"/>
      <c r="AM43" s="266">
        <f>(AL43-L43)</f>
        <v>0</v>
      </c>
      <c r="AN43" s="256"/>
      <c r="AO43" s="276"/>
      <c r="AP43" s="261" t="str">
        <f t="shared" si="16"/>
        <v xml:space="preserve"> </v>
      </c>
      <c r="AQ43" s="256"/>
      <c r="AR43" s="295"/>
      <c r="AS43" s="295"/>
      <c r="AT43" s="263"/>
      <c r="AU43" s="277"/>
      <c r="AV43" s="263"/>
      <c r="AW43" s="230"/>
      <c r="AX43" s="300"/>
      <c r="AY43" s="301"/>
      <c r="AZ43" s="230"/>
      <c r="BA43" s="300" t="s">
        <v>234</v>
      </c>
      <c r="BB43" s="295"/>
      <c r="BC43" s="228">
        <f t="shared" ref="BC43:BC74" si="65">IF(BG43="Aucune",0,1)</f>
        <v>0</v>
      </c>
      <c r="BD43" s="228">
        <f t="shared" ref="BD43:BD74" si="66">IF(BH43="Aucune",0,1)</f>
        <v>0</v>
      </c>
      <c r="BE43" s="228">
        <f t="shared" si="0"/>
        <v>1</v>
      </c>
      <c r="BF43" s="228" t="str">
        <f t="shared" si="19"/>
        <v>ALIVE</v>
      </c>
      <c r="BG43" s="208" t="str">
        <f t="shared" si="20"/>
        <v>Aucune</v>
      </c>
      <c r="BH43" s="208" t="str">
        <f t="shared" si="1"/>
        <v>Aucune</v>
      </c>
      <c r="BI43" s="208" t="str">
        <f t="shared" si="2"/>
        <v>Aucune</v>
      </c>
      <c r="BJ43" s="208" t="str">
        <f t="shared" si="58"/>
        <v>NON</v>
      </c>
      <c r="BK43" s="208" t="str">
        <f t="shared" si="4"/>
        <v>NON</v>
      </c>
      <c r="BL43" s="208" t="str">
        <f t="shared" si="59"/>
        <v>Inconnu</v>
      </c>
      <c r="BM43" s="208" t="str">
        <f t="shared" ref="BM43:BM74" si="67">IF($O43&lt;&gt;"HTX",IF($O43&lt;&gt;"LVAD",BL43,"Inconnu"),"Inconnu")</f>
        <v>Inconnu</v>
      </c>
      <c r="BN43" s="208" t="str">
        <f t="shared" ref="BN43:BN74" si="68">IF($O43="HTX",BL43,IF($O43="LVAD",BL43,"Inconnu"))</f>
        <v>Inconnu</v>
      </c>
      <c r="BO43" s="208" t="str">
        <f t="shared" si="60"/>
        <v>Inconnu</v>
      </c>
      <c r="BP43" s="208" t="str">
        <f t="shared" ref="BP43:BP74" si="69">IF($O43&lt;&gt;"HTX",IF($O43&lt;&gt;"LVAD",BO43,"Inconnu"),"Inconnu")</f>
        <v>Inconnu</v>
      </c>
      <c r="BQ43" s="208" t="str">
        <f t="shared" ref="BQ43:BQ74" si="70">IF($O43="HTX",BO43,IF($O43="LVAD",BO43,"Inconnu"))</f>
        <v>Inconnu</v>
      </c>
      <c r="BR43" s="208" t="str">
        <f t="shared" ref="BR43:BR74" si="71">IF(BH43="Aucune",IF(BI43="Aucune","Aucune","Transfusé"),"Transfusé")</f>
        <v>Aucune</v>
      </c>
      <c r="BS43" s="208">
        <f t="shared" si="61"/>
        <v>0</v>
      </c>
      <c r="BT43" s="229" t="e">
        <f>VLOOKUP($I43,Lieu_Activité!$A:$B,2,FALSE)</f>
        <v>#N/A</v>
      </c>
      <c r="BU43" s="208" t="str">
        <f t="shared" si="8"/>
        <v>Aucun</v>
      </c>
      <c r="BV43" s="208" t="str">
        <f t="shared" si="9"/>
        <v>Aucun</v>
      </c>
      <c r="BW43" s="207" t="str">
        <f t="shared" si="62"/>
        <v>NON</v>
      </c>
      <c r="BX43" s="288"/>
    </row>
    <row r="44" spans="1:76" ht="12.95" customHeight="1" x14ac:dyDescent="0.25">
      <c r="A44" s="231" t="s">
        <v>213</v>
      </c>
      <c r="B44" s="234"/>
      <c r="C44" s="227"/>
      <c r="D44" s="257"/>
      <c r="E44" s="278">
        <f t="shared" si="63"/>
        <v>0</v>
      </c>
      <c r="F44" s="278" t="str">
        <f t="shared" si="12"/>
        <v xml:space="preserve"> </v>
      </c>
      <c r="G44" s="256"/>
      <c r="H44" s="256"/>
      <c r="I44" s="256"/>
      <c r="J44" s="256"/>
      <c r="K44" s="256"/>
      <c r="L44" s="257"/>
      <c r="M44" s="243"/>
      <c r="N44" s="232"/>
      <c r="O44" s="232"/>
      <c r="P44" s="265" t="str">
        <f>IFERROR(VLOOKUP(O44,Références!$K$11:$N$19,2)," ")</f>
        <v xml:space="preserve"> </v>
      </c>
      <c r="Q44" s="265" t="str">
        <f>IFERROR(VLOOKUP(O44,Références!$K$11:$N$19,3)," ")</f>
        <v xml:space="preserve"> </v>
      </c>
      <c r="R44" s="265" t="str">
        <f>IFERROR(VLOOKUP(O44,Références!$K$11:$N$19,4)," ")</f>
        <v xml:space="preserve"> </v>
      </c>
      <c r="S44" s="256"/>
      <c r="T44" s="256"/>
      <c r="U44" s="256"/>
      <c r="V44" s="256"/>
      <c r="W44" s="256"/>
      <c r="X44" s="257"/>
      <c r="Y44" s="256">
        <v>1</v>
      </c>
      <c r="Z44" s="256"/>
      <c r="AA44" s="256"/>
      <c r="AB44" s="235"/>
      <c r="AC44" s="235"/>
      <c r="AD44" s="235"/>
      <c r="AE44" s="235"/>
      <c r="AF44" s="235"/>
      <c r="AG44" s="235"/>
      <c r="AH44" s="235"/>
      <c r="AI44" s="235">
        <f t="shared" si="64"/>
        <v>0</v>
      </c>
      <c r="AJ44" s="257"/>
      <c r="AK44" s="256">
        <f t="shared" si="38"/>
        <v>0</v>
      </c>
      <c r="AL44" s="257"/>
      <c r="AM44" s="266">
        <f>(AL44-L44)</f>
        <v>0</v>
      </c>
      <c r="AN44" s="256"/>
      <c r="AO44" s="276"/>
      <c r="AP44" s="261" t="str">
        <f t="shared" si="16"/>
        <v xml:space="preserve"> </v>
      </c>
      <c r="AQ44" s="256"/>
      <c r="AR44" s="295"/>
      <c r="AS44" s="295"/>
      <c r="AT44" s="263"/>
      <c r="AU44" s="277"/>
      <c r="AV44" s="263"/>
      <c r="AW44" s="230"/>
      <c r="AX44" s="300"/>
      <c r="AY44" s="301"/>
      <c r="AZ44" s="230"/>
      <c r="BA44" s="300" t="s">
        <v>234</v>
      </c>
      <c r="BB44" s="295"/>
      <c r="BC44" s="228">
        <f t="shared" si="65"/>
        <v>0</v>
      </c>
      <c r="BD44" s="228">
        <f t="shared" si="66"/>
        <v>0</v>
      </c>
      <c r="BE44" s="228">
        <f t="shared" si="0"/>
        <v>1</v>
      </c>
      <c r="BF44" s="228" t="str">
        <f t="shared" si="19"/>
        <v>ALIVE</v>
      </c>
      <c r="BG44" s="208" t="str">
        <f t="shared" si="20"/>
        <v>Aucune</v>
      </c>
      <c r="BH44" s="208" t="str">
        <f t="shared" si="1"/>
        <v>Aucune</v>
      </c>
      <c r="BI44" s="208" t="str">
        <f t="shared" si="2"/>
        <v>Aucune</v>
      </c>
      <c r="BJ44" s="208" t="str">
        <f t="shared" si="58"/>
        <v>NON</v>
      </c>
      <c r="BK44" s="208" t="str">
        <f t="shared" si="4"/>
        <v>NON</v>
      </c>
      <c r="BL44" s="208" t="str">
        <f t="shared" si="59"/>
        <v>Inconnu</v>
      </c>
      <c r="BM44" s="208" t="str">
        <f t="shared" si="67"/>
        <v>Inconnu</v>
      </c>
      <c r="BN44" s="208" t="str">
        <f t="shared" si="68"/>
        <v>Inconnu</v>
      </c>
      <c r="BO44" s="208" t="str">
        <f t="shared" si="60"/>
        <v>Inconnu</v>
      </c>
      <c r="BP44" s="208" t="str">
        <f t="shared" si="69"/>
        <v>Inconnu</v>
      </c>
      <c r="BQ44" s="208" t="str">
        <f t="shared" si="70"/>
        <v>Inconnu</v>
      </c>
      <c r="BR44" s="208" t="str">
        <f t="shared" si="71"/>
        <v>Aucune</v>
      </c>
      <c r="BS44" s="208">
        <f t="shared" si="61"/>
        <v>0</v>
      </c>
      <c r="BT44" s="229" t="e">
        <f>VLOOKUP($I44,Lieu_Activité!$A:$B,2,FALSE)</f>
        <v>#N/A</v>
      </c>
      <c r="BU44" s="208" t="str">
        <f t="shared" si="8"/>
        <v>Aucun</v>
      </c>
      <c r="BV44" s="208" t="str">
        <f t="shared" si="9"/>
        <v>Aucun</v>
      </c>
      <c r="BW44" s="207" t="str">
        <f t="shared" si="62"/>
        <v>NON</v>
      </c>
      <c r="BX44" s="288"/>
    </row>
    <row r="45" spans="1:76" ht="12.95" customHeight="1" x14ac:dyDescent="0.25">
      <c r="A45" s="231" t="s">
        <v>213</v>
      </c>
      <c r="B45" s="234"/>
      <c r="C45" s="227"/>
      <c r="D45" s="257"/>
      <c r="E45" s="278">
        <f t="shared" si="63"/>
        <v>0</v>
      </c>
      <c r="F45" s="278" t="str">
        <f t="shared" si="12"/>
        <v xml:space="preserve"> </v>
      </c>
      <c r="G45" s="256"/>
      <c r="H45" s="256"/>
      <c r="I45" s="256"/>
      <c r="J45" s="256"/>
      <c r="K45" s="256"/>
      <c r="L45" s="257"/>
      <c r="M45" s="243"/>
      <c r="N45" s="232"/>
      <c r="O45" s="256"/>
      <c r="P45" s="265" t="str">
        <f>IFERROR(VLOOKUP(O45,Références!$K$11:$N$19,2)," ")</f>
        <v xml:space="preserve"> </v>
      </c>
      <c r="Q45" s="265" t="str">
        <f>IFERROR(VLOOKUP(O45,Références!$K$11:$N$19,3)," ")</f>
        <v xml:space="preserve"> </v>
      </c>
      <c r="R45" s="265" t="str">
        <f>IFERROR(VLOOKUP(O45,Références!$K$11:$N$19,4)," ")</f>
        <v xml:space="preserve"> </v>
      </c>
      <c r="S45" s="256"/>
      <c r="T45" s="256"/>
      <c r="U45" s="256"/>
      <c r="V45" s="256"/>
      <c r="W45" s="256"/>
      <c r="X45" s="257"/>
      <c r="Y45" s="256">
        <v>1</v>
      </c>
      <c r="Z45" s="256"/>
      <c r="AA45" s="256"/>
      <c r="AB45" s="235"/>
      <c r="AC45" s="235"/>
      <c r="AD45" s="235"/>
      <c r="AE45" s="235"/>
      <c r="AF45" s="235"/>
      <c r="AG45" s="235"/>
      <c r="AH45" s="235"/>
      <c r="AI45" s="235">
        <f t="shared" si="64"/>
        <v>0</v>
      </c>
      <c r="AJ45" s="257"/>
      <c r="AK45" s="256">
        <f t="shared" si="38"/>
        <v>0</v>
      </c>
      <c r="AL45" s="257"/>
      <c r="AM45" s="266">
        <f>(AL45-L45)</f>
        <v>0</v>
      </c>
      <c r="AN45" s="256"/>
      <c r="AO45" s="276"/>
      <c r="AP45" s="261" t="str">
        <f t="shared" si="16"/>
        <v xml:space="preserve"> </v>
      </c>
      <c r="AQ45" s="256"/>
      <c r="AR45" s="295"/>
      <c r="AS45" s="295"/>
      <c r="AT45" s="263"/>
      <c r="AU45" s="277"/>
      <c r="AV45" s="263"/>
      <c r="AW45" s="230"/>
      <c r="AX45" s="300"/>
      <c r="AY45" s="301"/>
      <c r="AZ45" s="230"/>
      <c r="BA45" s="300"/>
      <c r="BB45" s="295"/>
      <c r="BC45" s="228">
        <f t="shared" si="65"/>
        <v>0</v>
      </c>
      <c r="BD45" s="228">
        <f t="shared" si="66"/>
        <v>0</v>
      </c>
      <c r="BE45" s="228">
        <f t="shared" si="0"/>
        <v>1</v>
      </c>
      <c r="BF45" s="228" t="str">
        <f t="shared" si="19"/>
        <v>ALIVE</v>
      </c>
      <c r="BG45" s="208" t="str">
        <f t="shared" si="20"/>
        <v>Aucune</v>
      </c>
      <c r="BH45" s="208" t="str">
        <f t="shared" si="1"/>
        <v>Aucune</v>
      </c>
      <c r="BI45" s="208" t="str">
        <f t="shared" si="2"/>
        <v>Aucune</v>
      </c>
      <c r="BJ45" s="208" t="str">
        <f t="shared" si="58"/>
        <v>NON</v>
      </c>
      <c r="BK45" s="208" t="str">
        <f t="shared" si="4"/>
        <v>NON</v>
      </c>
      <c r="BL45" s="208" t="str">
        <f t="shared" si="59"/>
        <v>Inconnu</v>
      </c>
      <c r="BM45" s="208" t="str">
        <f t="shared" si="67"/>
        <v>Inconnu</v>
      </c>
      <c r="BN45" s="208" t="str">
        <f t="shared" si="68"/>
        <v>Inconnu</v>
      </c>
      <c r="BO45" s="208" t="str">
        <f t="shared" si="60"/>
        <v>Inconnu</v>
      </c>
      <c r="BP45" s="208" t="str">
        <f t="shared" si="69"/>
        <v>Inconnu</v>
      </c>
      <c r="BQ45" s="208" t="str">
        <f t="shared" si="70"/>
        <v>Inconnu</v>
      </c>
      <c r="BR45" s="208" t="str">
        <f t="shared" si="71"/>
        <v>Aucune</v>
      </c>
      <c r="BS45" s="208">
        <f t="shared" si="61"/>
        <v>0</v>
      </c>
      <c r="BT45" s="229" t="e">
        <f>VLOOKUP($I45,Lieu_Activité!$A:$B,2,FALSE)</f>
        <v>#N/A</v>
      </c>
      <c r="BU45" s="208" t="str">
        <f t="shared" si="8"/>
        <v>Aucun</v>
      </c>
      <c r="BV45" s="208" t="str">
        <f t="shared" si="9"/>
        <v>Aucun</v>
      </c>
      <c r="BW45" s="207" t="str">
        <f t="shared" si="62"/>
        <v>NON</v>
      </c>
      <c r="BX45" s="288"/>
    </row>
    <row r="46" spans="1:76" ht="12.95" customHeight="1" x14ac:dyDescent="0.25">
      <c r="A46" s="231" t="s">
        <v>213</v>
      </c>
      <c r="B46" s="234"/>
      <c r="C46" s="227"/>
      <c r="D46" s="257"/>
      <c r="E46" s="278">
        <f t="shared" si="63"/>
        <v>0</v>
      </c>
      <c r="F46" s="278" t="str">
        <f t="shared" si="12"/>
        <v xml:space="preserve"> </v>
      </c>
      <c r="G46" s="256"/>
      <c r="H46" s="256"/>
      <c r="I46" s="256"/>
      <c r="J46" s="256"/>
      <c r="K46" s="256"/>
      <c r="L46" s="257"/>
      <c r="M46" s="243"/>
      <c r="N46" s="232"/>
      <c r="O46" s="232"/>
      <c r="P46" s="265" t="str">
        <f>IFERROR(VLOOKUP(O46,Références!$K$11:$N$19,2)," ")</f>
        <v xml:space="preserve"> </v>
      </c>
      <c r="Q46" s="265" t="str">
        <f>IFERROR(VLOOKUP(O46,Références!$K$11:$N$19,3)," ")</f>
        <v xml:space="preserve"> </v>
      </c>
      <c r="R46" s="265" t="str">
        <f>IFERROR(VLOOKUP(O46,Références!$K$11:$N$19,4)," ")</f>
        <v xml:space="preserve"> </v>
      </c>
      <c r="S46" s="256"/>
      <c r="T46" s="256"/>
      <c r="U46" s="256"/>
      <c r="V46" s="256"/>
      <c r="W46" s="256"/>
      <c r="X46" s="257"/>
      <c r="Y46" s="256"/>
      <c r="Z46" s="256"/>
      <c r="AA46" s="256"/>
      <c r="AB46" s="235"/>
      <c r="AC46" s="235"/>
      <c r="AD46" s="235"/>
      <c r="AE46" s="235"/>
      <c r="AF46" s="235"/>
      <c r="AG46" s="235"/>
      <c r="AH46" s="235"/>
      <c r="AI46" s="235">
        <f t="shared" si="64"/>
        <v>0</v>
      </c>
      <c r="AJ46" s="257"/>
      <c r="AK46" s="256">
        <f t="shared" si="38"/>
        <v>0</v>
      </c>
      <c r="AL46" s="257"/>
      <c r="AM46" s="266">
        <f t="shared" ref="AM46:AM86" si="72">(AL46-L46)</f>
        <v>0</v>
      </c>
      <c r="AN46" s="256"/>
      <c r="AO46" s="276"/>
      <c r="AP46" s="261" t="str">
        <f t="shared" si="16"/>
        <v xml:space="preserve"> </v>
      </c>
      <c r="AQ46" s="256"/>
      <c r="AR46" s="295"/>
      <c r="AS46" s="295"/>
      <c r="AT46" s="263"/>
      <c r="AU46" s="277"/>
      <c r="AV46" s="263"/>
      <c r="AW46" s="230"/>
      <c r="AX46" s="300"/>
      <c r="AY46" s="301"/>
      <c r="AZ46" s="230"/>
      <c r="BA46" s="300" t="s">
        <v>234</v>
      </c>
      <c r="BB46" s="295"/>
      <c r="BC46" s="228">
        <f t="shared" si="65"/>
        <v>0</v>
      </c>
      <c r="BD46" s="228">
        <f t="shared" si="66"/>
        <v>0</v>
      </c>
      <c r="BE46" s="228">
        <f t="shared" si="0"/>
        <v>1</v>
      </c>
      <c r="BF46" s="228" t="str">
        <f t="shared" si="19"/>
        <v>ALIVE</v>
      </c>
      <c r="BG46" s="208" t="str">
        <f t="shared" si="20"/>
        <v>Aucune</v>
      </c>
      <c r="BH46" s="208" t="str">
        <f t="shared" si="1"/>
        <v>Aucune</v>
      </c>
      <c r="BI46" s="208" t="str">
        <f t="shared" si="2"/>
        <v>Aucune</v>
      </c>
      <c r="BJ46" s="208" t="str">
        <f t="shared" si="58"/>
        <v>NON</v>
      </c>
      <c r="BK46" s="208" t="str">
        <f t="shared" si="4"/>
        <v>NON</v>
      </c>
      <c r="BL46" s="208" t="str">
        <f t="shared" si="59"/>
        <v>Inconnu</v>
      </c>
      <c r="BM46" s="208" t="str">
        <f t="shared" si="67"/>
        <v>Inconnu</v>
      </c>
      <c r="BN46" s="208" t="str">
        <f t="shared" si="68"/>
        <v>Inconnu</v>
      </c>
      <c r="BO46" s="208" t="str">
        <f t="shared" si="60"/>
        <v>Inconnu</v>
      </c>
      <c r="BP46" s="208" t="str">
        <f t="shared" si="69"/>
        <v>Inconnu</v>
      </c>
      <c r="BQ46" s="208" t="str">
        <f t="shared" si="70"/>
        <v>Inconnu</v>
      </c>
      <c r="BR46" s="208" t="str">
        <f t="shared" si="71"/>
        <v>Aucune</v>
      </c>
      <c r="BS46" s="208">
        <f t="shared" si="61"/>
        <v>0</v>
      </c>
      <c r="BT46" s="229" t="e">
        <f>VLOOKUP($I46,Lieu_Activité!$A:$B,2,FALSE)</f>
        <v>#N/A</v>
      </c>
      <c r="BU46" s="208" t="str">
        <f t="shared" si="8"/>
        <v>Aucun</v>
      </c>
      <c r="BV46" s="208" t="str">
        <f t="shared" si="9"/>
        <v>Aucun</v>
      </c>
      <c r="BW46" s="207" t="str">
        <f t="shared" si="62"/>
        <v>NON</v>
      </c>
      <c r="BX46" s="288"/>
    </row>
    <row r="47" spans="1:76" ht="12.95" customHeight="1" x14ac:dyDescent="0.25">
      <c r="A47" s="231" t="s">
        <v>213</v>
      </c>
      <c r="B47" s="267"/>
      <c r="C47" s="227"/>
      <c r="D47" s="257"/>
      <c r="E47" s="278">
        <f t="shared" si="63"/>
        <v>0</v>
      </c>
      <c r="F47" s="278" t="str">
        <f t="shared" si="12"/>
        <v xml:space="preserve"> </v>
      </c>
      <c r="G47" s="256"/>
      <c r="H47" s="256"/>
      <c r="I47" s="256"/>
      <c r="J47" s="256"/>
      <c r="K47" s="256"/>
      <c r="L47" s="257"/>
      <c r="M47" s="243"/>
      <c r="N47" s="232"/>
      <c r="O47" s="232"/>
      <c r="P47" s="265" t="str">
        <f>IFERROR(VLOOKUP(O47,Références!$K$11:$N$19,2)," ")</f>
        <v xml:space="preserve"> </v>
      </c>
      <c r="Q47" s="265" t="str">
        <f>IFERROR(VLOOKUP(O47,Références!$K$11:$N$19,3)," ")</f>
        <v xml:space="preserve"> </v>
      </c>
      <c r="R47" s="265" t="str">
        <f>IFERROR(VLOOKUP(O47,Références!$K$11:$N$19,4)," ")</f>
        <v xml:space="preserve"> </v>
      </c>
      <c r="S47" s="256"/>
      <c r="T47" s="256"/>
      <c r="U47" s="256"/>
      <c r="V47" s="256"/>
      <c r="W47" s="256"/>
      <c r="X47" s="257"/>
      <c r="Y47" s="256"/>
      <c r="Z47" s="256"/>
      <c r="AA47" s="256"/>
      <c r="AB47" s="235"/>
      <c r="AC47" s="235"/>
      <c r="AD47" s="235"/>
      <c r="AE47" s="235"/>
      <c r="AF47" s="235"/>
      <c r="AG47" s="235"/>
      <c r="AH47" s="235"/>
      <c r="AI47" s="235">
        <f t="shared" si="64"/>
        <v>0</v>
      </c>
      <c r="AJ47" s="257"/>
      <c r="AK47" s="256">
        <f t="shared" si="38"/>
        <v>0</v>
      </c>
      <c r="AL47" s="257"/>
      <c r="AM47" s="266">
        <f t="shared" si="72"/>
        <v>0</v>
      </c>
      <c r="AN47" s="256"/>
      <c r="AO47" s="276"/>
      <c r="AP47" s="261" t="str">
        <f t="shared" si="16"/>
        <v xml:space="preserve"> </v>
      </c>
      <c r="AQ47" s="256"/>
      <c r="AR47" s="295"/>
      <c r="AS47" s="295"/>
      <c r="AT47" s="263"/>
      <c r="AU47" s="277"/>
      <c r="AV47" s="263"/>
      <c r="AW47" s="230"/>
      <c r="AX47" s="300"/>
      <c r="AY47" s="301"/>
      <c r="AZ47" s="230"/>
      <c r="BA47" s="300"/>
      <c r="BB47" s="295"/>
      <c r="BC47" s="228">
        <f t="shared" si="65"/>
        <v>0</v>
      </c>
      <c r="BD47" s="228">
        <f t="shared" si="66"/>
        <v>0</v>
      </c>
      <c r="BE47" s="228">
        <f t="shared" si="0"/>
        <v>1</v>
      </c>
      <c r="BF47" s="228" t="str">
        <f t="shared" si="19"/>
        <v>ALIVE</v>
      </c>
      <c r="BG47" s="208" t="str">
        <f t="shared" si="20"/>
        <v>Aucune</v>
      </c>
      <c r="BH47" s="208" t="str">
        <f t="shared" si="1"/>
        <v>Aucune</v>
      </c>
      <c r="BI47" s="208" t="str">
        <f t="shared" si="2"/>
        <v>Aucune</v>
      </c>
      <c r="BJ47" s="208" t="str">
        <f t="shared" si="58"/>
        <v>NON</v>
      </c>
      <c r="BK47" s="208" t="str">
        <f t="shared" si="4"/>
        <v>NON</v>
      </c>
      <c r="BL47" s="208" t="str">
        <f t="shared" si="59"/>
        <v>Inconnu</v>
      </c>
      <c r="BM47" s="208" t="str">
        <f t="shared" si="67"/>
        <v>Inconnu</v>
      </c>
      <c r="BN47" s="208" t="str">
        <f t="shared" si="68"/>
        <v>Inconnu</v>
      </c>
      <c r="BO47" s="208" t="str">
        <f t="shared" si="60"/>
        <v>Inconnu</v>
      </c>
      <c r="BP47" s="208" t="str">
        <f t="shared" si="69"/>
        <v>Inconnu</v>
      </c>
      <c r="BQ47" s="208" t="str">
        <f t="shared" si="70"/>
        <v>Inconnu</v>
      </c>
      <c r="BR47" s="208" t="str">
        <f t="shared" si="71"/>
        <v>Aucune</v>
      </c>
      <c r="BS47" s="208">
        <f t="shared" si="61"/>
        <v>0</v>
      </c>
      <c r="BT47" s="229" t="e">
        <f>VLOOKUP($I47,Lieu_Activité!$A:$B,2,FALSE)</f>
        <v>#N/A</v>
      </c>
      <c r="BU47" s="208" t="str">
        <f t="shared" si="8"/>
        <v>Aucun</v>
      </c>
      <c r="BV47" s="208" t="str">
        <f t="shared" si="9"/>
        <v>Aucun</v>
      </c>
      <c r="BW47" s="207" t="str">
        <f t="shared" si="62"/>
        <v>NON</v>
      </c>
      <c r="BX47" s="288"/>
    </row>
    <row r="48" spans="1:76" ht="12.95" customHeight="1" x14ac:dyDescent="0.25">
      <c r="A48" s="231" t="s">
        <v>213</v>
      </c>
      <c r="B48" s="267"/>
      <c r="C48" s="227"/>
      <c r="D48" s="257"/>
      <c r="E48" s="278">
        <f t="shared" si="63"/>
        <v>0</v>
      </c>
      <c r="F48" s="278" t="str">
        <f t="shared" si="12"/>
        <v xml:space="preserve"> </v>
      </c>
      <c r="G48" s="256"/>
      <c r="H48" s="256"/>
      <c r="I48" s="256"/>
      <c r="J48" s="256"/>
      <c r="K48" s="256"/>
      <c r="L48" s="257"/>
      <c r="M48" s="243"/>
      <c r="N48" s="232"/>
      <c r="O48" s="232"/>
      <c r="P48" s="265" t="str">
        <f>IFERROR(VLOOKUP(O48,Références!$K$11:$N$19,2)," ")</f>
        <v xml:space="preserve"> </v>
      </c>
      <c r="Q48" s="265" t="str">
        <f>IFERROR(VLOOKUP(O48,Références!$K$11:$N$19,3)," ")</f>
        <v xml:space="preserve"> </v>
      </c>
      <c r="R48" s="265" t="str">
        <f>IFERROR(VLOOKUP(O48,Références!$K$11:$N$19,4)," ")</f>
        <v xml:space="preserve"> </v>
      </c>
      <c r="S48" s="256"/>
      <c r="T48" s="256"/>
      <c r="U48" s="256"/>
      <c r="V48" s="256"/>
      <c r="W48" s="256"/>
      <c r="X48" s="257"/>
      <c r="Y48" s="256"/>
      <c r="Z48" s="256"/>
      <c r="AA48" s="256"/>
      <c r="AB48" s="235"/>
      <c r="AC48" s="235"/>
      <c r="AD48" s="235"/>
      <c r="AE48" s="235"/>
      <c r="AF48" s="235"/>
      <c r="AG48" s="235"/>
      <c r="AH48" s="235"/>
      <c r="AI48" s="235">
        <f t="shared" si="64"/>
        <v>0</v>
      </c>
      <c r="AJ48" s="257"/>
      <c r="AK48" s="256">
        <f t="shared" si="38"/>
        <v>0</v>
      </c>
      <c r="AL48" s="257"/>
      <c r="AM48" s="266">
        <f t="shared" si="72"/>
        <v>0</v>
      </c>
      <c r="AN48" s="256"/>
      <c r="AO48" s="276"/>
      <c r="AP48" s="261" t="str">
        <f t="shared" si="16"/>
        <v xml:space="preserve"> </v>
      </c>
      <c r="AQ48" s="256"/>
      <c r="AR48" s="295"/>
      <c r="AS48" s="295"/>
      <c r="AT48" s="263"/>
      <c r="AU48" s="277"/>
      <c r="AV48" s="263"/>
      <c r="AW48" s="230"/>
      <c r="AX48" s="300"/>
      <c r="AY48" s="301"/>
      <c r="AZ48" s="230"/>
      <c r="BA48" s="233" t="s">
        <v>246</v>
      </c>
      <c r="BB48" s="301"/>
      <c r="BC48" s="228">
        <f t="shared" si="65"/>
        <v>0</v>
      </c>
      <c r="BD48" s="228">
        <f t="shared" si="66"/>
        <v>0</v>
      </c>
      <c r="BE48" s="228">
        <f t="shared" si="0"/>
        <v>1</v>
      </c>
      <c r="BF48" s="228" t="str">
        <f t="shared" si="19"/>
        <v>ALIVE</v>
      </c>
      <c r="BG48" s="208" t="str">
        <f t="shared" si="20"/>
        <v>Aucune</v>
      </c>
      <c r="BH48" s="208" t="str">
        <f t="shared" si="1"/>
        <v>Aucune</v>
      </c>
      <c r="BI48" s="208" t="str">
        <f t="shared" si="2"/>
        <v>Aucune</v>
      </c>
      <c r="BJ48" s="208" t="str">
        <f t="shared" si="58"/>
        <v>NON</v>
      </c>
      <c r="BK48" s="208" t="str">
        <f t="shared" si="4"/>
        <v>NON</v>
      </c>
      <c r="BL48" s="208" t="str">
        <f t="shared" si="59"/>
        <v>Inconnu</v>
      </c>
      <c r="BM48" s="208" t="str">
        <f t="shared" si="67"/>
        <v>Inconnu</v>
      </c>
      <c r="BN48" s="208" t="str">
        <f t="shared" si="68"/>
        <v>Inconnu</v>
      </c>
      <c r="BO48" s="208" t="str">
        <f t="shared" si="60"/>
        <v>Inconnu</v>
      </c>
      <c r="BP48" s="208" t="str">
        <f t="shared" si="69"/>
        <v>Inconnu</v>
      </c>
      <c r="BQ48" s="208" t="str">
        <f t="shared" si="70"/>
        <v>Inconnu</v>
      </c>
      <c r="BR48" s="208" t="str">
        <f t="shared" si="71"/>
        <v>Aucune</v>
      </c>
      <c r="BS48" s="208">
        <f t="shared" si="61"/>
        <v>0</v>
      </c>
      <c r="BT48" s="229" t="e">
        <f>VLOOKUP($I48,Lieu_Activité!$A:$B,2,FALSE)</f>
        <v>#N/A</v>
      </c>
      <c r="BU48" s="208" t="str">
        <f t="shared" si="8"/>
        <v>Aucun</v>
      </c>
      <c r="BV48" s="208" t="str">
        <f t="shared" si="9"/>
        <v>Aucun</v>
      </c>
      <c r="BW48" s="207" t="str">
        <f t="shared" si="62"/>
        <v>NON</v>
      </c>
      <c r="BX48" s="288"/>
    </row>
    <row r="49" spans="1:76" ht="12.95" customHeight="1" x14ac:dyDescent="0.25">
      <c r="A49" s="231" t="s">
        <v>213</v>
      </c>
      <c r="B49" s="234"/>
      <c r="C49" s="227"/>
      <c r="D49" s="257"/>
      <c r="E49" s="278">
        <f t="shared" si="63"/>
        <v>0</v>
      </c>
      <c r="F49" s="278" t="str">
        <f t="shared" si="12"/>
        <v xml:space="preserve"> </v>
      </c>
      <c r="G49" s="256"/>
      <c r="H49" s="256"/>
      <c r="I49" s="256"/>
      <c r="J49" s="256"/>
      <c r="K49" s="256"/>
      <c r="L49" s="257"/>
      <c r="M49" s="243"/>
      <c r="N49" s="232"/>
      <c r="O49" s="232"/>
      <c r="P49" s="265" t="str">
        <f>IFERROR(VLOOKUP(O49,Références!$K$11:$N$19,2)," ")</f>
        <v xml:space="preserve"> </v>
      </c>
      <c r="Q49" s="265" t="str">
        <f>IFERROR(VLOOKUP(O49,Références!$K$11:$N$19,3)," ")</f>
        <v xml:space="preserve"> </v>
      </c>
      <c r="R49" s="265" t="str">
        <f>IFERROR(VLOOKUP(O49,Références!$K$11:$N$19,4)," ")</f>
        <v xml:space="preserve"> </v>
      </c>
      <c r="S49" s="256"/>
      <c r="T49" s="256"/>
      <c r="U49" s="256"/>
      <c r="V49" s="256"/>
      <c r="W49" s="256"/>
      <c r="X49" s="257"/>
      <c r="Y49" s="256"/>
      <c r="Z49" s="256"/>
      <c r="AA49" s="256"/>
      <c r="AB49" s="235"/>
      <c r="AC49" s="235"/>
      <c r="AD49" s="235"/>
      <c r="AE49" s="235"/>
      <c r="AF49" s="235"/>
      <c r="AG49" s="235"/>
      <c r="AH49" s="235"/>
      <c r="AI49" s="235">
        <f t="shared" si="64"/>
        <v>0</v>
      </c>
      <c r="AJ49" s="257"/>
      <c r="AK49" s="256">
        <f t="shared" si="38"/>
        <v>0</v>
      </c>
      <c r="AL49" s="257"/>
      <c r="AM49" s="266">
        <f t="shared" si="72"/>
        <v>0</v>
      </c>
      <c r="AN49" s="256"/>
      <c r="AO49" s="276"/>
      <c r="AP49" s="261" t="str">
        <f t="shared" si="16"/>
        <v xml:space="preserve"> </v>
      </c>
      <c r="AQ49" s="256"/>
      <c r="AR49" s="295"/>
      <c r="AS49" s="295"/>
      <c r="AT49" s="263"/>
      <c r="AU49" s="277"/>
      <c r="AV49" s="263"/>
      <c r="AW49" s="230"/>
      <c r="AX49" s="300"/>
      <c r="AY49" s="301"/>
      <c r="AZ49" s="230"/>
      <c r="BA49" s="300" t="s">
        <v>234</v>
      </c>
      <c r="BB49" s="295"/>
      <c r="BC49" s="228">
        <f t="shared" si="65"/>
        <v>0</v>
      </c>
      <c r="BD49" s="228">
        <f t="shared" si="66"/>
        <v>0</v>
      </c>
      <c r="BE49" s="228">
        <f t="shared" si="0"/>
        <v>1</v>
      </c>
      <c r="BF49" s="228" t="str">
        <f t="shared" si="19"/>
        <v>ALIVE</v>
      </c>
      <c r="BG49" s="208" t="str">
        <f t="shared" si="20"/>
        <v>Aucune</v>
      </c>
      <c r="BH49" s="208" t="str">
        <f t="shared" si="1"/>
        <v>Aucune</v>
      </c>
      <c r="BI49" s="208" t="str">
        <f t="shared" si="2"/>
        <v>Aucune</v>
      </c>
      <c r="BJ49" s="208" t="str">
        <f t="shared" si="58"/>
        <v>NON</v>
      </c>
      <c r="BK49" s="208" t="str">
        <f t="shared" si="4"/>
        <v>NON</v>
      </c>
      <c r="BL49" s="208" t="str">
        <f t="shared" si="59"/>
        <v>Inconnu</v>
      </c>
      <c r="BM49" s="208" t="str">
        <f t="shared" si="67"/>
        <v>Inconnu</v>
      </c>
      <c r="BN49" s="208" t="str">
        <f t="shared" si="68"/>
        <v>Inconnu</v>
      </c>
      <c r="BO49" s="208" t="str">
        <f t="shared" si="60"/>
        <v>Inconnu</v>
      </c>
      <c r="BP49" s="208" t="str">
        <f t="shared" si="69"/>
        <v>Inconnu</v>
      </c>
      <c r="BQ49" s="208" t="str">
        <f t="shared" si="70"/>
        <v>Inconnu</v>
      </c>
      <c r="BR49" s="208" t="str">
        <f t="shared" si="71"/>
        <v>Aucune</v>
      </c>
      <c r="BS49" s="208">
        <f t="shared" si="61"/>
        <v>0</v>
      </c>
      <c r="BT49" s="229" t="e">
        <f>VLOOKUP($I49,Lieu_Activité!$A:$B,2,FALSE)</f>
        <v>#N/A</v>
      </c>
      <c r="BU49" s="208" t="str">
        <f t="shared" si="8"/>
        <v>Aucun</v>
      </c>
      <c r="BV49" s="208" t="str">
        <f t="shared" si="9"/>
        <v>Aucun</v>
      </c>
      <c r="BW49" s="207" t="str">
        <f t="shared" si="62"/>
        <v>NON</v>
      </c>
      <c r="BX49" s="288"/>
    </row>
    <row r="50" spans="1:76" ht="12.95" customHeight="1" x14ac:dyDescent="0.25">
      <c r="A50" s="231" t="s">
        <v>213</v>
      </c>
      <c r="B50" s="234"/>
      <c r="C50" s="227"/>
      <c r="D50" s="257"/>
      <c r="E50" s="278">
        <f t="shared" si="63"/>
        <v>0</v>
      </c>
      <c r="F50" s="278" t="str">
        <f t="shared" si="12"/>
        <v xml:space="preserve"> </v>
      </c>
      <c r="G50" s="256"/>
      <c r="H50" s="256"/>
      <c r="I50" s="256"/>
      <c r="J50" s="256"/>
      <c r="K50" s="256"/>
      <c r="L50" s="257"/>
      <c r="M50" s="243"/>
      <c r="N50" s="232"/>
      <c r="O50" s="256"/>
      <c r="P50" s="265" t="str">
        <f>IFERROR(VLOOKUP(O50,Références!$K$11:$N$19,2)," ")</f>
        <v xml:space="preserve"> </v>
      </c>
      <c r="Q50" s="265" t="str">
        <f>IFERROR(VLOOKUP(O50,Références!$K$11:$N$19,3)," ")</f>
        <v xml:space="preserve"> </v>
      </c>
      <c r="R50" s="265" t="str">
        <f>IFERROR(VLOOKUP(O50,Références!$K$11:$N$19,4)," ")</f>
        <v xml:space="preserve"> </v>
      </c>
      <c r="S50" s="256"/>
      <c r="T50" s="256"/>
      <c r="U50" s="256"/>
      <c r="V50" s="256"/>
      <c r="W50" s="256"/>
      <c r="X50" s="257"/>
      <c r="Y50" s="256"/>
      <c r="Z50" s="256"/>
      <c r="AA50" s="256"/>
      <c r="AB50" s="235"/>
      <c r="AC50" s="235"/>
      <c r="AD50" s="235"/>
      <c r="AE50" s="235"/>
      <c r="AF50" s="235"/>
      <c r="AG50" s="235"/>
      <c r="AH50" s="235"/>
      <c r="AI50" s="235">
        <f t="shared" si="64"/>
        <v>0</v>
      </c>
      <c r="AJ50" s="257"/>
      <c r="AK50" s="256">
        <f t="shared" si="38"/>
        <v>0</v>
      </c>
      <c r="AL50" s="257"/>
      <c r="AM50" s="266">
        <f t="shared" si="72"/>
        <v>0</v>
      </c>
      <c r="AN50" s="256"/>
      <c r="AO50" s="276"/>
      <c r="AP50" s="261" t="str">
        <f t="shared" si="16"/>
        <v xml:space="preserve"> </v>
      </c>
      <c r="AQ50" s="256"/>
      <c r="AR50" s="295"/>
      <c r="AS50" s="295"/>
      <c r="AT50" s="263"/>
      <c r="AU50" s="277"/>
      <c r="AV50" s="263"/>
      <c r="AW50" s="230"/>
      <c r="AX50" s="300"/>
      <c r="AY50" s="301"/>
      <c r="AZ50" s="230"/>
      <c r="BA50" s="300" t="s">
        <v>234</v>
      </c>
      <c r="BB50" s="295"/>
      <c r="BC50" s="228">
        <f t="shared" si="65"/>
        <v>0</v>
      </c>
      <c r="BD50" s="228">
        <f t="shared" si="66"/>
        <v>0</v>
      </c>
      <c r="BE50" s="228">
        <f t="shared" si="0"/>
        <v>1</v>
      </c>
      <c r="BF50" s="228" t="str">
        <f t="shared" si="19"/>
        <v>ALIVE</v>
      </c>
      <c r="BG50" s="208" t="str">
        <f t="shared" si="20"/>
        <v>Aucune</v>
      </c>
      <c r="BH50" s="208" t="str">
        <f t="shared" si="1"/>
        <v>Aucune</v>
      </c>
      <c r="BI50" s="208" t="str">
        <f t="shared" si="2"/>
        <v>Aucune</v>
      </c>
      <c r="BJ50" s="208" t="str">
        <f t="shared" si="58"/>
        <v>NON</v>
      </c>
      <c r="BK50" s="208" t="str">
        <f t="shared" si="4"/>
        <v>NON</v>
      </c>
      <c r="BL50" s="208" t="str">
        <f t="shared" si="59"/>
        <v>Inconnu</v>
      </c>
      <c r="BM50" s="208" t="str">
        <f t="shared" si="67"/>
        <v>Inconnu</v>
      </c>
      <c r="BN50" s="208" t="str">
        <f t="shared" si="68"/>
        <v>Inconnu</v>
      </c>
      <c r="BO50" s="208" t="str">
        <f t="shared" si="60"/>
        <v>Inconnu</v>
      </c>
      <c r="BP50" s="208" t="str">
        <f t="shared" si="69"/>
        <v>Inconnu</v>
      </c>
      <c r="BQ50" s="208" t="str">
        <f t="shared" si="70"/>
        <v>Inconnu</v>
      </c>
      <c r="BR50" s="208" t="str">
        <f t="shared" si="71"/>
        <v>Aucune</v>
      </c>
      <c r="BS50" s="208">
        <f t="shared" si="61"/>
        <v>0</v>
      </c>
      <c r="BT50" s="229" t="e">
        <f>VLOOKUP($I50,Lieu_Activité!$A:$B,2,FALSE)</f>
        <v>#N/A</v>
      </c>
      <c r="BU50" s="208" t="str">
        <f t="shared" si="8"/>
        <v>Aucun</v>
      </c>
      <c r="BV50" s="208" t="str">
        <f t="shared" si="9"/>
        <v>Aucun</v>
      </c>
      <c r="BW50" s="207" t="str">
        <f t="shared" si="62"/>
        <v>NON</v>
      </c>
      <c r="BX50" s="288"/>
    </row>
    <row r="51" spans="1:76" ht="12.95" customHeight="1" x14ac:dyDescent="0.25">
      <c r="A51" s="231" t="s">
        <v>213</v>
      </c>
      <c r="B51" s="234"/>
      <c r="C51" s="227"/>
      <c r="D51" s="257"/>
      <c r="E51" s="278">
        <f t="shared" si="63"/>
        <v>0</v>
      </c>
      <c r="F51" s="278" t="str">
        <f t="shared" si="12"/>
        <v xml:space="preserve"> </v>
      </c>
      <c r="G51" s="256"/>
      <c r="H51" s="256"/>
      <c r="I51" s="256"/>
      <c r="J51" s="256"/>
      <c r="K51" s="256"/>
      <c r="L51" s="257"/>
      <c r="M51" s="243"/>
      <c r="N51" s="232"/>
      <c r="O51" s="232"/>
      <c r="P51" s="265" t="str">
        <f>IFERROR(VLOOKUP(O51,Références!$K$11:$N$19,2)," ")</f>
        <v xml:space="preserve"> </v>
      </c>
      <c r="Q51" s="265" t="str">
        <f>IFERROR(VLOOKUP(O51,Références!$K$11:$N$19,3)," ")</f>
        <v xml:space="preserve"> </v>
      </c>
      <c r="R51" s="265" t="str">
        <f>IFERROR(VLOOKUP(O51,Références!$K$11:$N$19,4)," ")</f>
        <v xml:space="preserve"> </v>
      </c>
      <c r="S51" s="256"/>
      <c r="T51" s="256"/>
      <c r="U51" s="256"/>
      <c r="V51" s="256"/>
      <c r="W51" s="256"/>
      <c r="X51" s="257"/>
      <c r="Y51" s="256"/>
      <c r="Z51" s="256"/>
      <c r="AA51" s="256"/>
      <c r="AB51" s="235"/>
      <c r="AC51" s="235"/>
      <c r="AD51" s="235"/>
      <c r="AE51" s="235"/>
      <c r="AF51" s="235"/>
      <c r="AG51" s="235"/>
      <c r="AH51" s="235"/>
      <c r="AI51" s="235">
        <f t="shared" si="64"/>
        <v>0</v>
      </c>
      <c r="AJ51" s="257"/>
      <c r="AK51" s="256">
        <f t="shared" si="38"/>
        <v>0</v>
      </c>
      <c r="AL51" s="257"/>
      <c r="AM51" s="266">
        <f t="shared" si="72"/>
        <v>0</v>
      </c>
      <c r="AN51" s="256"/>
      <c r="AO51" s="276"/>
      <c r="AP51" s="261" t="str">
        <f t="shared" si="16"/>
        <v xml:space="preserve"> </v>
      </c>
      <c r="AQ51" s="256"/>
      <c r="AR51" s="295"/>
      <c r="AS51" s="295"/>
      <c r="AT51" s="263"/>
      <c r="AU51" s="277"/>
      <c r="AV51" s="263"/>
      <c r="AW51" s="230"/>
      <c r="AX51" s="300"/>
      <c r="AY51" s="301"/>
      <c r="AZ51" s="230"/>
      <c r="BA51" s="300" t="s">
        <v>234</v>
      </c>
      <c r="BB51" s="295"/>
      <c r="BC51" s="228">
        <f t="shared" si="65"/>
        <v>0</v>
      </c>
      <c r="BD51" s="228">
        <f t="shared" si="66"/>
        <v>0</v>
      </c>
      <c r="BE51" s="228">
        <f t="shared" si="0"/>
        <v>1</v>
      </c>
      <c r="BF51" s="228" t="str">
        <f t="shared" si="19"/>
        <v>ALIVE</v>
      </c>
      <c r="BG51" s="208" t="str">
        <f t="shared" si="20"/>
        <v>Aucune</v>
      </c>
      <c r="BH51" s="208" t="str">
        <f t="shared" si="1"/>
        <v>Aucune</v>
      </c>
      <c r="BI51" s="208" t="str">
        <f t="shared" si="2"/>
        <v>Aucune</v>
      </c>
      <c r="BJ51" s="208" t="str">
        <f t="shared" si="58"/>
        <v>NON</v>
      </c>
      <c r="BK51" s="208" t="str">
        <f t="shared" si="4"/>
        <v>NON</v>
      </c>
      <c r="BL51" s="208" t="str">
        <f t="shared" si="59"/>
        <v>Inconnu</v>
      </c>
      <c r="BM51" s="208" t="str">
        <f t="shared" si="67"/>
        <v>Inconnu</v>
      </c>
      <c r="BN51" s="208" t="str">
        <f t="shared" si="68"/>
        <v>Inconnu</v>
      </c>
      <c r="BO51" s="208" t="str">
        <f t="shared" si="60"/>
        <v>Inconnu</v>
      </c>
      <c r="BP51" s="208" t="str">
        <f t="shared" si="69"/>
        <v>Inconnu</v>
      </c>
      <c r="BQ51" s="208" t="str">
        <f t="shared" si="70"/>
        <v>Inconnu</v>
      </c>
      <c r="BR51" s="208" t="str">
        <f t="shared" si="71"/>
        <v>Aucune</v>
      </c>
      <c r="BS51" s="208">
        <f t="shared" si="61"/>
        <v>0</v>
      </c>
      <c r="BT51" s="229" t="e">
        <f>VLOOKUP($I51,Lieu_Activité!$A:$B,2,FALSE)</f>
        <v>#N/A</v>
      </c>
      <c r="BU51" s="208" t="str">
        <f t="shared" si="8"/>
        <v>Aucun</v>
      </c>
      <c r="BV51" s="208" t="str">
        <f t="shared" si="9"/>
        <v>Aucun</v>
      </c>
      <c r="BW51" s="207" t="str">
        <f t="shared" si="62"/>
        <v>NON</v>
      </c>
      <c r="BX51" s="288"/>
    </row>
    <row r="52" spans="1:76" ht="12.95" customHeight="1" x14ac:dyDescent="0.25">
      <c r="A52" s="231" t="s">
        <v>213</v>
      </c>
      <c r="B52" s="234"/>
      <c r="C52" s="227"/>
      <c r="D52" s="257"/>
      <c r="E52" s="278">
        <f t="shared" si="63"/>
        <v>0</v>
      </c>
      <c r="F52" s="278" t="str">
        <f t="shared" si="12"/>
        <v xml:space="preserve"> </v>
      </c>
      <c r="G52" s="256"/>
      <c r="H52" s="256"/>
      <c r="I52" s="256"/>
      <c r="J52" s="256"/>
      <c r="K52" s="256"/>
      <c r="L52" s="257"/>
      <c r="M52" s="243"/>
      <c r="N52" s="232"/>
      <c r="O52" s="232"/>
      <c r="P52" s="265" t="str">
        <f>IFERROR(VLOOKUP(O52,Références!$K$11:$N$19,2)," ")</f>
        <v xml:space="preserve"> </v>
      </c>
      <c r="Q52" s="265" t="str">
        <f>IFERROR(VLOOKUP(O52,Références!$K$11:$N$19,3)," ")</f>
        <v xml:space="preserve"> </v>
      </c>
      <c r="R52" s="265" t="str">
        <f>IFERROR(VLOOKUP(O52,Références!$K$11:$N$19,4)," ")</f>
        <v xml:space="preserve"> </v>
      </c>
      <c r="S52" s="256"/>
      <c r="T52" s="256"/>
      <c r="U52" s="256"/>
      <c r="V52" s="256"/>
      <c r="W52" s="256"/>
      <c r="X52" s="257"/>
      <c r="Y52" s="256"/>
      <c r="Z52" s="256"/>
      <c r="AA52" s="256"/>
      <c r="AB52" s="235"/>
      <c r="AC52" s="235"/>
      <c r="AD52" s="235"/>
      <c r="AE52" s="235"/>
      <c r="AF52" s="235"/>
      <c r="AG52" s="235"/>
      <c r="AH52" s="235"/>
      <c r="AI52" s="235">
        <f t="shared" si="64"/>
        <v>0</v>
      </c>
      <c r="AJ52" s="257"/>
      <c r="AK52" s="256">
        <f t="shared" si="38"/>
        <v>0</v>
      </c>
      <c r="AL52" s="257"/>
      <c r="AM52" s="266">
        <f t="shared" si="72"/>
        <v>0</v>
      </c>
      <c r="AN52" s="256"/>
      <c r="AO52" s="276"/>
      <c r="AP52" s="261" t="str">
        <f t="shared" si="16"/>
        <v xml:space="preserve"> </v>
      </c>
      <c r="AQ52" s="256"/>
      <c r="AR52" s="295"/>
      <c r="AS52" s="295"/>
      <c r="AT52" s="263"/>
      <c r="AU52" s="277"/>
      <c r="AV52" s="263"/>
      <c r="AW52" s="230"/>
      <c r="AX52" s="300"/>
      <c r="AY52" s="301"/>
      <c r="AZ52" s="230"/>
      <c r="BA52" s="300" t="s">
        <v>234</v>
      </c>
      <c r="BB52" s="295"/>
      <c r="BC52" s="228">
        <f t="shared" si="65"/>
        <v>0</v>
      </c>
      <c r="BD52" s="228">
        <f t="shared" si="66"/>
        <v>0</v>
      </c>
      <c r="BE52" s="228">
        <f t="shared" si="0"/>
        <v>1</v>
      </c>
      <c r="BF52" s="228" t="str">
        <f t="shared" si="19"/>
        <v>ALIVE</v>
      </c>
      <c r="BG52" s="208" t="str">
        <f t="shared" si="20"/>
        <v>Aucune</v>
      </c>
      <c r="BH52" s="208" t="str">
        <f t="shared" si="1"/>
        <v>Aucune</v>
      </c>
      <c r="BI52" s="208" t="str">
        <f t="shared" si="2"/>
        <v>Aucune</v>
      </c>
      <c r="BJ52" s="208" t="str">
        <f t="shared" si="58"/>
        <v>NON</v>
      </c>
      <c r="BK52" s="208" t="str">
        <f t="shared" si="4"/>
        <v>NON</v>
      </c>
      <c r="BL52" s="208" t="str">
        <f t="shared" si="59"/>
        <v>Inconnu</v>
      </c>
      <c r="BM52" s="208" t="str">
        <f t="shared" si="67"/>
        <v>Inconnu</v>
      </c>
      <c r="BN52" s="208" t="str">
        <f t="shared" si="68"/>
        <v>Inconnu</v>
      </c>
      <c r="BO52" s="208" t="str">
        <f t="shared" si="60"/>
        <v>Inconnu</v>
      </c>
      <c r="BP52" s="208" t="str">
        <f t="shared" si="69"/>
        <v>Inconnu</v>
      </c>
      <c r="BQ52" s="208" t="str">
        <f t="shared" si="70"/>
        <v>Inconnu</v>
      </c>
      <c r="BR52" s="208" t="str">
        <f t="shared" si="71"/>
        <v>Aucune</v>
      </c>
      <c r="BS52" s="208">
        <f t="shared" si="61"/>
        <v>0</v>
      </c>
      <c r="BT52" s="229" t="e">
        <f>VLOOKUP($I52,Lieu_Activité!$A:$B,2,FALSE)</f>
        <v>#N/A</v>
      </c>
      <c r="BU52" s="208" t="str">
        <f t="shared" si="8"/>
        <v>Aucun</v>
      </c>
      <c r="BV52" s="208" t="str">
        <f t="shared" si="9"/>
        <v>Aucun</v>
      </c>
      <c r="BW52" s="207" t="str">
        <f t="shared" si="62"/>
        <v>NON</v>
      </c>
      <c r="BX52" s="288"/>
    </row>
    <row r="53" spans="1:76" ht="12.95" customHeight="1" x14ac:dyDescent="0.25">
      <c r="A53" s="231" t="s">
        <v>213</v>
      </c>
      <c r="B53" s="268"/>
      <c r="C53" s="227"/>
      <c r="D53" s="257"/>
      <c r="E53" s="278">
        <f t="shared" si="63"/>
        <v>0</v>
      </c>
      <c r="F53" s="278" t="str">
        <f t="shared" si="12"/>
        <v xml:space="preserve"> </v>
      </c>
      <c r="G53" s="256"/>
      <c r="H53" s="256"/>
      <c r="I53" s="256"/>
      <c r="J53" s="256"/>
      <c r="K53" s="256"/>
      <c r="L53" s="257"/>
      <c r="M53" s="243"/>
      <c r="N53" s="232"/>
      <c r="O53" s="232"/>
      <c r="P53" s="265" t="str">
        <f>IFERROR(VLOOKUP(O53,Références!$K$11:$N$19,2)," ")</f>
        <v xml:space="preserve"> </v>
      </c>
      <c r="Q53" s="265" t="str">
        <f>IFERROR(VLOOKUP(O53,Références!$K$11:$N$19,3)," ")</f>
        <v xml:space="preserve"> </v>
      </c>
      <c r="R53" s="265" t="str">
        <f>IFERROR(VLOOKUP(O53,Références!$K$11:$N$19,4)," ")</f>
        <v xml:space="preserve"> </v>
      </c>
      <c r="S53" s="256"/>
      <c r="T53" s="256"/>
      <c r="U53" s="256"/>
      <c r="V53" s="256"/>
      <c r="W53" s="256"/>
      <c r="X53" s="257"/>
      <c r="Y53" s="256"/>
      <c r="Z53" s="256"/>
      <c r="AA53" s="256"/>
      <c r="AB53" s="235"/>
      <c r="AC53" s="235"/>
      <c r="AD53" s="235"/>
      <c r="AE53" s="235"/>
      <c r="AF53" s="235"/>
      <c r="AG53" s="235"/>
      <c r="AH53" s="235"/>
      <c r="AI53" s="235">
        <f t="shared" si="64"/>
        <v>0</v>
      </c>
      <c r="AJ53" s="257"/>
      <c r="AK53" s="256">
        <f t="shared" si="38"/>
        <v>0</v>
      </c>
      <c r="AL53" s="257"/>
      <c r="AM53" s="266">
        <f t="shared" si="72"/>
        <v>0</v>
      </c>
      <c r="AN53" s="256"/>
      <c r="AO53" s="276"/>
      <c r="AP53" s="261" t="str">
        <f t="shared" si="16"/>
        <v xml:space="preserve"> </v>
      </c>
      <c r="AQ53" s="256"/>
      <c r="AR53" s="295"/>
      <c r="AS53" s="295"/>
      <c r="AT53" s="263"/>
      <c r="AU53" s="277"/>
      <c r="AV53" s="263"/>
      <c r="AW53" s="230"/>
      <c r="AX53" s="300"/>
      <c r="AY53" s="301"/>
      <c r="AZ53" s="230"/>
      <c r="BA53" s="233" t="s">
        <v>246</v>
      </c>
      <c r="BB53" s="301"/>
      <c r="BC53" s="228">
        <f t="shared" si="65"/>
        <v>0</v>
      </c>
      <c r="BD53" s="228">
        <f t="shared" si="66"/>
        <v>0</v>
      </c>
      <c r="BE53" s="228">
        <f t="shared" si="0"/>
        <v>1</v>
      </c>
      <c r="BF53" s="228" t="str">
        <f t="shared" si="19"/>
        <v>ALIVE</v>
      </c>
      <c r="BG53" s="208" t="str">
        <f t="shared" si="20"/>
        <v>Aucune</v>
      </c>
      <c r="BH53" s="208" t="str">
        <f t="shared" si="1"/>
        <v>Aucune</v>
      </c>
      <c r="BI53" s="208" t="str">
        <f t="shared" si="2"/>
        <v>Aucune</v>
      </c>
      <c r="BJ53" s="208" t="str">
        <f t="shared" si="58"/>
        <v>NON</v>
      </c>
      <c r="BK53" s="208" t="str">
        <f t="shared" si="4"/>
        <v>NON</v>
      </c>
      <c r="BL53" s="208" t="str">
        <f t="shared" si="59"/>
        <v>Inconnu</v>
      </c>
      <c r="BM53" s="208" t="str">
        <f t="shared" si="67"/>
        <v>Inconnu</v>
      </c>
      <c r="BN53" s="208" t="str">
        <f t="shared" si="68"/>
        <v>Inconnu</v>
      </c>
      <c r="BO53" s="208" t="str">
        <f t="shared" si="60"/>
        <v>Inconnu</v>
      </c>
      <c r="BP53" s="208" t="str">
        <f t="shared" si="69"/>
        <v>Inconnu</v>
      </c>
      <c r="BQ53" s="208" t="str">
        <f t="shared" si="70"/>
        <v>Inconnu</v>
      </c>
      <c r="BR53" s="208" t="str">
        <f t="shared" si="71"/>
        <v>Aucune</v>
      </c>
      <c r="BS53" s="208">
        <f t="shared" si="61"/>
        <v>0</v>
      </c>
      <c r="BT53" s="229" t="e">
        <f>VLOOKUP($I53,Lieu_Activité!$A:$B,2,FALSE)</f>
        <v>#N/A</v>
      </c>
      <c r="BU53" s="208" t="str">
        <f t="shared" si="8"/>
        <v>Aucun</v>
      </c>
      <c r="BV53" s="208" t="str">
        <f t="shared" si="9"/>
        <v>Aucun</v>
      </c>
      <c r="BW53" s="207" t="str">
        <f t="shared" si="62"/>
        <v>NON</v>
      </c>
      <c r="BX53" s="288"/>
    </row>
    <row r="54" spans="1:76" ht="12.95" customHeight="1" x14ac:dyDescent="0.25">
      <c r="A54" s="231" t="s">
        <v>213</v>
      </c>
      <c r="B54" s="234"/>
      <c r="C54" s="227"/>
      <c r="D54" s="257"/>
      <c r="E54" s="278">
        <f>(L55-D54)/365</f>
        <v>0</v>
      </c>
      <c r="F54" s="278" t="str">
        <f t="shared" si="12"/>
        <v xml:space="preserve"> </v>
      </c>
      <c r="G54" s="256"/>
      <c r="H54" s="256"/>
      <c r="I54" s="256"/>
      <c r="J54" s="256"/>
      <c r="K54" s="256"/>
      <c r="L54" s="257"/>
      <c r="M54" s="269"/>
      <c r="N54" s="232"/>
      <c r="O54" s="232"/>
      <c r="P54" s="265" t="str">
        <f>IFERROR(VLOOKUP(O54,Références!$K$11:$N$19,2)," ")</f>
        <v xml:space="preserve"> </v>
      </c>
      <c r="Q54" s="265" t="str">
        <f>IFERROR(VLOOKUP(O54,Références!$K$11:$N$19,3)," ")</f>
        <v xml:space="preserve"> </v>
      </c>
      <c r="R54" s="265" t="str">
        <f>IFERROR(VLOOKUP(O54,Références!$K$11:$N$19,4)," ")</f>
        <v xml:space="preserve"> </v>
      </c>
      <c r="S54" s="256"/>
      <c r="T54" s="256"/>
      <c r="U54" s="256"/>
      <c r="V54" s="256"/>
      <c r="W54" s="256"/>
      <c r="X54" s="257"/>
      <c r="Y54" s="256"/>
      <c r="Z54" s="256"/>
      <c r="AA54" s="256"/>
      <c r="AB54" s="235"/>
      <c r="AC54" s="235"/>
      <c r="AD54" s="235"/>
      <c r="AE54" s="235"/>
      <c r="AF54" s="235"/>
      <c r="AG54" s="235"/>
      <c r="AH54" s="235"/>
      <c r="AI54" s="235">
        <f t="shared" si="64"/>
        <v>0</v>
      </c>
      <c r="AJ54" s="257"/>
      <c r="AK54" s="256">
        <f t="shared" si="38"/>
        <v>0</v>
      </c>
      <c r="AL54" s="257"/>
      <c r="AM54" s="266">
        <f t="shared" si="72"/>
        <v>0</v>
      </c>
      <c r="AN54" s="256"/>
      <c r="AO54" s="276"/>
      <c r="AP54" s="261" t="str">
        <f t="shared" si="16"/>
        <v xml:space="preserve"> </v>
      </c>
      <c r="AQ54" s="256"/>
      <c r="AR54" s="295"/>
      <c r="AS54" s="295"/>
      <c r="AT54" s="263"/>
      <c r="AU54" s="277"/>
      <c r="AV54" s="263"/>
      <c r="AW54" s="230"/>
      <c r="AX54" s="300"/>
      <c r="AY54" s="301"/>
      <c r="AZ54" s="230"/>
      <c r="BA54" s="300" t="s">
        <v>234</v>
      </c>
      <c r="BB54" s="295"/>
      <c r="BC54" s="228">
        <f t="shared" si="65"/>
        <v>0</v>
      </c>
      <c r="BD54" s="228">
        <f t="shared" si="66"/>
        <v>0</v>
      </c>
      <c r="BE54" s="228">
        <f t="shared" si="0"/>
        <v>1</v>
      </c>
      <c r="BF54" s="228" t="str">
        <f t="shared" si="19"/>
        <v>ALIVE</v>
      </c>
      <c r="BG54" s="208" t="str">
        <f t="shared" si="20"/>
        <v>Aucune</v>
      </c>
      <c r="BH54" s="208" t="str">
        <f t="shared" si="1"/>
        <v>Aucune</v>
      </c>
      <c r="BI54" s="208" t="str">
        <f t="shared" si="2"/>
        <v>Aucune</v>
      </c>
      <c r="BJ54" s="208" t="str">
        <f>IF(X54&lt;&gt;"",IF(X54-L55&lt;2,"OUI","NON"),"NON")</f>
        <v>NON</v>
      </c>
      <c r="BK54" s="208" t="str">
        <f t="shared" si="4"/>
        <v>NON</v>
      </c>
      <c r="BL54" s="208" t="str">
        <f>IF(AL54-L55&gt;0,AL54-L55,"Inconnu")</f>
        <v>Inconnu</v>
      </c>
      <c r="BM54" s="208" t="str">
        <f t="shared" si="67"/>
        <v>Inconnu</v>
      </c>
      <c r="BN54" s="208" t="str">
        <f t="shared" si="68"/>
        <v>Inconnu</v>
      </c>
      <c r="BO54" s="208" t="str">
        <f>IF(AJ54-L55&gt;0,AJ54-L55,"Inconnu")</f>
        <v>Inconnu</v>
      </c>
      <c r="BP54" s="208" t="str">
        <f t="shared" si="69"/>
        <v>Inconnu</v>
      </c>
      <c r="BQ54" s="208" t="str">
        <f t="shared" si="70"/>
        <v>Inconnu</v>
      </c>
      <c r="BR54" s="208" t="str">
        <f t="shared" si="71"/>
        <v>Aucune</v>
      </c>
      <c r="BS54" s="208">
        <f t="shared" si="61"/>
        <v>0</v>
      </c>
      <c r="BT54" s="229" t="e">
        <f>VLOOKUP($I54,Lieu_Activité!$A:$B,2,FALSE)</f>
        <v>#N/A</v>
      </c>
      <c r="BU54" s="208" t="str">
        <f t="shared" si="8"/>
        <v>Aucun</v>
      </c>
      <c r="BV54" s="208" t="str">
        <f t="shared" si="9"/>
        <v>Aucun</v>
      </c>
      <c r="BW54" s="207" t="str">
        <f>IF(M55="","NON","OUI")</f>
        <v>NON</v>
      </c>
      <c r="BX54" s="288"/>
    </row>
    <row r="55" spans="1:76" ht="12.95" customHeight="1" x14ac:dyDescent="0.25">
      <c r="A55" s="231" t="s">
        <v>213</v>
      </c>
      <c r="B55" s="234"/>
      <c r="C55" s="227"/>
      <c r="D55" s="257"/>
      <c r="E55" s="278">
        <f>(L56-D55)/365</f>
        <v>0</v>
      </c>
      <c r="F55" s="278" t="str">
        <f t="shared" si="12"/>
        <v xml:space="preserve"> </v>
      </c>
      <c r="G55" s="256"/>
      <c r="H55" s="256"/>
      <c r="I55" s="256"/>
      <c r="J55" s="256"/>
      <c r="K55" s="256"/>
      <c r="L55" s="257"/>
      <c r="M55" s="243"/>
      <c r="N55" s="232"/>
      <c r="O55" s="232"/>
      <c r="P55" s="265" t="str">
        <f>IFERROR(VLOOKUP(O55,Références!$K$11:$N$19,2)," ")</f>
        <v xml:space="preserve"> </v>
      </c>
      <c r="Q55" s="265" t="str">
        <f>IFERROR(VLOOKUP(O55,Références!$K$11:$N$19,3)," ")</f>
        <v xml:space="preserve"> </v>
      </c>
      <c r="R55" s="265" t="str">
        <f>IFERROR(VLOOKUP(O55,Références!$K$11:$N$19,4)," ")</f>
        <v xml:space="preserve"> </v>
      </c>
      <c r="S55" s="256"/>
      <c r="T55" s="256"/>
      <c r="U55" s="256"/>
      <c r="V55" s="256"/>
      <c r="W55" s="256"/>
      <c r="X55" s="257"/>
      <c r="Y55" s="256"/>
      <c r="Z55" s="256"/>
      <c r="AA55" s="256"/>
      <c r="AB55" s="235"/>
      <c r="AC55" s="235"/>
      <c r="AD55" s="235"/>
      <c r="AE55" s="235"/>
      <c r="AF55" s="235"/>
      <c r="AG55" s="235"/>
      <c r="AH55" s="235"/>
      <c r="AI55" s="235">
        <f t="shared" si="64"/>
        <v>0</v>
      </c>
      <c r="AJ55" s="257"/>
      <c r="AK55" s="256">
        <f t="shared" si="38"/>
        <v>0</v>
      </c>
      <c r="AL55" s="257"/>
      <c r="AM55" s="266">
        <f t="shared" si="72"/>
        <v>0</v>
      </c>
      <c r="AN55" s="256"/>
      <c r="AO55" s="276"/>
      <c r="AP55" s="261" t="str">
        <f t="shared" si="16"/>
        <v xml:space="preserve"> </v>
      </c>
      <c r="AQ55" s="256"/>
      <c r="AR55" s="295"/>
      <c r="AS55" s="295"/>
      <c r="AT55" s="263"/>
      <c r="AU55" s="277"/>
      <c r="AV55" s="263"/>
      <c r="AW55" s="230"/>
      <c r="AX55" s="300"/>
      <c r="AY55" s="301"/>
      <c r="AZ55" s="230"/>
      <c r="BA55" s="300" t="s">
        <v>234</v>
      </c>
      <c r="BB55" s="295"/>
      <c r="BC55" s="228">
        <f t="shared" si="65"/>
        <v>0</v>
      </c>
      <c r="BD55" s="228">
        <f t="shared" si="66"/>
        <v>0</v>
      </c>
      <c r="BE55" s="228">
        <f t="shared" si="0"/>
        <v>1</v>
      </c>
      <c r="BF55" s="228" t="str">
        <f t="shared" si="19"/>
        <v>ALIVE</v>
      </c>
      <c r="BG55" s="208" t="str">
        <f t="shared" si="20"/>
        <v>Aucune</v>
      </c>
      <c r="BH55" s="208" t="str">
        <f t="shared" si="1"/>
        <v>Aucune</v>
      </c>
      <c r="BI55" s="208" t="str">
        <f t="shared" si="2"/>
        <v>Aucune</v>
      </c>
      <c r="BJ55" s="208" t="str">
        <f>IF(X55&lt;&gt;"",IF(X55-#REF!&lt;2,"OUI","NON"),"NON")</f>
        <v>NON</v>
      </c>
      <c r="BK55" s="208" t="str">
        <f t="shared" si="4"/>
        <v>NON</v>
      </c>
      <c r="BL55" s="208" t="str">
        <f>IF(AL55-L56&gt;0,AL55-L56,"Inconnu")</f>
        <v>Inconnu</v>
      </c>
      <c r="BM55" s="208" t="str">
        <f t="shared" si="67"/>
        <v>Inconnu</v>
      </c>
      <c r="BN55" s="208" t="str">
        <f t="shared" si="68"/>
        <v>Inconnu</v>
      </c>
      <c r="BO55" s="208" t="str">
        <f>IF(AJ55-L56&gt;0,AJ55-L56,"Inconnu")</f>
        <v>Inconnu</v>
      </c>
      <c r="BP55" s="208" t="str">
        <f t="shared" si="69"/>
        <v>Inconnu</v>
      </c>
      <c r="BQ55" s="208" t="str">
        <f t="shared" si="70"/>
        <v>Inconnu</v>
      </c>
      <c r="BR55" s="208" t="str">
        <f t="shared" si="71"/>
        <v>Aucune</v>
      </c>
      <c r="BS55" s="208">
        <f t="shared" si="61"/>
        <v>0</v>
      </c>
      <c r="BT55" s="229" t="e">
        <f>VLOOKUP($I55,Lieu_Activité!$A:$B,2,FALSE)</f>
        <v>#N/A</v>
      </c>
      <c r="BU55" s="208" t="str">
        <f t="shared" si="8"/>
        <v>Aucun</v>
      </c>
      <c r="BV55" s="208" t="str">
        <f t="shared" si="9"/>
        <v>Aucun</v>
      </c>
      <c r="BW55" s="207" t="str">
        <f>IF(M56="","NON","OUI")</f>
        <v>NON</v>
      </c>
      <c r="BX55" s="288"/>
    </row>
    <row r="56" spans="1:76" ht="12.95" customHeight="1" x14ac:dyDescent="0.25">
      <c r="A56" s="231" t="s">
        <v>213</v>
      </c>
      <c r="B56" s="234"/>
      <c r="C56" s="227"/>
      <c r="D56" s="257"/>
      <c r="E56" s="278">
        <f t="shared" ref="E56:E87" si="73">(L56-D56)/365</f>
        <v>0</v>
      </c>
      <c r="F56" s="278" t="str">
        <f t="shared" si="12"/>
        <v xml:space="preserve"> </v>
      </c>
      <c r="G56" s="256"/>
      <c r="H56" s="256"/>
      <c r="I56" s="256"/>
      <c r="J56" s="256"/>
      <c r="K56" s="256"/>
      <c r="L56" s="257"/>
      <c r="M56" s="243"/>
      <c r="N56" s="232"/>
      <c r="O56" s="232"/>
      <c r="P56" s="265" t="str">
        <f>IFERROR(VLOOKUP(O56,Références!$K$11:$N$19,2)," ")</f>
        <v xml:space="preserve"> </v>
      </c>
      <c r="Q56" s="265" t="str">
        <f>IFERROR(VLOOKUP(O56,Références!$K$11:$N$19,3)," ")</f>
        <v xml:space="preserve"> </v>
      </c>
      <c r="R56" s="265" t="str">
        <f>IFERROR(VLOOKUP(O56,Références!$K$11:$N$19,4)," ")</f>
        <v xml:space="preserve"> </v>
      </c>
      <c r="S56" s="256"/>
      <c r="T56" s="256"/>
      <c r="U56" s="256"/>
      <c r="V56" s="256"/>
      <c r="W56" s="256"/>
      <c r="X56" s="257"/>
      <c r="Y56" s="256"/>
      <c r="Z56" s="256"/>
      <c r="AA56" s="256"/>
      <c r="AB56" s="235"/>
      <c r="AC56" s="235"/>
      <c r="AD56" s="235"/>
      <c r="AE56" s="235"/>
      <c r="AF56" s="235"/>
      <c r="AG56" s="235"/>
      <c r="AH56" s="235"/>
      <c r="AI56" s="235">
        <f t="shared" si="64"/>
        <v>0</v>
      </c>
      <c r="AJ56" s="257"/>
      <c r="AK56" s="256">
        <f t="shared" si="38"/>
        <v>0</v>
      </c>
      <c r="AL56" s="257"/>
      <c r="AM56" s="266">
        <f t="shared" si="72"/>
        <v>0</v>
      </c>
      <c r="AN56" s="256"/>
      <c r="AO56" s="276"/>
      <c r="AP56" s="261" t="str">
        <f t="shared" si="16"/>
        <v xml:space="preserve"> </v>
      </c>
      <c r="AQ56" s="256"/>
      <c r="AR56" s="295"/>
      <c r="AS56" s="295"/>
      <c r="AT56" s="263"/>
      <c r="AU56" s="277"/>
      <c r="AV56" s="263"/>
      <c r="AW56" s="230"/>
      <c r="AX56" s="300"/>
      <c r="AY56" s="301"/>
      <c r="AZ56" s="230"/>
      <c r="BA56" s="300" t="s">
        <v>234</v>
      </c>
      <c r="BB56" s="295"/>
      <c r="BC56" s="228">
        <f t="shared" si="65"/>
        <v>0</v>
      </c>
      <c r="BD56" s="228">
        <f t="shared" si="66"/>
        <v>0</v>
      </c>
      <c r="BE56" s="228">
        <f t="shared" si="0"/>
        <v>1</v>
      </c>
      <c r="BF56" s="228" t="str">
        <f t="shared" si="19"/>
        <v>ALIVE</v>
      </c>
      <c r="BG56" s="208" t="str">
        <f t="shared" si="20"/>
        <v>Aucune</v>
      </c>
      <c r="BH56" s="208" t="str">
        <f t="shared" si="1"/>
        <v>Aucune</v>
      </c>
      <c r="BI56" s="208" t="str">
        <f t="shared" si="2"/>
        <v>Aucune</v>
      </c>
      <c r="BJ56" s="208" t="str">
        <f t="shared" ref="BJ56:BJ87" si="74">IF(X56&lt;&gt;"",IF(X56-L56&lt;2,"OUI","NON"),"NON")</f>
        <v>NON</v>
      </c>
      <c r="BK56" s="208" t="str">
        <f t="shared" si="4"/>
        <v>NON</v>
      </c>
      <c r="BL56" s="208" t="str">
        <f t="shared" ref="BL56:BL87" si="75">IF(AL56-L56&gt;0,AL56-L56,"Inconnu")</f>
        <v>Inconnu</v>
      </c>
      <c r="BM56" s="208" t="str">
        <f t="shared" si="67"/>
        <v>Inconnu</v>
      </c>
      <c r="BN56" s="208" t="str">
        <f t="shared" si="68"/>
        <v>Inconnu</v>
      </c>
      <c r="BO56" s="208" t="str">
        <f t="shared" ref="BO56:BO87" si="76">IF(AJ56-L56&gt;0,AJ56-L56,"Inconnu")</f>
        <v>Inconnu</v>
      </c>
      <c r="BP56" s="208" t="str">
        <f t="shared" si="69"/>
        <v>Inconnu</v>
      </c>
      <c r="BQ56" s="208" t="str">
        <f t="shared" si="70"/>
        <v>Inconnu</v>
      </c>
      <c r="BR56" s="208" t="str">
        <f t="shared" si="71"/>
        <v>Aucune</v>
      </c>
      <c r="BS56" s="208">
        <f t="shared" si="61"/>
        <v>0</v>
      </c>
      <c r="BT56" s="229" t="e">
        <f>VLOOKUP($I56,Lieu_Activité!$A:$B,2,FALSE)</f>
        <v>#N/A</v>
      </c>
      <c r="BU56" s="208" t="str">
        <f t="shared" si="8"/>
        <v>Aucun</v>
      </c>
      <c r="BV56" s="208" t="str">
        <f t="shared" si="9"/>
        <v>Aucun</v>
      </c>
      <c r="BW56" s="207" t="str">
        <f t="shared" ref="BW56:BW87" si="77">IF(M56="","NON","OUI")</f>
        <v>NON</v>
      </c>
      <c r="BX56" s="288"/>
    </row>
    <row r="57" spans="1:76" ht="12.95" customHeight="1" x14ac:dyDescent="0.25">
      <c r="A57" s="231" t="s">
        <v>213</v>
      </c>
      <c r="B57" s="234"/>
      <c r="C57" s="227"/>
      <c r="D57" s="257"/>
      <c r="E57" s="278">
        <f t="shared" si="73"/>
        <v>0</v>
      </c>
      <c r="F57" s="278" t="str">
        <f t="shared" si="12"/>
        <v xml:space="preserve"> </v>
      </c>
      <c r="G57" s="256"/>
      <c r="H57" s="256"/>
      <c r="I57" s="256"/>
      <c r="J57" s="256"/>
      <c r="K57" s="256"/>
      <c r="L57" s="257"/>
      <c r="M57" s="243"/>
      <c r="N57" s="232"/>
      <c r="O57" s="232"/>
      <c r="P57" s="265" t="str">
        <f>IFERROR(VLOOKUP(O57,Références!$K$11:$N$19,2)," ")</f>
        <v xml:space="preserve"> </v>
      </c>
      <c r="Q57" s="265" t="str">
        <f>IFERROR(VLOOKUP(O57,Références!$K$11:$N$19,3)," ")</f>
        <v xml:space="preserve"> </v>
      </c>
      <c r="R57" s="265" t="str">
        <f>IFERROR(VLOOKUP(O57,Références!$K$11:$N$19,4)," ")</f>
        <v xml:space="preserve"> </v>
      </c>
      <c r="S57" s="256"/>
      <c r="T57" s="256"/>
      <c r="U57" s="256"/>
      <c r="V57" s="256"/>
      <c r="W57" s="256"/>
      <c r="X57" s="257"/>
      <c r="Y57" s="256"/>
      <c r="Z57" s="256"/>
      <c r="AA57" s="256"/>
      <c r="AB57" s="235"/>
      <c r="AC57" s="235"/>
      <c r="AD57" s="235"/>
      <c r="AE57" s="235"/>
      <c r="AF57" s="235"/>
      <c r="AG57" s="235"/>
      <c r="AH57" s="235"/>
      <c r="AI57" s="235">
        <f t="shared" si="64"/>
        <v>0</v>
      </c>
      <c r="AJ57" s="257"/>
      <c r="AK57" s="256">
        <f t="shared" si="38"/>
        <v>0</v>
      </c>
      <c r="AL57" s="257"/>
      <c r="AM57" s="266">
        <f t="shared" si="72"/>
        <v>0</v>
      </c>
      <c r="AN57" s="256"/>
      <c r="AO57" s="276"/>
      <c r="AP57" s="261" t="str">
        <f t="shared" si="16"/>
        <v xml:space="preserve"> </v>
      </c>
      <c r="AQ57" s="256"/>
      <c r="AR57" s="295"/>
      <c r="AS57" s="295"/>
      <c r="AT57" s="263"/>
      <c r="AU57" s="277"/>
      <c r="AV57" s="263"/>
      <c r="AW57" s="230"/>
      <c r="AX57" s="300"/>
      <c r="AY57" s="301"/>
      <c r="AZ57" s="230"/>
      <c r="BA57" s="300" t="s">
        <v>234</v>
      </c>
      <c r="BB57" s="295"/>
      <c r="BC57" s="228">
        <f t="shared" si="65"/>
        <v>0</v>
      </c>
      <c r="BD57" s="228">
        <f t="shared" si="66"/>
        <v>0</v>
      </c>
      <c r="BE57" s="228">
        <f t="shared" si="0"/>
        <v>1</v>
      </c>
      <c r="BF57" s="228" t="str">
        <f t="shared" si="19"/>
        <v>ALIVE</v>
      </c>
      <c r="BG57" s="208" t="str">
        <f t="shared" si="20"/>
        <v>Aucune</v>
      </c>
      <c r="BH57" s="208" t="str">
        <f t="shared" si="1"/>
        <v>Aucune</v>
      </c>
      <c r="BI57" s="208" t="str">
        <f t="shared" si="2"/>
        <v>Aucune</v>
      </c>
      <c r="BJ57" s="208" t="str">
        <f t="shared" si="74"/>
        <v>NON</v>
      </c>
      <c r="BK57" s="208" t="str">
        <f t="shared" si="4"/>
        <v>NON</v>
      </c>
      <c r="BL57" s="208" t="str">
        <f t="shared" si="75"/>
        <v>Inconnu</v>
      </c>
      <c r="BM57" s="208" t="str">
        <f t="shared" si="67"/>
        <v>Inconnu</v>
      </c>
      <c r="BN57" s="208" t="str">
        <f t="shared" si="68"/>
        <v>Inconnu</v>
      </c>
      <c r="BO57" s="208" t="str">
        <f t="shared" si="76"/>
        <v>Inconnu</v>
      </c>
      <c r="BP57" s="208" t="str">
        <f t="shared" si="69"/>
        <v>Inconnu</v>
      </c>
      <c r="BQ57" s="208" t="str">
        <f t="shared" si="70"/>
        <v>Inconnu</v>
      </c>
      <c r="BR57" s="208" t="str">
        <f t="shared" si="71"/>
        <v>Aucune</v>
      </c>
      <c r="BS57" s="208">
        <f t="shared" si="61"/>
        <v>0</v>
      </c>
      <c r="BT57" s="229" t="e">
        <f>VLOOKUP($I57,Lieu_Activité!$A:$B,2,FALSE)</f>
        <v>#N/A</v>
      </c>
      <c r="BU57" s="208" t="str">
        <f t="shared" si="8"/>
        <v>Aucun</v>
      </c>
      <c r="BV57" s="208" t="str">
        <f t="shared" si="9"/>
        <v>Aucun</v>
      </c>
      <c r="BW57" s="207" t="str">
        <f t="shared" si="77"/>
        <v>NON</v>
      </c>
      <c r="BX57" s="288"/>
    </row>
    <row r="58" spans="1:76" ht="12.95" customHeight="1" x14ac:dyDescent="0.25">
      <c r="A58" s="226" t="s">
        <v>209</v>
      </c>
      <c r="B58" s="234"/>
      <c r="C58" s="227"/>
      <c r="D58" s="257"/>
      <c r="E58" s="278">
        <f t="shared" si="73"/>
        <v>0</v>
      </c>
      <c r="F58" s="278" t="str">
        <f t="shared" si="12"/>
        <v xml:space="preserve"> </v>
      </c>
      <c r="G58" s="256"/>
      <c r="H58" s="256"/>
      <c r="I58" s="256"/>
      <c r="J58" s="256"/>
      <c r="K58" s="256"/>
      <c r="L58" s="257"/>
      <c r="M58" s="243"/>
      <c r="N58" s="232"/>
      <c r="O58" s="232"/>
      <c r="P58" s="265" t="str">
        <f>IFERROR(VLOOKUP(O58,Références!$K$11:$N$19,2)," ")</f>
        <v xml:space="preserve"> </v>
      </c>
      <c r="Q58" s="265" t="str">
        <f>IFERROR(VLOOKUP(O58,Références!$K$11:$N$19,3)," ")</f>
        <v xml:space="preserve"> </v>
      </c>
      <c r="R58" s="265" t="str">
        <f>IFERROR(VLOOKUP(O58,Références!$K$11:$N$19,4)," ")</f>
        <v xml:space="preserve"> </v>
      </c>
      <c r="S58" s="256"/>
      <c r="T58" s="256"/>
      <c r="U58" s="256"/>
      <c r="V58" s="256"/>
      <c r="W58" s="256"/>
      <c r="X58" s="257"/>
      <c r="Y58" s="256"/>
      <c r="Z58" s="256"/>
      <c r="AA58" s="256"/>
      <c r="AB58" s="235"/>
      <c r="AC58" s="235"/>
      <c r="AD58" s="235"/>
      <c r="AE58" s="235"/>
      <c r="AF58" s="235"/>
      <c r="AG58" s="235"/>
      <c r="AH58" s="235"/>
      <c r="AI58" s="235">
        <f t="shared" si="64"/>
        <v>0</v>
      </c>
      <c r="AJ58" s="257"/>
      <c r="AK58" s="256">
        <f t="shared" ref="AK58:AK86" si="78">(AJ58-L58)</f>
        <v>0</v>
      </c>
      <c r="AL58" s="257"/>
      <c r="AM58" s="266">
        <f t="shared" si="72"/>
        <v>0</v>
      </c>
      <c r="AN58" s="256"/>
      <c r="AO58" s="276"/>
      <c r="AP58" s="261" t="str">
        <f t="shared" si="16"/>
        <v xml:space="preserve"> </v>
      </c>
      <c r="AQ58" s="256"/>
      <c r="AR58" s="295"/>
      <c r="AS58" s="295"/>
      <c r="AT58" s="263"/>
      <c r="AU58" s="277"/>
      <c r="AV58" s="263"/>
      <c r="AW58" s="230"/>
      <c r="AX58" s="300"/>
      <c r="AY58" s="301"/>
      <c r="AZ58" s="230"/>
      <c r="BA58" s="300" t="s">
        <v>234</v>
      </c>
      <c r="BB58" s="295"/>
      <c r="BC58" s="228">
        <f t="shared" si="65"/>
        <v>0</v>
      </c>
      <c r="BD58" s="228">
        <f t="shared" si="66"/>
        <v>0</v>
      </c>
      <c r="BE58" s="228">
        <f t="shared" si="0"/>
        <v>1</v>
      </c>
      <c r="BF58" s="228" t="str">
        <f t="shared" si="19"/>
        <v>ALIVE</v>
      </c>
      <c r="BG58" s="208" t="str">
        <f t="shared" si="20"/>
        <v>Aucune</v>
      </c>
      <c r="BH58" s="208" t="str">
        <f t="shared" si="1"/>
        <v>Aucune</v>
      </c>
      <c r="BI58" s="208" t="str">
        <f t="shared" si="2"/>
        <v>Aucune</v>
      </c>
      <c r="BJ58" s="208" t="str">
        <f t="shared" si="74"/>
        <v>NON</v>
      </c>
      <c r="BK58" s="208" t="str">
        <f t="shared" si="4"/>
        <v>NON</v>
      </c>
      <c r="BL58" s="208" t="str">
        <f t="shared" si="75"/>
        <v>Inconnu</v>
      </c>
      <c r="BM58" s="208" t="str">
        <f t="shared" si="67"/>
        <v>Inconnu</v>
      </c>
      <c r="BN58" s="208" t="str">
        <f t="shared" si="68"/>
        <v>Inconnu</v>
      </c>
      <c r="BO58" s="208" t="str">
        <f t="shared" si="76"/>
        <v>Inconnu</v>
      </c>
      <c r="BP58" s="208" t="str">
        <f t="shared" si="69"/>
        <v>Inconnu</v>
      </c>
      <c r="BQ58" s="208" t="str">
        <f t="shared" si="70"/>
        <v>Inconnu</v>
      </c>
      <c r="BR58" s="208" t="str">
        <f t="shared" si="71"/>
        <v>Aucune</v>
      </c>
      <c r="BS58" s="208">
        <f t="shared" si="61"/>
        <v>0</v>
      </c>
      <c r="BT58" s="229" t="e">
        <f>VLOOKUP($I58,Lieu_Activité!$A:$B,2,FALSE)</f>
        <v>#N/A</v>
      </c>
      <c r="BU58" s="208" t="str">
        <f t="shared" si="8"/>
        <v>Aucun</v>
      </c>
      <c r="BV58" s="208" t="str">
        <f t="shared" si="9"/>
        <v>Aucun</v>
      </c>
      <c r="BW58" s="207" t="str">
        <f t="shared" si="77"/>
        <v>NON</v>
      </c>
      <c r="BX58" s="288"/>
    </row>
    <row r="59" spans="1:76" ht="12.95" customHeight="1" x14ac:dyDescent="0.25">
      <c r="A59" s="226" t="s">
        <v>209</v>
      </c>
      <c r="B59" s="234"/>
      <c r="C59" s="227"/>
      <c r="D59" s="257"/>
      <c r="E59" s="278">
        <f t="shared" si="73"/>
        <v>0</v>
      </c>
      <c r="F59" s="278" t="str">
        <f t="shared" si="12"/>
        <v xml:space="preserve"> </v>
      </c>
      <c r="G59" s="256"/>
      <c r="H59" s="256"/>
      <c r="I59" s="256"/>
      <c r="J59" s="256"/>
      <c r="K59" s="256"/>
      <c r="L59" s="257"/>
      <c r="M59" s="243"/>
      <c r="N59" s="232"/>
      <c r="O59" s="232"/>
      <c r="P59" s="265" t="str">
        <f>IFERROR(VLOOKUP(O59,Références!$K$11:$N$19,2)," ")</f>
        <v xml:space="preserve"> </v>
      </c>
      <c r="Q59" s="265" t="str">
        <f>IFERROR(VLOOKUP(O59,Références!$K$11:$N$19,3)," ")</f>
        <v xml:space="preserve"> </v>
      </c>
      <c r="R59" s="265" t="str">
        <f>IFERROR(VLOOKUP(O59,Références!$K$11:$N$19,4)," ")</f>
        <v xml:space="preserve"> </v>
      </c>
      <c r="S59" s="256"/>
      <c r="T59" s="256"/>
      <c r="U59" s="256"/>
      <c r="V59" s="256"/>
      <c r="W59" s="256"/>
      <c r="X59" s="257"/>
      <c r="Y59" s="256"/>
      <c r="Z59" s="256"/>
      <c r="AA59" s="256"/>
      <c r="AB59" s="235"/>
      <c r="AC59" s="235"/>
      <c r="AD59" s="274"/>
      <c r="AE59" s="235"/>
      <c r="AF59" s="235"/>
      <c r="AG59" s="235"/>
      <c r="AH59" s="235"/>
      <c r="AI59" s="235">
        <f t="shared" si="64"/>
        <v>0</v>
      </c>
      <c r="AJ59" s="257"/>
      <c r="AK59" s="256">
        <f t="shared" si="78"/>
        <v>0</v>
      </c>
      <c r="AL59" s="257"/>
      <c r="AM59" s="266">
        <f t="shared" si="72"/>
        <v>0</v>
      </c>
      <c r="AN59" s="256"/>
      <c r="AO59" s="276"/>
      <c r="AP59" s="261" t="str">
        <f t="shared" si="16"/>
        <v xml:space="preserve"> </v>
      </c>
      <c r="AQ59" s="256"/>
      <c r="AR59" s="295"/>
      <c r="AS59" s="295"/>
      <c r="AT59" s="263"/>
      <c r="AU59" s="277"/>
      <c r="AV59" s="263"/>
      <c r="AW59" s="230"/>
      <c r="AX59" s="300"/>
      <c r="AY59" s="301"/>
      <c r="AZ59" s="230"/>
      <c r="BA59" s="300" t="s">
        <v>234</v>
      </c>
      <c r="BB59" s="295"/>
      <c r="BC59" s="228">
        <f t="shared" si="65"/>
        <v>0</v>
      </c>
      <c r="BD59" s="228">
        <f t="shared" si="66"/>
        <v>0</v>
      </c>
      <c r="BE59" s="228">
        <f t="shared" si="0"/>
        <v>1</v>
      </c>
      <c r="BF59" s="228" t="str">
        <f t="shared" si="19"/>
        <v>ALIVE</v>
      </c>
      <c r="BG59" s="208" t="str">
        <f t="shared" si="20"/>
        <v>Aucune</v>
      </c>
      <c r="BH59" s="208" t="str">
        <f t="shared" si="1"/>
        <v>Aucune</v>
      </c>
      <c r="BI59" s="208" t="str">
        <f t="shared" si="2"/>
        <v>Aucune</v>
      </c>
      <c r="BJ59" s="208" t="str">
        <f t="shared" si="74"/>
        <v>NON</v>
      </c>
      <c r="BK59" s="208" t="str">
        <f t="shared" si="4"/>
        <v>NON</v>
      </c>
      <c r="BL59" s="208" t="str">
        <f t="shared" si="75"/>
        <v>Inconnu</v>
      </c>
      <c r="BM59" s="208" t="str">
        <f t="shared" si="67"/>
        <v>Inconnu</v>
      </c>
      <c r="BN59" s="208" t="str">
        <f t="shared" si="68"/>
        <v>Inconnu</v>
      </c>
      <c r="BO59" s="208" t="str">
        <f t="shared" si="76"/>
        <v>Inconnu</v>
      </c>
      <c r="BP59" s="208" t="str">
        <f t="shared" si="69"/>
        <v>Inconnu</v>
      </c>
      <c r="BQ59" s="208" t="str">
        <f t="shared" si="70"/>
        <v>Inconnu</v>
      </c>
      <c r="BR59" s="208" t="str">
        <f t="shared" si="71"/>
        <v>Aucune</v>
      </c>
      <c r="BS59" s="208">
        <f t="shared" si="61"/>
        <v>0</v>
      </c>
      <c r="BT59" s="229" t="e">
        <f>VLOOKUP($I59,Lieu_Activité!$A:$B,2,FALSE)</f>
        <v>#N/A</v>
      </c>
      <c r="BU59" s="208" t="str">
        <f t="shared" si="8"/>
        <v>Aucun</v>
      </c>
      <c r="BV59" s="208" t="str">
        <f t="shared" si="9"/>
        <v>Aucun</v>
      </c>
      <c r="BW59" s="207" t="str">
        <f t="shared" si="77"/>
        <v>NON</v>
      </c>
      <c r="BX59" s="288"/>
    </row>
    <row r="60" spans="1:76" ht="12.95" customHeight="1" x14ac:dyDescent="0.25">
      <c r="A60" s="226" t="s">
        <v>209</v>
      </c>
      <c r="B60" s="234"/>
      <c r="C60" s="227"/>
      <c r="D60" s="257"/>
      <c r="E60" s="278">
        <f t="shared" si="73"/>
        <v>0</v>
      </c>
      <c r="F60" s="278" t="str">
        <f t="shared" si="12"/>
        <v xml:space="preserve"> </v>
      </c>
      <c r="G60" s="256"/>
      <c r="H60" s="256"/>
      <c r="I60" s="256"/>
      <c r="J60" s="256"/>
      <c r="K60" s="256"/>
      <c r="L60" s="257"/>
      <c r="M60" s="243"/>
      <c r="N60" s="232"/>
      <c r="O60" s="232"/>
      <c r="P60" s="265" t="str">
        <f>IFERROR(VLOOKUP(O60,Références!$K$11:$N$19,2)," ")</f>
        <v xml:space="preserve"> </v>
      </c>
      <c r="Q60" s="265" t="str">
        <f>IFERROR(VLOOKUP(O60,Références!$K$11:$N$19,3)," ")</f>
        <v xml:space="preserve"> </v>
      </c>
      <c r="R60" s="265" t="str">
        <f>IFERROR(VLOOKUP(O60,Références!$K$11:$N$19,4)," ")</f>
        <v xml:space="preserve"> </v>
      </c>
      <c r="S60" s="256"/>
      <c r="T60" s="256"/>
      <c r="U60" s="256"/>
      <c r="V60" s="256"/>
      <c r="W60" s="256"/>
      <c r="X60" s="257"/>
      <c r="Y60" s="256"/>
      <c r="Z60" s="256"/>
      <c r="AA60" s="256"/>
      <c r="AB60" s="235"/>
      <c r="AC60" s="235"/>
      <c r="AD60" s="274"/>
      <c r="AE60" s="235"/>
      <c r="AF60" s="235"/>
      <c r="AG60" s="235"/>
      <c r="AH60" s="235"/>
      <c r="AI60" s="235">
        <f t="shared" si="64"/>
        <v>0</v>
      </c>
      <c r="AJ60" s="257"/>
      <c r="AK60" s="256">
        <f t="shared" si="78"/>
        <v>0</v>
      </c>
      <c r="AL60" s="257"/>
      <c r="AM60" s="266">
        <f t="shared" si="72"/>
        <v>0</v>
      </c>
      <c r="AN60" s="256"/>
      <c r="AO60" s="276"/>
      <c r="AP60" s="261" t="str">
        <f t="shared" si="16"/>
        <v xml:space="preserve"> </v>
      </c>
      <c r="AQ60" s="256"/>
      <c r="AR60" s="295"/>
      <c r="AS60" s="295"/>
      <c r="AT60" s="263"/>
      <c r="AU60" s="277"/>
      <c r="AV60" s="263"/>
      <c r="AW60" s="230"/>
      <c r="AX60" s="300"/>
      <c r="AY60" s="301"/>
      <c r="AZ60" s="230"/>
      <c r="BA60" s="300" t="s">
        <v>234</v>
      </c>
      <c r="BB60" s="295"/>
      <c r="BC60" s="228">
        <f t="shared" si="65"/>
        <v>0</v>
      </c>
      <c r="BD60" s="228">
        <f t="shared" si="66"/>
        <v>0</v>
      </c>
      <c r="BE60" s="228">
        <f t="shared" si="0"/>
        <v>1</v>
      </c>
      <c r="BF60" s="228" t="str">
        <f t="shared" si="19"/>
        <v>ALIVE</v>
      </c>
      <c r="BG60" s="208" t="str">
        <f t="shared" si="20"/>
        <v>Aucune</v>
      </c>
      <c r="BH60" s="208" t="str">
        <f t="shared" si="1"/>
        <v>Aucune</v>
      </c>
      <c r="BI60" s="208" t="str">
        <f t="shared" si="2"/>
        <v>Aucune</v>
      </c>
      <c r="BJ60" s="208" t="str">
        <f t="shared" si="74"/>
        <v>NON</v>
      </c>
      <c r="BK60" s="208" t="str">
        <f t="shared" si="4"/>
        <v>NON</v>
      </c>
      <c r="BL60" s="208" t="str">
        <f t="shared" si="75"/>
        <v>Inconnu</v>
      </c>
      <c r="BM60" s="208" t="str">
        <f t="shared" si="67"/>
        <v>Inconnu</v>
      </c>
      <c r="BN60" s="208" t="str">
        <f t="shared" si="68"/>
        <v>Inconnu</v>
      </c>
      <c r="BO60" s="208" t="str">
        <f t="shared" si="76"/>
        <v>Inconnu</v>
      </c>
      <c r="BP60" s="208" t="str">
        <f t="shared" si="69"/>
        <v>Inconnu</v>
      </c>
      <c r="BQ60" s="208" t="str">
        <f t="shared" si="70"/>
        <v>Inconnu</v>
      </c>
      <c r="BR60" s="208" t="str">
        <f t="shared" si="71"/>
        <v>Aucune</v>
      </c>
      <c r="BS60" s="208">
        <f t="shared" si="61"/>
        <v>0</v>
      </c>
      <c r="BT60" s="229" t="e">
        <f>VLOOKUP($I60,Lieu_Activité!$A:$B,2,FALSE)</f>
        <v>#N/A</v>
      </c>
      <c r="BU60" s="208" t="str">
        <f t="shared" si="8"/>
        <v>Aucun</v>
      </c>
      <c r="BV60" s="208" t="str">
        <f t="shared" si="9"/>
        <v>Aucun</v>
      </c>
      <c r="BW60" s="207" t="str">
        <f t="shared" si="77"/>
        <v>NON</v>
      </c>
      <c r="BX60" s="288"/>
    </row>
    <row r="61" spans="1:76" ht="12.95" customHeight="1" x14ac:dyDescent="0.25">
      <c r="A61" s="226" t="s">
        <v>209</v>
      </c>
      <c r="B61" s="234"/>
      <c r="C61" s="227"/>
      <c r="D61" s="257"/>
      <c r="E61" s="278">
        <f t="shared" si="73"/>
        <v>0</v>
      </c>
      <c r="F61" s="278" t="str">
        <f t="shared" si="12"/>
        <v xml:space="preserve"> </v>
      </c>
      <c r="G61" s="256"/>
      <c r="H61" s="256"/>
      <c r="I61" s="256"/>
      <c r="J61" s="256"/>
      <c r="K61" s="256"/>
      <c r="L61" s="257"/>
      <c r="M61" s="243"/>
      <c r="N61" s="232"/>
      <c r="O61" s="232"/>
      <c r="P61" s="265" t="str">
        <f>IFERROR(VLOOKUP(O61,Références!$K$11:$N$19,2)," ")</f>
        <v xml:space="preserve"> </v>
      </c>
      <c r="Q61" s="265" t="str">
        <f>IFERROR(VLOOKUP(O61,Références!$K$11:$N$19,3)," ")</f>
        <v xml:space="preserve"> </v>
      </c>
      <c r="R61" s="265" t="str">
        <f>IFERROR(VLOOKUP(O61,Références!$K$11:$N$19,4)," ")</f>
        <v xml:space="preserve"> </v>
      </c>
      <c r="S61" s="256"/>
      <c r="T61" s="256"/>
      <c r="U61" s="256"/>
      <c r="V61" s="256"/>
      <c r="W61" s="256"/>
      <c r="X61" s="257"/>
      <c r="Y61" s="256"/>
      <c r="Z61" s="256"/>
      <c r="AA61" s="256"/>
      <c r="AB61" s="235"/>
      <c r="AC61" s="235"/>
      <c r="AD61" s="235"/>
      <c r="AE61" s="235"/>
      <c r="AF61" s="235"/>
      <c r="AG61" s="235"/>
      <c r="AH61" s="235"/>
      <c r="AI61" s="235">
        <f t="shared" si="64"/>
        <v>0</v>
      </c>
      <c r="AJ61" s="257"/>
      <c r="AK61" s="256">
        <f t="shared" si="78"/>
        <v>0</v>
      </c>
      <c r="AL61" s="257"/>
      <c r="AM61" s="266">
        <f t="shared" si="72"/>
        <v>0</v>
      </c>
      <c r="AN61" s="256"/>
      <c r="AO61" s="276"/>
      <c r="AP61" s="261" t="str">
        <f t="shared" si="16"/>
        <v xml:space="preserve"> </v>
      </c>
      <c r="AQ61" s="256"/>
      <c r="AR61" s="296"/>
      <c r="AS61" s="295"/>
      <c r="AT61" s="263"/>
      <c r="AU61" s="277"/>
      <c r="AV61" s="263"/>
      <c r="AW61" s="230"/>
      <c r="AX61" s="300"/>
      <c r="AY61" s="301"/>
      <c r="AZ61" s="230"/>
      <c r="BA61" s="300" t="s">
        <v>234</v>
      </c>
      <c r="BB61" s="295"/>
      <c r="BC61" s="228">
        <f t="shared" si="65"/>
        <v>0</v>
      </c>
      <c r="BD61" s="228">
        <f t="shared" si="66"/>
        <v>0</v>
      </c>
      <c r="BE61" s="228">
        <f t="shared" si="0"/>
        <v>1</v>
      </c>
      <c r="BF61" s="228" t="str">
        <f t="shared" si="19"/>
        <v>ALIVE</v>
      </c>
      <c r="BG61" s="208" t="str">
        <f t="shared" si="20"/>
        <v>Aucune</v>
      </c>
      <c r="BH61" s="208" t="str">
        <f t="shared" si="1"/>
        <v>Aucune</v>
      </c>
      <c r="BI61" s="208" t="str">
        <f t="shared" si="2"/>
        <v>Aucune</v>
      </c>
      <c r="BJ61" s="208" t="str">
        <f t="shared" si="74"/>
        <v>NON</v>
      </c>
      <c r="BK61" s="208" t="str">
        <f t="shared" si="4"/>
        <v>NON</v>
      </c>
      <c r="BL61" s="208" t="str">
        <f t="shared" si="75"/>
        <v>Inconnu</v>
      </c>
      <c r="BM61" s="208" t="str">
        <f t="shared" si="67"/>
        <v>Inconnu</v>
      </c>
      <c r="BN61" s="208" t="str">
        <f t="shared" si="68"/>
        <v>Inconnu</v>
      </c>
      <c r="BO61" s="208" t="str">
        <f t="shared" si="76"/>
        <v>Inconnu</v>
      </c>
      <c r="BP61" s="208" t="str">
        <f t="shared" si="69"/>
        <v>Inconnu</v>
      </c>
      <c r="BQ61" s="208" t="str">
        <f t="shared" si="70"/>
        <v>Inconnu</v>
      </c>
      <c r="BR61" s="208" t="str">
        <f t="shared" si="71"/>
        <v>Aucune</v>
      </c>
      <c r="BS61" s="208">
        <f t="shared" si="61"/>
        <v>0</v>
      </c>
      <c r="BT61" s="229" t="e">
        <f>VLOOKUP($I61,Lieu_Activité!$A:$B,2,FALSE)</f>
        <v>#N/A</v>
      </c>
      <c r="BU61" s="208" t="str">
        <f t="shared" si="8"/>
        <v>Aucun</v>
      </c>
      <c r="BV61" s="208" t="str">
        <f t="shared" si="9"/>
        <v>Aucun</v>
      </c>
      <c r="BW61" s="207" t="str">
        <f t="shared" si="77"/>
        <v>NON</v>
      </c>
      <c r="BX61" s="288"/>
    </row>
    <row r="62" spans="1:76" ht="12.95" customHeight="1" x14ac:dyDescent="0.25">
      <c r="A62" s="226" t="s">
        <v>209</v>
      </c>
      <c r="B62" s="234"/>
      <c r="C62" s="227"/>
      <c r="D62" s="257"/>
      <c r="E62" s="278">
        <f t="shared" si="73"/>
        <v>0</v>
      </c>
      <c r="F62" s="278" t="str">
        <f t="shared" si="12"/>
        <v xml:space="preserve"> </v>
      </c>
      <c r="G62" s="256"/>
      <c r="H62" s="256"/>
      <c r="I62" s="256"/>
      <c r="J62" s="256"/>
      <c r="K62" s="256"/>
      <c r="L62" s="257"/>
      <c r="M62" s="243"/>
      <c r="N62" s="232"/>
      <c r="O62" s="232"/>
      <c r="P62" s="265" t="str">
        <f>IFERROR(VLOOKUP(O62,Références!$K$11:$N$19,2)," ")</f>
        <v xml:space="preserve"> </v>
      </c>
      <c r="Q62" s="265" t="str">
        <f>IFERROR(VLOOKUP(O62,Références!$K$11:$N$19,3)," ")</f>
        <v xml:space="preserve"> </v>
      </c>
      <c r="R62" s="265" t="str">
        <f>IFERROR(VLOOKUP(O62,Références!$K$11:$N$19,4)," ")</f>
        <v xml:space="preserve"> </v>
      </c>
      <c r="S62" s="256"/>
      <c r="T62" s="256"/>
      <c r="U62" s="256"/>
      <c r="V62" s="256"/>
      <c r="W62" s="256"/>
      <c r="X62" s="257"/>
      <c r="Y62" s="256"/>
      <c r="Z62" s="256"/>
      <c r="AA62" s="256"/>
      <c r="AB62" s="235"/>
      <c r="AC62" s="235"/>
      <c r="AD62" s="274"/>
      <c r="AE62" s="235"/>
      <c r="AF62" s="235"/>
      <c r="AG62" s="235"/>
      <c r="AH62" s="235"/>
      <c r="AI62" s="235">
        <f t="shared" si="64"/>
        <v>0</v>
      </c>
      <c r="AJ62" s="257"/>
      <c r="AK62" s="256">
        <f t="shared" si="78"/>
        <v>0</v>
      </c>
      <c r="AL62" s="257"/>
      <c r="AM62" s="266">
        <f t="shared" si="72"/>
        <v>0</v>
      </c>
      <c r="AN62" s="256"/>
      <c r="AO62" s="276"/>
      <c r="AP62" s="261" t="str">
        <f t="shared" si="16"/>
        <v xml:space="preserve"> </v>
      </c>
      <c r="AQ62" s="256"/>
      <c r="AR62" s="295"/>
      <c r="AS62" s="295"/>
      <c r="AT62" s="263"/>
      <c r="AU62" s="277"/>
      <c r="AV62" s="263"/>
      <c r="AW62" s="230"/>
      <c r="AX62" s="300"/>
      <c r="AY62" s="301"/>
      <c r="AZ62" s="230"/>
      <c r="BA62" s="300" t="s">
        <v>234</v>
      </c>
      <c r="BB62" s="295"/>
      <c r="BC62" s="228">
        <f t="shared" si="65"/>
        <v>0</v>
      </c>
      <c r="BD62" s="228">
        <f t="shared" si="66"/>
        <v>0</v>
      </c>
      <c r="BE62" s="228">
        <f t="shared" si="0"/>
        <v>1</v>
      </c>
      <c r="BF62" s="228" t="str">
        <f t="shared" si="19"/>
        <v>ALIVE</v>
      </c>
      <c r="BG62" s="208" t="str">
        <f t="shared" si="20"/>
        <v>Aucune</v>
      </c>
      <c r="BH62" s="208" t="str">
        <f t="shared" si="1"/>
        <v>Aucune</v>
      </c>
      <c r="BI62" s="208" t="str">
        <f t="shared" si="2"/>
        <v>Aucune</v>
      </c>
      <c r="BJ62" s="208" t="str">
        <f t="shared" si="74"/>
        <v>NON</v>
      </c>
      <c r="BK62" s="208" t="str">
        <f t="shared" si="4"/>
        <v>NON</v>
      </c>
      <c r="BL62" s="208" t="str">
        <f t="shared" si="75"/>
        <v>Inconnu</v>
      </c>
      <c r="BM62" s="208" t="str">
        <f t="shared" si="67"/>
        <v>Inconnu</v>
      </c>
      <c r="BN62" s="208" t="str">
        <f t="shared" si="68"/>
        <v>Inconnu</v>
      </c>
      <c r="BO62" s="208" t="str">
        <f t="shared" si="76"/>
        <v>Inconnu</v>
      </c>
      <c r="BP62" s="208" t="str">
        <f t="shared" si="69"/>
        <v>Inconnu</v>
      </c>
      <c r="BQ62" s="208" t="str">
        <f t="shared" si="70"/>
        <v>Inconnu</v>
      </c>
      <c r="BR62" s="208" t="str">
        <f t="shared" si="71"/>
        <v>Aucune</v>
      </c>
      <c r="BS62" s="208">
        <f t="shared" si="61"/>
        <v>0</v>
      </c>
      <c r="BT62" s="229" t="e">
        <f>VLOOKUP($I62,Lieu_Activité!$A:$B,2,FALSE)</f>
        <v>#N/A</v>
      </c>
      <c r="BU62" s="208" t="str">
        <f t="shared" si="8"/>
        <v>Aucun</v>
      </c>
      <c r="BV62" s="208" t="str">
        <f t="shared" si="9"/>
        <v>Aucun</v>
      </c>
      <c r="BW62" s="207" t="str">
        <f t="shared" si="77"/>
        <v>NON</v>
      </c>
      <c r="BX62" s="288"/>
    </row>
    <row r="63" spans="1:76" ht="12.95" customHeight="1" x14ac:dyDescent="0.25">
      <c r="A63" s="226" t="s">
        <v>209</v>
      </c>
      <c r="B63" s="234"/>
      <c r="C63" s="227"/>
      <c r="D63" s="257"/>
      <c r="E63" s="278">
        <f t="shared" si="73"/>
        <v>0</v>
      </c>
      <c r="F63" s="278" t="str">
        <f t="shared" si="12"/>
        <v xml:space="preserve"> </v>
      </c>
      <c r="G63" s="256"/>
      <c r="H63" s="256"/>
      <c r="I63" s="256"/>
      <c r="J63" s="256"/>
      <c r="K63" s="256"/>
      <c r="L63" s="257"/>
      <c r="M63" s="243"/>
      <c r="N63" s="232"/>
      <c r="O63" s="232"/>
      <c r="P63" s="265" t="str">
        <f>IFERROR(VLOOKUP(O63,Références!$K$11:$N$19,2)," ")</f>
        <v xml:space="preserve"> </v>
      </c>
      <c r="Q63" s="265" t="str">
        <f>IFERROR(VLOOKUP(O63,Références!$K$11:$N$19,3)," ")</f>
        <v xml:space="preserve"> </v>
      </c>
      <c r="R63" s="265" t="str">
        <f>IFERROR(VLOOKUP(O63,Références!$K$11:$N$19,4)," ")</f>
        <v xml:space="preserve"> </v>
      </c>
      <c r="S63" s="256"/>
      <c r="T63" s="256"/>
      <c r="U63" s="256"/>
      <c r="V63" s="256"/>
      <c r="W63" s="256"/>
      <c r="X63" s="257"/>
      <c r="Y63" s="256"/>
      <c r="Z63" s="256"/>
      <c r="AA63" s="256"/>
      <c r="AB63" s="235"/>
      <c r="AC63" s="235"/>
      <c r="AD63" s="235"/>
      <c r="AE63" s="235"/>
      <c r="AF63" s="235"/>
      <c r="AG63" s="235"/>
      <c r="AH63" s="235"/>
      <c r="AI63" s="235">
        <f t="shared" si="64"/>
        <v>0</v>
      </c>
      <c r="AJ63" s="257"/>
      <c r="AK63" s="256">
        <f t="shared" si="78"/>
        <v>0</v>
      </c>
      <c r="AL63" s="257"/>
      <c r="AM63" s="266">
        <f t="shared" si="72"/>
        <v>0</v>
      </c>
      <c r="AN63" s="256"/>
      <c r="AO63" s="276"/>
      <c r="AP63" s="261" t="str">
        <f t="shared" si="16"/>
        <v xml:space="preserve"> </v>
      </c>
      <c r="AQ63" s="256"/>
      <c r="AR63" s="295"/>
      <c r="AS63" s="295"/>
      <c r="AT63" s="263"/>
      <c r="AU63" s="277"/>
      <c r="AV63" s="263"/>
      <c r="AW63" s="230"/>
      <c r="AX63" s="300"/>
      <c r="AY63" s="301"/>
      <c r="AZ63" s="230"/>
      <c r="BA63" s="300" t="s">
        <v>234</v>
      </c>
      <c r="BB63" s="295"/>
      <c r="BC63" s="228">
        <f t="shared" si="65"/>
        <v>0</v>
      </c>
      <c r="BD63" s="228">
        <f t="shared" si="66"/>
        <v>0</v>
      </c>
      <c r="BE63" s="228">
        <f t="shared" si="0"/>
        <v>1</v>
      </c>
      <c r="BF63" s="228" t="str">
        <f t="shared" si="19"/>
        <v>ALIVE</v>
      </c>
      <c r="BG63" s="208" t="str">
        <f t="shared" si="20"/>
        <v>Aucune</v>
      </c>
      <c r="BH63" s="208" t="str">
        <f t="shared" si="1"/>
        <v>Aucune</v>
      </c>
      <c r="BI63" s="208" t="str">
        <f t="shared" si="2"/>
        <v>Aucune</v>
      </c>
      <c r="BJ63" s="208" t="str">
        <f t="shared" si="74"/>
        <v>NON</v>
      </c>
      <c r="BK63" s="208" t="str">
        <f t="shared" si="4"/>
        <v>NON</v>
      </c>
      <c r="BL63" s="208" t="str">
        <f t="shared" si="75"/>
        <v>Inconnu</v>
      </c>
      <c r="BM63" s="208" t="str">
        <f t="shared" si="67"/>
        <v>Inconnu</v>
      </c>
      <c r="BN63" s="208" t="str">
        <f t="shared" si="68"/>
        <v>Inconnu</v>
      </c>
      <c r="BO63" s="208" t="str">
        <f t="shared" si="76"/>
        <v>Inconnu</v>
      </c>
      <c r="BP63" s="208" t="str">
        <f t="shared" si="69"/>
        <v>Inconnu</v>
      </c>
      <c r="BQ63" s="208" t="str">
        <f t="shared" si="70"/>
        <v>Inconnu</v>
      </c>
      <c r="BR63" s="208" t="str">
        <f t="shared" si="71"/>
        <v>Aucune</v>
      </c>
      <c r="BS63" s="208">
        <f t="shared" si="61"/>
        <v>0</v>
      </c>
      <c r="BT63" s="229" t="e">
        <f>VLOOKUP($I63,Lieu_Activité!$A:$B,2,FALSE)</f>
        <v>#N/A</v>
      </c>
      <c r="BU63" s="208" t="str">
        <f t="shared" si="8"/>
        <v>Aucun</v>
      </c>
      <c r="BV63" s="208" t="str">
        <f t="shared" si="9"/>
        <v>Aucun</v>
      </c>
      <c r="BW63" s="207" t="str">
        <f t="shared" si="77"/>
        <v>NON</v>
      </c>
      <c r="BX63" s="288"/>
    </row>
    <row r="64" spans="1:76" ht="12.95" customHeight="1" x14ac:dyDescent="0.25">
      <c r="A64" s="226" t="s">
        <v>209</v>
      </c>
      <c r="B64" s="234"/>
      <c r="C64" s="227"/>
      <c r="D64" s="257"/>
      <c r="E64" s="278">
        <f t="shared" si="73"/>
        <v>0</v>
      </c>
      <c r="F64" s="278" t="str">
        <f t="shared" si="12"/>
        <v xml:space="preserve"> </v>
      </c>
      <c r="G64" s="256"/>
      <c r="H64" s="256"/>
      <c r="I64" s="256"/>
      <c r="J64" s="256"/>
      <c r="K64" s="256"/>
      <c r="L64" s="257"/>
      <c r="M64" s="243"/>
      <c r="N64" s="232"/>
      <c r="O64" s="232"/>
      <c r="P64" s="265" t="str">
        <f>IFERROR(VLOOKUP(O64,Références!$K$11:$N$19,2)," ")</f>
        <v xml:space="preserve"> </v>
      </c>
      <c r="Q64" s="265" t="str">
        <f>IFERROR(VLOOKUP(O64,Références!$K$11:$N$19,3)," ")</f>
        <v xml:space="preserve"> </v>
      </c>
      <c r="R64" s="265" t="str">
        <f>IFERROR(VLOOKUP(O64,Références!$K$11:$N$19,4)," ")</f>
        <v xml:space="preserve"> </v>
      </c>
      <c r="S64" s="256"/>
      <c r="T64" s="256"/>
      <c r="U64" s="256"/>
      <c r="V64" s="256"/>
      <c r="W64" s="256"/>
      <c r="X64" s="257"/>
      <c r="Y64" s="256"/>
      <c r="Z64" s="256"/>
      <c r="AA64" s="256"/>
      <c r="AB64" s="235"/>
      <c r="AC64" s="235"/>
      <c r="AD64" s="235"/>
      <c r="AE64" s="235"/>
      <c r="AF64" s="235"/>
      <c r="AG64" s="235"/>
      <c r="AH64" s="235"/>
      <c r="AI64" s="235">
        <f t="shared" si="64"/>
        <v>0</v>
      </c>
      <c r="AJ64" s="257"/>
      <c r="AK64" s="256">
        <f t="shared" si="78"/>
        <v>0</v>
      </c>
      <c r="AL64" s="257"/>
      <c r="AM64" s="266">
        <f t="shared" si="72"/>
        <v>0</v>
      </c>
      <c r="AN64" s="256"/>
      <c r="AO64" s="276"/>
      <c r="AP64" s="261" t="str">
        <f t="shared" si="16"/>
        <v xml:space="preserve"> </v>
      </c>
      <c r="AQ64" s="256"/>
      <c r="AR64" s="295"/>
      <c r="AS64" s="295"/>
      <c r="AT64" s="263"/>
      <c r="AU64" s="277"/>
      <c r="AV64" s="263"/>
      <c r="AW64" s="230"/>
      <c r="AX64" s="300"/>
      <c r="AY64" s="301"/>
      <c r="AZ64" s="230"/>
      <c r="BA64" s="300" t="s">
        <v>234</v>
      </c>
      <c r="BB64" s="295"/>
      <c r="BC64" s="228">
        <f t="shared" si="65"/>
        <v>0</v>
      </c>
      <c r="BD64" s="228">
        <f t="shared" si="66"/>
        <v>0</v>
      </c>
      <c r="BE64" s="228">
        <f t="shared" si="0"/>
        <v>1</v>
      </c>
      <c r="BF64" s="228" t="str">
        <f t="shared" si="19"/>
        <v>ALIVE</v>
      </c>
      <c r="BG64" s="208" t="str">
        <f t="shared" si="20"/>
        <v>Aucune</v>
      </c>
      <c r="BH64" s="208" t="str">
        <f t="shared" si="1"/>
        <v>Aucune</v>
      </c>
      <c r="BI64" s="208" t="str">
        <f t="shared" si="2"/>
        <v>Aucune</v>
      </c>
      <c r="BJ64" s="208" t="str">
        <f t="shared" si="74"/>
        <v>NON</v>
      </c>
      <c r="BK64" s="208" t="str">
        <f t="shared" si="4"/>
        <v>NON</v>
      </c>
      <c r="BL64" s="208" t="str">
        <f t="shared" si="75"/>
        <v>Inconnu</v>
      </c>
      <c r="BM64" s="208" t="str">
        <f t="shared" si="67"/>
        <v>Inconnu</v>
      </c>
      <c r="BN64" s="208" t="str">
        <f t="shared" si="68"/>
        <v>Inconnu</v>
      </c>
      <c r="BO64" s="208" t="str">
        <f t="shared" si="76"/>
        <v>Inconnu</v>
      </c>
      <c r="BP64" s="208" t="str">
        <f t="shared" si="69"/>
        <v>Inconnu</v>
      </c>
      <c r="BQ64" s="208" t="str">
        <f t="shared" si="70"/>
        <v>Inconnu</v>
      </c>
      <c r="BR64" s="208" t="str">
        <f t="shared" si="71"/>
        <v>Aucune</v>
      </c>
      <c r="BS64" s="208">
        <f t="shared" si="61"/>
        <v>0</v>
      </c>
      <c r="BT64" s="229" t="e">
        <f>VLOOKUP($I64,Lieu_Activité!$A:$B,2,FALSE)</f>
        <v>#N/A</v>
      </c>
      <c r="BU64" s="208" t="str">
        <f t="shared" si="8"/>
        <v>Aucun</v>
      </c>
      <c r="BV64" s="208" t="str">
        <f t="shared" si="9"/>
        <v>Aucun</v>
      </c>
      <c r="BW64" s="207" t="str">
        <f t="shared" si="77"/>
        <v>NON</v>
      </c>
      <c r="BX64" s="288"/>
    </row>
    <row r="65" spans="1:76" ht="12.95" customHeight="1" x14ac:dyDescent="0.25">
      <c r="A65" s="226" t="s">
        <v>209</v>
      </c>
      <c r="B65" s="268"/>
      <c r="C65" s="227"/>
      <c r="D65" s="257"/>
      <c r="E65" s="278">
        <f t="shared" si="73"/>
        <v>0</v>
      </c>
      <c r="F65" s="278" t="str">
        <f t="shared" si="12"/>
        <v xml:space="preserve"> </v>
      </c>
      <c r="G65" s="256"/>
      <c r="H65" s="256"/>
      <c r="I65" s="256"/>
      <c r="J65" s="256"/>
      <c r="K65" s="256"/>
      <c r="L65" s="257"/>
      <c r="M65" s="243"/>
      <c r="N65" s="232"/>
      <c r="O65" s="232"/>
      <c r="P65" s="265" t="str">
        <f>IFERROR(VLOOKUP(O65,Références!$K$11:$N$19,2)," ")</f>
        <v xml:space="preserve"> </v>
      </c>
      <c r="Q65" s="265" t="str">
        <f>IFERROR(VLOOKUP(O65,Références!$K$11:$N$19,3)," ")</f>
        <v xml:space="preserve"> </v>
      </c>
      <c r="R65" s="265" t="str">
        <f>IFERROR(VLOOKUP(O65,Références!$K$11:$N$19,4)," ")</f>
        <v xml:space="preserve"> </v>
      </c>
      <c r="S65" s="256"/>
      <c r="T65" s="256"/>
      <c r="U65" s="256"/>
      <c r="V65" s="256"/>
      <c r="W65" s="256"/>
      <c r="X65" s="257"/>
      <c r="Y65" s="256"/>
      <c r="Z65" s="256"/>
      <c r="AA65" s="256"/>
      <c r="AB65" s="235"/>
      <c r="AC65" s="235"/>
      <c r="AD65" s="235"/>
      <c r="AE65" s="235"/>
      <c r="AF65" s="235"/>
      <c r="AG65" s="235"/>
      <c r="AH65" s="235"/>
      <c r="AI65" s="235">
        <f t="shared" si="64"/>
        <v>0</v>
      </c>
      <c r="AJ65" s="257"/>
      <c r="AK65" s="256">
        <f t="shared" si="78"/>
        <v>0</v>
      </c>
      <c r="AL65" s="257"/>
      <c r="AM65" s="266">
        <f t="shared" si="72"/>
        <v>0</v>
      </c>
      <c r="AN65" s="256"/>
      <c r="AO65" s="276"/>
      <c r="AP65" s="261" t="str">
        <f t="shared" si="16"/>
        <v xml:space="preserve"> </v>
      </c>
      <c r="AQ65" s="256"/>
      <c r="AR65" s="295"/>
      <c r="AS65" s="295"/>
      <c r="AT65" s="263"/>
      <c r="AU65" s="277"/>
      <c r="AV65" s="263"/>
      <c r="AW65" s="230"/>
      <c r="AX65" s="300"/>
      <c r="AY65" s="301"/>
      <c r="AZ65" s="230"/>
      <c r="BA65" s="233" t="s">
        <v>246</v>
      </c>
      <c r="BB65" s="301"/>
      <c r="BC65" s="228">
        <f t="shared" si="65"/>
        <v>0</v>
      </c>
      <c r="BD65" s="228">
        <f t="shared" si="66"/>
        <v>0</v>
      </c>
      <c r="BE65" s="228">
        <f t="shared" si="0"/>
        <v>1</v>
      </c>
      <c r="BF65" s="228" t="str">
        <f t="shared" si="19"/>
        <v>ALIVE</v>
      </c>
      <c r="BG65" s="208" t="str">
        <f t="shared" si="20"/>
        <v>Aucune</v>
      </c>
      <c r="BH65" s="208" t="str">
        <f t="shared" si="1"/>
        <v>Aucune</v>
      </c>
      <c r="BI65" s="208" t="str">
        <f t="shared" si="2"/>
        <v>Aucune</v>
      </c>
      <c r="BJ65" s="208" t="str">
        <f t="shared" si="74"/>
        <v>NON</v>
      </c>
      <c r="BK65" s="208" t="str">
        <f t="shared" si="4"/>
        <v>NON</v>
      </c>
      <c r="BL65" s="208" t="str">
        <f t="shared" si="75"/>
        <v>Inconnu</v>
      </c>
      <c r="BM65" s="208" t="str">
        <f t="shared" si="67"/>
        <v>Inconnu</v>
      </c>
      <c r="BN65" s="208" t="str">
        <f t="shared" si="68"/>
        <v>Inconnu</v>
      </c>
      <c r="BO65" s="208" t="str">
        <f t="shared" si="76"/>
        <v>Inconnu</v>
      </c>
      <c r="BP65" s="208" t="str">
        <f t="shared" si="69"/>
        <v>Inconnu</v>
      </c>
      <c r="BQ65" s="208" t="str">
        <f t="shared" si="70"/>
        <v>Inconnu</v>
      </c>
      <c r="BR65" s="208" t="str">
        <f t="shared" si="71"/>
        <v>Aucune</v>
      </c>
      <c r="BS65" s="208">
        <f t="shared" si="61"/>
        <v>0</v>
      </c>
      <c r="BT65" s="229" t="e">
        <f>VLOOKUP($I65,Lieu_Activité!$A:$B,2,FALSE)</f>
        <v>#N/A</v>
      </c>
      <c r="BU65" s="208" t="str">
        <f t="shared" si="8"/>
        <v>Aucun</v>
      </c>
      <c r="BV65" s="208" t="str">
        <f t="shared" si="9"/>
        <v>Aucun</v>
      </c>
      <c r="BW65" s="207" t="str">
        <f t="shared" si="77"/>
        <v>NON</v>
      </c>
      <c r="BX65" s="288"/>
    </row>
    <row r="66" spans="1:76" ht="12.95" customHeight="1" x14ac:dyDescent="0.25">
      <c r="A66" s="226" t="s">
        <v>209</v>
      </c>
      <c r="B66" s="234"/>
      <c r="C66" s="227"/>
      <c r="D66" s="257"/>
      <c r="E66" s="278">
        <f t="shared" si="73"/>
        <v>0</v>
      </c>
      <c r="F66" s="278" t="str">
        <f t="shared" si="12"/>
        <v xml:space="preserve"> </v>
      </c>
      <c r="G66" s="256"/>
      <c r="H66" s="256"/>
      <c r="I66" s="256"/>
      <c r="J66" s="256"/>
      <c r="K66" s="256"/>
      <c r="L66" s="257"/>
      <c r="M66" s="243"/>
      <c r="N66" s="232"/>
      <c r="O66" s="232"/>
      <c r="P66" s="265" t="str">
        <f>IFERROR(VLOOKUP(O66,Références!$K$11:$N$19,2)," ")</f>
        <v xml:space="preserve"> </v>
      </c>
      <c r="Q66" s="265" t="str">
        <f>IFERROR(VLOOKUP(O66,Références!$K$11:$N$19,3)," ")</f>
        <v xml:space="preserve"> </v>
      </c>
      <c r="R66" s="265" t="str">
        <f>IFERROR(VLOOKUP(O66,Références!$K$11:$N$19,4)," ")</f>
        <v xml:space="preserve"> </v>
      </c>
      <c r="S66" s="256"/>
      <c r="T66" s="256"/>
      <c r="U66" s="256"/>
      <c r="V66" s="256"/>
      <c r="W66" s="256"/>
      <c r="X66" s="257"/>
      <c r="Y66" s="256"/>
      <c r="Z66" s="256"/>
      <c r="AA66" s="256"/>
      <c r="AB66" s="235"/>
      <c r="AC66" s="235"/>
      <c r="AD66" s="274"/>
      <c r="AE66" s="235"/>
      <c r="AF66" s="235"/>
      <c r="AG66" s="235"/>
      <c r="AH66" s="235"/>
      <c r="AI66" s="235">
        <f t="shared" si="64"/>
        <v>0</v>
      </c>
      <c r="AJ66" s="257"/>
      <c r="AK66" s="256">
        <f t="shared" si="78"/>
        <v>0</v>
      </c>
      <c r="AL66" s="257"/>
      <c r="AM66" s="266">
        <f t="shared" si="72"/>
        <v>0</v>
      </c>
      <c r="AN66" s="256"/>
      <c r="AO66" s="276"/>
      <c r="AP66" s="261" t="str">
        <f t="shared" si="16"/>
        <v xml:space="preserve"> </v>
      </c>
      <c r="AQ66" s="256"/>
      <c r="AR66" s="295"/>
      <c r="AS66" s="295"/>
      <c r="AT66" s="263"/>
      <c r="AU66" s="277"/>
      <c r="AV66" s="263"/>
      <c r="AW66" s="230"/>
      <c r="AX66" s="300"/>
      <c r="AY66" s="301"/>
      <c r="AZ66" s="230"/>
      <c r="BA66" s="300" t="s">
        <v>234</v>
      </c>
      <c r="BB66" s="295"/>
      <c r="BC66" s="228">
        <f t="shared" si="65"/>
        <v>0</v>
      </c>
      <c r="BD66" s="228">
        <f t="shared" si="66"/>
        <v>0</v>
      </c>
      <c r="BE66" s="228">
        <f t="shared" ref="BE66:BE129" si="79">IF(AG66="Aucune",0,1)</f>
        <v>1</v>
      </c>
      <c r="BF66" s="228" t="str">
        <f t="shared" si="19"/>
        <v>ALIVE</v>
      </c>
      <c r="BG66" s="208" t="str">
        <f t="shared" ref="BG66:BG129" si="80">IF(AD66="","Aucune","Infection")</f>
        <v>Aucune</v>
      </c>
      <c r="BH66" s="208" t="str">
        <f t="shared" ref="BH66:BH129" si="81">IF(AI66&gt;0,"Transfusion","Aucune")</f>
        <v>Aucune</v>
      </c>
      <c r="BI66" s="208" t="str">
        <f t="shared" ref="BI66:BI129" si="82">IF(AG66="","Aucune","Transfusé")</f>
        <v>Aucune</v>
      </c>
      <c r="BJ66" s="208" t="str">
        <f t="shared" si="74"/>
        <v>NON</v>
      </c>
      <c r="BK66" s="208" t="str">
        <f t="shared" ref="BK66:BK129" si="83">IF(AS66="","NON","OUI")</f>
        <v>NON</v>
      </c>
      <c r="BL66" s="208" t="str">
        <f t="shared" si="75"/>
        <v>Inconnu</v>
      </c>
      <c r="BM66" s="208" t="str">
        <f t="shared" si="67"/>
        <v>Inconnu</v>
      </c>
      <c r="BN66" s="208" t="str">
        <f t="shared" si="68"/>
        <v>Inconnu</v>
      </c>
      <c r="BO66" s="208" t="str">
        <f t="shared" si="76"/>
        <v>Inconnu</v>
      </c>
      <c r="BP66" s="208" t="str">
        <f t="shared" si="69"/>
        <v>Inconnu</v>
      </c>
      <c r="BQ66" s="208" t="str">
        <f t="shared" si="70"/>
        <v>Inconnu</v>
      </c>
      <c r="BR66" s="208" t="str">
        <f t="shared" si="71"/>
        <v>Aucune</v>
      </c>
      <c r="BS66" s="208">
        <f t="shared" ref="BS66:BS97" si="84">AF66+AH66</f>
        <v>0</v>
      </c>
      <c r="BT66" s="229" t="e">
        <f>VLOOKUP($I66,Lieu_Activité!$A:$B,2,FALSE)</f>
        <v>#N/A</v>
      </c>
      <c r="BU66" s="208" t="str">
        <f t="shared" ref="BU66:BU129" si="85">IF(AB66="","Aucun","AVC")</f>
        <v>Aucun</v>
      </c>
      <c r="BV66" s="208" t="str">
        <f t="shared" ref="BV66:BV129" si="86">IF(AC66="","Aucun","IM")</f>
        <v>Aucun</v>
      </c>
      <c r="BW66" s="207" t="str">
        <f t="shared" si="77"/>
        <v>NON</v>
      </c>
      <c r="BX66" s="288"/>
    </row>
    <row r="67" spans="1:76" ht="12.95" customHeight="1" x14ac:dyDescent="0.25">
      <c r="A67" s="226" t="s">
        <v>209</v>
      </c>
      <c r="B67" s="234"/>
      <c r="C67" s="227"/>
      <c r="D67" s="257"/>
      <c r="E67" s="278">
        <f t="shared" si="73"/>
        <v>0</v>
      </c>
      <c r="F67" s="278" t="str">
        <f t="shared" ref="F67:F130" si="87">IF(E67&lt;80," ","1")</f>
        <v xml:space="preserve"> </v>
      </c>
      <c r="G67" s="256"/>
      <c r="H67" s="256"/>
      <c r="I67" s="256"/>
      <c r="J67" s="256"/>
      <c r="K67" s="256"/>
      <c r="L67" s="257"/>
      <c r="M67" s="243"/>
      <c r="N67" s="232"/>
      <c r="O67" s="232"/>
      <c r="P67" s="265" t="str">
        <f>IFERROR(VLOOKUP(O67,Références!$K$11:$N$19,2)," ")</f>
        <v xml:space="preserve"> </v>
      </c>
      <c r="Q67" s="265" t="str">
        <f>IFERROR(VLOOKUP(O67,Références!$K$11:$N$19,3)," ")</f>
        <v xml:space="preserve"> </v>
      </c>
      <c r="R67" s="265" t="str">
        <f>IFERROR(VLOOKUP(O67,Références!$K$11:$N$19,4)," ")</f>
        <v xml:space="preserve"> </v>
      </c>
      <c r="S67" s="256"/>
      <c r="T67" s="256"/>
      <c r="U67" s="256"/>
      <c r="V67" s="256"/>
      <c r="W67" s="256"/>
      <c r="X67" s="257"/>
      <c r="Y67" s="256"/>
      <c r="Z67" s="256"/>
      <c r="AA67" s="256"/>
      <c r="AB67" s="235"/>
      <c r="AC67" s="235"/>
      <c r="AD67" s="235"/>
      <c r="AE67" s="235"/>
      <c r="AF67" s="235"/>
      <c r="AG67" s="235"/>
      <c r="AH67" s="235"/>
      <c r="AI67" s="235">
        <f t="shared" si="64"/>
        <v>0</v>
      </c>
      <c r="AJ67" s="257"/>
      <c r="AK67" s="256">
        <f t="shared" si="78"/>
        <v>0</v>
      </c>
      <c r="AL67" s="257"/>
      <c r="AM67" s="266">
        <f t="shared" si="72"/>
        <v>0</v>
      </c>
      <c r="AN67" s="256"/>
      <c r="AO67" s="276"/>
      <c r="AP67" s="261" t="str">
        <f t="shared" ref="AP67:AP130" si="88">IF(AO67=1,"ELECTIVE",IF(AO67=2,"URGENCY",IF(AO67=3,"EMERGENCY",IF(AO67=4,"SALVAGE"," "))))</f>
        <v xml:space="preserve"> </v>
      </c>
      <c r="AQ67" s="256"/>
      <c r="AR67" s="295"/>
      <c r="AS67" s="295"/>
      <c r="AT67" s="263"/>
      <c r="AU67" s="277"/>
      <c r="AV67" s="263"/>
      <c r="AW67" s="230"/>
      <c r="AX67" s="300"/>
      <c r="AY67" s="301"/>
      <c r="AZ67" s="230"/>
      <c r="BA67" s="300"/>
      <c r="BB67" s="301"/>
      <c r="BC67" s="228">
        <f t="shared" si="65"/>
        <v>0</v>
      </c>
      <c r="BD67" s="228">
        <f t="shared" si="66"/>
        <v>0</v>
      </c>
      <c r="BE67" s="228">
        <f t="shared" si="79"/>
        <v>1</v>
      </c>
      <c r="BF67" s="228" t="str">
        <f t="shared" ref="BF67:BF130" si="89">IF(AO67=1,"ELECTIVE",IF(AO67=2,"URGENCY",IF(AO67=3,"EMERGENCY",IF(AO67=4,"SALVAGE","ALIVE"))))</f>
        <v>ALIVE</v>
      </c>
      <c r="BG67" s="208" t="str">
        <f t="shared" si="80"/>
        <v>Aucune</v>
      </c>
      <c r="BH67" s="208" t="str">
        <f t="shared" si="81"/>
        <v>Aucune</v>
      </c>
      <c r="BI67" s="208" t="str">
        <f t="shared" si="82"/>
        <v>Aucune</v>
      </c>
      <c r="BJ67" s="208" t="str">
        <f t="shared" si="74"/>
        <v>NON</v>
      </c>
      <c r="BK67" s="208" t="str">
        <f t="shared" si="83"/>
        <v>NON</v>
      </c>
      <c r="BL67" s="208" t="str">
        <f t="shared" si="75"/>
        <v>Inconnu</v>
      </c>
      <c r="BM67" s="208" t="str">
        <f t="shared" si="67"/>
        <v>Inconnu</v>
      </c>
      <c r="BN67" s="208" t="str">
        <f t="shared" si="68"/>
        <v>Inconnu</v>
      </c>
      <c r="BO67" s="208" t="str">
        <f t="shared" si="76"/>
        <v>Inconnu</v>
      </c>
      <c r="BP67" s="208" t="str">
        <f t="shared" si="69"/>
        <v>Inconnu</v>
      </c>
      <c r="BQ67" s="208" t="str">
        <f t="shared" si="70"/>
        <v>Inconnu</v>
      </c>
      <c r="BR67" s="208" t="str">
        <f t="shared" si="71"/>
        <v>Aucune</v>
      </c>
      <c r="BS67" s="208">
        <f t="shared" si="84"/>
        <v>0</v>
      </c>
      <c r="BT67" s="229" t="e">
        <f>VLOOKUP($I67,Lieu_Activité!$A:$B,2,FALSE)</f>
        <v>#N/A</v>
      </c>
      <c r="BU67" s="208" t="str">
        <f t="shared" si="85"/>
        <v>Aucun</v>
      </c>
      <c r="BV67" s="208" t="str">
        <f t="shared" si="86"/>
        <v>Aucun</v>
      </c>
      <c r="BW67" s="207" t="str">
        <f t="shared" si="77"/>
        <v>NON</v>
      </c>
      <c r="BX67" s="288"/>
    </row>
    <row r="68" spans="1:76" ht="12.95" customHeight="1" x14ac:dyDescent="0.25">
      <c r="A68" s="226" t="s">
        <v>209</v>
      </c>
      <c r="B68" s="234"/>
      <c r="C68" s="227"/>
      <c r="D68" s="257"/>
      <c r="E68" s="278">
        <f t="shared" si="73"/>
        <v>0</v>
      </c>
      <c r="F68" s="278" t="str">
        <f t="shared" si="87"/>
        <v xml:space="preserve"> </v>
      </c>
      <c r="G68" s="256"/>
      <c r="H68" s="256"/>
      <c r="I68" s="256"/>
      <c r="J68" s="256"/>
      <c r="K68" s="256"/>
      <c r="L68" s="257"/>
      <c r="M68" s="243"/>
      <c r="N68" s="232"/>
      <c r="O68" s="232"/>
      <c r="P68" s="265" t="str">
        <f>IFERROR(VLOOKUP(O68,Références!$K$11:$N$19,2)," ")</f>
        <v xml:space="preserve"> </v>
      </c>
      <c r="Q68" s="265" t="str">
        <f>IFERROR(VLOOKUP(O68,Références!$K$11:$N$19,3)," ")</f>
        <v xml:space="preserve"> </v>
      </c>
      <c r="R68" s="265" t="str">
        <f>IFERROR(VLOOKUP(O68,Références!$K$11:$N$19,4)," ")</f>
        <v xml:space="preserve"> </v>
      </c>
      <c r="S68" s="256"/>
      <c r="T68" s="256"/>
      <c r="U68" s="256"/>
      <c r="V68" s="256"/>
      <c r="W68" s="256"/>
      <c r="X68" s="257"/>
      <c r="Y68" s="256"/>
      <c r="Z68" s="256"/>
      <c r="AA68" s="256"/>
      <c r="AB68" s="235"/>
      <c r="AC68" s="235"/>
      <c r="AD68" s="274"/>
      <c r="AE68" s="235"/>
      <c r="AF68" s="235"/>
      <c r="AG68" s="235"/>
      <c r="AH68" s="235"/>
      <c r="AI68" s="235">
        <f t="shared" si="64"/>
        <v>0</v>
      </c>
      <c r="AJ68" s="257"/>
      <c r="AK68" s="256">
        <f t="shared" si="78"/>
        <v>0</v>
      </c>
      <c r="AL68" s="257"/>
      <c r="AM68" s="266">
        <f t="shared" si="72"/>
        <v>0</v>
      </c>
      <c r="AN68" s="256"/>
      <c r="AO68" s="276"/>
      <c r="AP68" s="261" t="str">
        <f t="shared" si="88"/>
        <v xml:space="preserve"> </v>
      </c>
      <c r="AQ68" s="256"/>
      <c r="AR68" s="295"/>
      <c r="AS68" s="295"/>
      <c r="AT68" s="263"/>
      <c r="AU68" s="277"/>
      <c r="AV68" s="263"/>
      <c r="AW68" s="230"/>
      <c r="AX68" s="300"/>
      <c r="AY68" s="301"/>
      <c r="AZ68" s="230"/>
      <c r="BA68" s="300" t="s">
        <v>234</v>
      </c>
      <c r="BB68" s="295"/>
      <c r="BC68" s="228">
        <f t="shared" si="65"/>
        <v>0</v>
      </c>
      <c r="BD68" s="228">
        <f t="shared" si="66"/>
        <v>0</v>
      </c>
      <c r="BE68" s="228">
        <f t="shared" si="79"/>
        <v>1</v>
      </c>
      <c r="BF68" s="228" t="str">
        <f t="shared" si="89"/>
        <v>ALIVE</v>
      </c>
      <c r="BG68" s="208" t="str">
        <f t="shared" si="80"/>
        <v>Aucune</v>
      </c>
      <c r="BH68" s="208" t="str">
        <f t="shared" si="81"/>
        <v>Aucune</v>
      </c>
      <c r="BI68" s="208" t="str">
        <f t="shared" si="82"/>
        <v>Aucune</v>
      </c>
      <c r="BJ68" s="208" t="str">
        <f t="shared" si="74"/>
        <v>NON</v>
      </c>
      <c r="BK68" s="208" t="str">
        <f t="shared" si="83"/>
        <v>NON</v>
      </c>
      <c r="BL68" s="208" t="str">
        <f t="shared" si="75"/>
        <v>Inconnu</v>
      </c>
      <c r="BM68" s="208" t="str">
        <f t="shared" si="67"/>
        <v>Inconnu</v>
      </c>
      <c r="BN68" s="208" t="str">
        <f t="shared" si="68"/>
        <v>Inconnu</v>
      </c>
      <c r="BO68" s="208" t="str">
        <f t="shared" si="76"/>
        <v>Inconnu</v>
      </c>
      <c r="BP68" s="208" t="str">
        <f t="shared" si="69"/>
        <v>Inconnu</v>
      </c>
      <c r="BQ68" s="208" t="str">
        <f t="shared" si="70"/>
        <v>Inconnu</v>
      </c>
      <c r="BR68" s="208" t="str">
        <f t="shared" si="71"/>
        <v>Aucune</v>
      </c>
      <c r="BS68" s="208">
        <f t="shared" si="84"/>
        <v>0</v>
      </c>
      <c r="BT68" s="229" t="e">
        <f>VLOOKUP($I68,Lieu_Activité!$A:$B,2,FALSE)</f>
        <v>#N/A</v>
      </c>
      <c r="BU68" s="208" t="str">
        <f t="shared" si="85"/>
        <v>Aucun</v>
      </c>
      <c r="BV68" s="208" t="str">
        <f t="shared" si="86"/>
        <v>Aucun</v>
      </c>
      <c r="BW68" s="207" t="str">
        <f t="shared" si="77"/>
        <v>NON</v>
      </c>
      <c r="BX68" s="288"/>
    </row>
    <row r="69" spans="1:76" ht="12.95" customHeight="1" x14ac:dyDescent="0.25">
      <c r="A69" s="226" t="s">
        <v>209</v>
      </c>
      <c r="B69" s="234"/>
      <c r="C69" s="227"/>
      <c r="D69" s="257"/>
      <c r="E69" s="278">
        <f t="shared" si="73"/>
        <v>0</v>
      </c>
      <c r="F69" s="278" t="str">
        <f t="shared" si="87"/>
        <v xml:space="preserve"> </v>
      </c>
      <c r="G69" s="256"/>
      <c r="H69" s="256"/>
      <c r="I69" s="256"/>
      <c r="J69" s="256"/>
      <c r="K69" s="256"/>
      <c r="L69" s="257"/>
      <c r="M69" s="243"/>
      <c r="N69" s="232"/>
      <c r="O69" s="232"/>
      <c r="P69" s="265" t="str">
        <f>IFERROR(VLOOKUP(O69,Références!$K$11:$N$19,2)," ")</f>
        <v xml:space="preserve"> </v>
      </c>
      <c r="Q69" s="265" t="str">
        <f>IFERROR(VLOOKUP(O69,Références!$K$11:$N$19,3)," ")</f>
        <v xml:space="preserve"> </v>
      </c>
      <c r="R69" s="265" t="str">
        <f>IFERROR(VLOOKUP(O69,Références!$K$11:$N$19,4)," ")</f>
        <v xml:space="preserve"> </v>
      </c>
      <c r="S69" s="256"/>
      <c r="T69" s="256"/>
      <c r="U69" s="256"/>
      <c r="V69" s="256"/>
      <c r="W69" s="256"/>
      <c r="X69" s="257"/>
      <c r="Y69" s="256"/>
      <c r="Z69" s="256"/>
      <c r="AA69" s="256"/>
      <c r="AB69" s="235"/>
      <c r="AC69" s="235"/>
      <c r="AD69" s="235"/>
      <c r="AE69" s="235"/>
      <c r="AF69" s="235"/>
      <c r="AG69" s="235"/>
      <c r="AH69" s="235"/>
      <c r="AI69" s="235">
        <f t="shared" si="64"/>
        <v>0</v>
      </c>
      <c r="AJ69" s="257"/>
      <c r="AK69" s="256">
        <f t="shared" si="78"/>
        <v>0</v>
      </c>
      <c r="AL69" s="257"/>
      <c r="AM69" s="266">
        <f t="shared" si="72"/>
        <v>0</v>
      </c>
      <c r="AN69" s="256"/>
      <c r="AO69" s="276"/>
      <c r="AP69" s="261" t="str">
        <f t="shared" si="88"/>
        <v xml:space="preserve"> </v>
      </c>
      <c r="AQ69" s="256"/>
      <c r="AR69" s="295"/>
      <c r="AS69" s="295"/>
      <c r="AT69" s="263"/>
      <c r="AU69" s="277"/>
      <c r="AV69" s="263"/>
      <c r="AW69" s="230"/>
      <c r="AX69" s="300"/>
      <c r="AY69" s="301"/>
      <c r="AZ69" s="230"/>
      <c r="BA69" s="300" t="s">
        <v>234</v>
      </c>
      <c r="BB69" s="295"/>
      <c r="BC69" s="228">
        <f t="shared" si="65"/>
        <v>0</v>
      </c>
      <c r="BD69" s="228">
        <f t="shared" si="66"/>
        <v>0</v>
      </c>
      <c r="BE69" s="228">
        <f t="shared" si="79"/>
        <v>1</v>
      </c>
      <c r="BF69" s="228" t="str">
        <f t="shared" si="89"/>
        <v>ALIVE</v>
      </c>
      <c r="BG69" s="208" t="str">
        <f t="shared" si="80"/>
        <v>Aucune</v>
      </c>
      <c r="BH69" s="208" t="str">
        <f t="shared" si="81"/>
        <v>Aucune</v>
      </c>
      <c r="BI69" s="208" t="str">
        <f t="shared" si="82"/>
        <v>Aucune</v>
      </c>
      <c r="BJ69" s="208" t="str">
        <f t="shared" si="74"/>
        <v>NON</v>
      </c>
      <c r="BK69" s="208" t="str">
        <f t="shared" si="83"/>
        <v>NON</v>
      </c>
      <c r="BL69" s="208" t="str">
        <f t="shared" si="75"/>
        <v>Inconnu</v>
      </c>
      <c r="BM69" s="208" t="str">
        <f t="shared" si="67"/>
        <v>Inconnu</v>
      </c>
      <c r="BN69" s="208" t="str">
        <f t="shared" si="68"/>
        <v>Inconnu</v>
      </c>
      <c r="BO69" s="208" t="str">
        <f t="shared" si="76"/>
        <v>Inconnu</v>
      </c>
      <c r="BP69" s="208" t="str">
        <f t="shared" si="69"/>
        <v>Inconnu</v>
      </c>
      <c r="BQ69" s="208" t="str">
        <f t="shared" si="70"/>
        <v>Inconnu</v>
      </c>
      <c r="BR69" s="208" t="str">
        <f t="shared" si="71"/>
        <v>Aucune</v>
      </c>
      <c r="BS69" s="208">
        <f t="shared" si="84"/>
        <v>0</v>
      </c>
      <c r="BT69" s="229" t="e">
        <f>VLOOKUP($I69,Lieu_Activité!$A:$B,2,FALSE)</f>
        <v>#N/A</v>
      </c>
      <c r="BU69" s="208" t="str">
        <f t="shared" si="85"/>
        <v>Aucun</v>
      </c>
      <c r="BV69" s="208" t="str">
        <f t="shared" si="86"/>
        <v>Aucun</v>
      </c>
      <c r="BW69" s="207" t="str">
        <f t="shared" si="77"/>
        <v>NON</v>
      </c>
      <c r="BX69" s="288"/>
    </row>
    <row r="70" spans="1:76" ht="12.95" customHeight="1" x14ac:dyDescent="0.25">
      <c r="A70" s="226" t="s">
        <v>209</v>
      </c>
      <c r="B70" s="234"/>
      <c r="C70" s="227"/>
      <c r="D70" s="257"/>
      <c r="E70" s="278">
        <f t="shared" si="73"/>
        <v>0</v>
      </c>
      <c r="F70" s="278" t="str">
        <f t="shared" si="87"/>
        <v xml:space="preserve"> </v>
      </c>
      <c r="G70" s="256"/>
      <c r="H70" s="256"/>
      <c r="I70" s="256"/>
      <c r="J70" s="256"/>
      <c r="K70" s="256"/>
      <c r="L70" s="257"/>
      <c r="M70" s="243"/>
      <c r="N70" s="232"/>
      <c r="O70" s="232"/>
      <c r="P70" s="265" t="str">
        <f>IFERROR(VLOOKUP(O70,Références!$K$11:$N$19,2)," ")</f>
        <v xml:space="preserve"> </v>
      </c>
      <c r="Q70" s="265" t="str">
        <f>IFERROR(VLOOKUP(O70,Références!$K$11:$N$19,3)," ")</f>
        <v xml:space="preserve"> </v>
      </c>
      <c r="R70" s="265" t="str">
        <f>IFERROR(VLOOKUP(O70,Références!$K$11:$N$19,4)," ")</f>
        <v xml:space="preserve"> </v>
      </c>
      <c r="S70" s="256"/>
      <c r="T70" s="256"/>
      <c r="U70" s="256"/>
      <c r="V70" s="256"/>
      <c r="W70" s="256"/>
      <c r="X70" s="257"/>
      <c r="Y70" s="256"/>
      <c r="Z70" s="256"/>
      <c r="AA70" s="256"/>
      <c r="AB70" s="235"/>
      <c r="AC70" s="235"/>
      <c r="AD70" s="235"/>
      <c r="AE70" s="235"/>
      <c r="AF70" s="235"/>
      <c r="AG70" s="235"/>
      <c r="AH70" s="235"/>
      <c r="AI70" s="235">
        <f t="shared" si="64"/>
        <v>0</v>
      </c>
      <c r="AJ70" s="257"/>
      <c r="AK70" s="256">
        <f t="shared" si="78"/>
        <v>0</v>
      </c>
      <c r="AL70" s="257"/>
      <c r="AM70" s="266">
        <f t="shared" si="72"/>
        <v>0</v>
      </c>
      <c r="AN70" s="256"/>
      <c r="AO70" s="276"/>
      <c r="AP70" s="261" t="str">
        <f t="shared" si="88"/>
        <v xml:space="preserve"> </v>
      </c>
      <c r="AQ70" s="256"/>
      <c r="AR70" s="295"/>
      <c r="AS70" s="295"/>
      <c r="AT70" s="263"/>
      <c r="AU70" s="277"/>
      <c r="AV70" s="263"/>
      <c r="AW70" s="230"/>
      <c r="AX70" s="300"/>
      <c r="AY70" s="301"/>
      <c r="AZ70" s="230"/>
      <c r="BA70" s="300" t="s">
        <v>234</v>
      </c>
      <c r="BB70" s="295"/>
      <c r="BC70" s="228">
        <f t="shared" si="65"/>
        <v>0</v>
      </c>
      <c r="BD70" s="228">
        <f t="shared" si="66"/>
        <v>0</v>
      </c>
      <c r="BE70" s="228">
        <f t="shared" si="79"/>
        <v>1</v>
      </c>
      <c r="BF70" s="228" t="str">
        <f t="shared" si="89"/>
        <v>ALIVE</v>
      </c>
      <c r="BG70" s="208" t="str">
        <f t="shared" si="80"/>
        <v>Aucune</v>
      </c>
      <c r="BH70" s="208" t="str">
        <f t="shared" si="81"/>
        <v>Aucune</v>
      </c>
      <c r="BI70" s="208" t="str">
        <f t="shared" si="82"/>
        <v>Aucune</v>
      </c>
      <c r="BJ70" s="208" t="str">
        <f t="shared" si="74"/>
        <v>NON</v>
      </c>
      <c r="BK70" s="208" t="str">
        <f t="shared" si="83"/>
        <v>NON</v>
      </c>
      <c r="BL70" s="208" t="str">
        <f t="shared" si="75"/>
        <v>Inconnu</v>
      </c>
      <c r="BM70" s="208" t="str">
        <f t="shared" si="67"/>
        <v>Inconnu</v>
      </c>
      <c r="BN70" s="208" t="str">
        <f t="shared" si="68"/>
        <v>Inconnu</v>
      </c>
      <c r="BO70" s="208" t="str">
        <f t="shared" si="76"/>
        <v>Inconnu</v>
      </c>
      <c r="BP70" s="208" t="str">
        <f t="shared" si="69"/>
        <v>Inconnu</v>
      </c>
      <c r="BQ70" s="208" t="str">
        <f t="shared" si="70"/>
        <v>Inconnu</v>
      </c>
      <c r="BR70" s="208" t="str">
        <f t="shared" si="71"/>
        <v>Aucune</v>
      </c>
      <c r="BS70" s="208">
        <f t="shared" si="84"/>
        <v>0</v>
      </c>
      <c r="BT70" s="229" t="e">
        <f>VLOOKUP($I70,Lieu_Activité!$A:$B,2,FALSE)</f>
        <v>#N/A</v>
      </c>
      <c r="BU70" s="208" t="str">
        <f t="shared" si="85"/>
        <v>Aucun</v>
      </c>
      <c r="BV70" s="208" t="str">
        <f t="shared" si="86"/>
        <v>Aucun</v>
      </c>
      <c r="BW70" s="207" t="str">
        <f t="shared" si="77"/>
        <v>NON</v>
      </c>
      <c r="BX70" s="288"/>
    </row>
    <row r="71" spans="1:76" ht="12.95" customHeight="1" x14ac:dyDescent="0.25">
      <c r="A71" s="226" t="s">
        <v>209</v>
      </c>
      <c r="B71" s="234"/>
      <c r="C71" s="227"/>
      <c r="D71" s="257"/>
      <c r="E71" s="278">
        <f t="shared" si="73"/>
        <v>0</v>
      </c>
      <c r="F71" s="278" t="str">
        <f t="shared" si="87"/>
        <v xml:space="preserve"> </v>
      </c>
      <c r="G71" s="256"/>
      <c r="H71" s="256"/>
      <c r="I71" s="256"/>
      <c r="J71" s="256"/>
      <c r="K71" s="256"/>
      <c r="L71" s="257"/>
      <c r="M71" s="243"/>
      <c r="N71" s="232"/>
      <c r="O71" s="232"/>
      <c r="P71" s="265" t="str">
        <f>IFERROR(VLOOKUP(O71,Références!$K$11:$N$19,2)," ")</f>
        <v xml:space="preserve"> </v>
      </c>
      <c r="Q71" s="265" t="str">
        <f>IFERROR(VLOOKUP(O71,Références!$K$11:$N$19,3)," ")</f>
        <v xml:space="preserve"> </v>
      </c>
      <c r="R71" s="265" t="str">
        <f>IFERROR(VLOOKUP(O71,Références!$K$11:$N$19,4)," ")</f>
        <v xml:space="preserve"> </v>
      </c>
      <c r="S71" s="256"/>
      <c r="T71" s="256"/>
      <c r="U71" s="256"/>
      <c r="V71" s="256"/>
      <c r="W71" s="256"/>
      <c r="X71" s="257"/>
      <c r="Y71" s="256"/>
      <c r="Z71" s="256"/>
      <c r="AA71" s="256"/>
      <c r="AB71" s="235"/>
      <c r="AC71" s="235"/>
      <c r="AD71" s="235"/>
      <c r="AE71" s="235"/>
      <c r="AF71" s="235"/>
      <c r="AG71" s="235"/>
      <c r="AH71" s="235"/>
      <c r="AI71" s="235">
        <f t="shared" si="64"/>
        <v>0</v>
      </c>
      <c r="AJ71" s="257"/>
      <c r="AK71" s="256">
        <f t="shared" si="78"/>
        <v>0</v>
      </c>
      <c r="AL71" s="257"/>
      <c r="AM71" s="266">
        <f t="shared" si="72"/>
        <v>0</v>
      </c>
      <c r="AN71" s="256"/>
      <c r="AO71" s="276"/>
      <c r="AP71" s="261" t="str">
        <f t="shared" si="88"/>
        <v xml:space="preserve"> </v>
      </c>
      <c r="AQ71" s="256"/>
      <c r="AR71" s="295"/>
      <c r="AS71" s="295"/>
      <c r="AT71" s="263"/>
      <c r="AU71" s="277"/>
      <c r="AV71" s="263"/>
      <c r="AW71" s="230"/>
      <c r="AX71" s="300"/>
      <c r="AY71" s="301"/>
      <c r="AZ71" s="230"/>
      <c r="BA71" s="300" t="s">
        <v>234</v>
      </c>
      <c r="BB71" s="295"/>
      <c r="BC71" s="228">
        <f t="shared" si="65"/>
        <v>0</v>
      </c>
      <c r="BD71" s="228">
        <f t="shared" si="66"/>
        <v>0</v>
      </c>
      <c r="BE71" s="228">
        <f t="shared" si="79"/>
        <v>1</v>
      </c>
      <c r="BF71" s="228" t="str">
        <f t="shared" si="89"/>
        <v>ALIVE</v>
      </c>
      <c r="BG71" s="208" t="str">
        <f t="shared" si="80"/>
        <v>Aucune</v>
      </c>
      <c r="BH71" s="208" t="str">
        <f t="shared" si="81"/>
        <v>Aucune</v>
      </c>
      <c r="BI71" s="208" t="str">
        <f t="shared" si="82"/>
        <v>Aucune</v>
      </c>
      <c r="BJ71" s="208" t="str">
        <f t="shared" si="74"/>
        <v>NON</v>
      </c>
      <c r="BK71" s="208" t="str">
        <f t="shared" si="83"/>
        <v>NON</v>
      </c>
      <c r="BL71" s="208" t="str">
        <f t="shared" si="75"/>
        <v>Inconnu</v>
      </c>
      <c r="BM71" s="208" t="str">
        <f t="shared" si="67"/>
        <v>Inconnu</v>
      </c>
      <c r="BN71" s="208" t="str">
        <f t="shared" si="68"/>
        <v>Inconnu</v>
      </c>
      <c r="BO71" s="208" t="str">
        <f t="shared" si="76"/>
        <v>Inconnu</v>
      </c>
      <c r="BP71" s="208" t="str">
        <f t="shared" si="69"/>
        <v>Inconnu</v>
      </c>
      <c r="BQ71" s="208" t="str">
        <f t="shared" si="70"/>
        <v>Inconnu</v>
      </c>
      <c r="BR71" s="208" t="str">
        <f t="shared" si="71"/>
        <v>Aucune</v>
      </c>
      <c r="BS71" s="208">
        <f t="shared" si="84"/>
        <v>0</v>
      </c>
      <c r="BT71" s="229" t="e">
        <f>VLOOKUP($I71,Lieu_Activité!$A:$B,2,FALSE)</f>
        <v>#N/A</v>
      </c>
      <c r="BU71" s="208" t="str">
        <f t="shared" si="85"/>
        <v>Aucun</v>
      </c>
      <c r="BV71" s="208" t="str">
        <f t="shared" si="86"/>
        <v>Aucun</v>
      </c>
      <c r="BW71" s="207" t="str">
        <f t="shared" si="77"/>
        <v>NON</v>
      </c>
      <c r="BX71" s="288"/>
    </row>
    <row r="72" spans="1:76" ht="12.95" customHeight="1" x14ac:dyDescent="0.25">
      <c r="A72" s="226" t="s">
        <v>209</v>
      </c>
      <c r="B72" s="267"/>
      <c r="C72" s="227"/>
      <c r="D72" s="257"/>
      <c r="E72" s="278">
        <f t="shared" si="73"/>
        <v>0</v>
      </c>
      <c r="F72" s="278" t="str">
        <f t="shared" si="87"/>
        <v xml:space="preserve"> </v>
      </c>
      <c r="G72" s="256"/>
      <c r="H72" s="256"/>
      <c r="I72" s="256"/>
      <c r="J72" s="256"/>
      <c r="K72" s="256"/>
      <c r="L72" s="257"/>
      <c r="M72" s="243"/>
      <c r="N72" s="232"/>
      <c r="O72" s="232"/>
      <c r="P72" s="265" t="str">
        <f>IFERROR(VLOOKUP(O72,Références!$K$11:$N$19,2)," ")</f>
        <v xml:space="preserve"> </v>
      </c>
      <c r="Q72" s="265" t="str">
        <f>IFERROR(VLOOKUP(O72,Références!$K$11:$N$19,3)," ")</f>
        <v xml:space="preserve"> </v>
      </c>
      <c r="R72" s="265" t="str">
        <f>IFERROR(VLOOKUP(O72,Références!$K$11:$N$19,4)," ")</f>
        <v xml:space="preserve"> </v>
      </c>
      <c r="S72" s="256"/>
      <c r="T72" s="256"/>
      <c r="U72" s="256"/>
      <c r="V72" s="256"/>
      <c r="W72" s="256"/>
      <c r="X72" s="257"/>
      <c r="Y72" s="256"/>
      <c r="Z72" s="256"/>
      <c r="AA72" s="256"/>
      <c r="AB72" s="235"/>
      <c r="AC72" s="235"/>
      <c r="AD72" s="235"/>
      <c r="AE72" s="235"/>
      <c r="AF72" s="235"/>
      <c r="AG72" s="235"/>
      <c r="AH72" s="235"/>
      <c r="AI72" s="235">
        <f t="shared" si="64"/>
        <v>0</v>
      </c>
      <c r="AJ72" s="257"/>
      <c r="AK72" s="256">
        <f t="shared" si="78"/>
        <v>0</v>
      </c>
      <c r="AL72" s="257"/>
      <c r="AM72" s="266">
        <f t="shared" si="72"/>
        <v>0</v>
      </c>
      <c r="AN72" s="256"/>
      <c r="AO72" s="276"/>
      <c r="AP72" s="261" t="str">
        <f t="shared" si="88"/>
        <v xml:space="preserve"> </v>
      </c>
      <c r="AQ72" s="256"/>
      <c r="AR72" s="295"/>
      <c r="AS72" s="295"/>
      <c r="AT72" s="263"/>
      <c r="AU72" s="277"/>
      <c r="AV72" s="263"/>
      <c r="AW72" s="230"/>
      <c r="AX72" s="300"/>
      <c r="AY72" s="301"/>
      <c r="AZ72" s="230"/>
      <c r="BA72" s="300"/>
      <c r="BB72" s="295"/>
      <c r="BC72" s="228">
        <f t="shared" si="65"/>
        <v>0</v>
      </c>
      <c r="BD72" s="228">
        <f t="shared" si="66"/>
        <v>0</v>
      </c>
      <c r="BE72" s="228">
        <f t="shared" si="79"/>
        <v>1</v>
      </c>
      <c r="BF72" s="228" t="str">
        <f t="shared" si="89"/>
        <v>ALIVE</v>
      </c>
      <c r="BG72" s="208" t="str">
        <f t="shared" si="80"/>
        <v>Aucune</v>
      </c>
      <c r="BH72" s="208" t="str">
        <f t="shared" si="81"/>
        <v>Aucune</v>
      </c>
      <c r="BI72" s="208" t="str">
        <f t="shared" si="82"/>
        <v>Aucune</v>
      </c>
      <c r="BJ72" s="208" t="str">
        <f t="shared" si="74"/>
        <v>NON</v>
      </c>
      <c r="BK72" s="208" t="str">
        <f t="shared" si="83"/>
        <v>NON</v>
      </c>
      <c r="BL72" s="208" t="str">
        <f t="shared" si="75"/>
        <v>Inconnu</v>
      </c>
      <c r="BM72" s="208" t="str">
        <f t="shared" si="67"/>
        <v>Inconnu</v>
      </c>
      <c r="BN72" s="208" t="str">
        <f t="shared" si="68"/>
        <v>Inconnu</v>
      </c>
      <c r="BO72" s="208" t="str">
        <f t="shared" si="76"/>
        <v>Inconnu</v>
      </c>
      <c r="BP72" s="208" t="str">
        <f t="shared" si="69"/>
        <v>Inconnu</v>
      </c>
      <c r="BQ72" s="208" t="str">
        <f t="shared" si="70"/>
        <v>Inconnu</v>
      </c>
      <c r="BR72" s="208" t="str">
        <f t="shared" si="71"/>
        <v>Aucune</v>
      </c>
      <c r="BS72" s="208">
        <f t="shared" si="84"/>
        <v>0</v>
      </c>
      <c r="BT72" s="229" t="e">
        <f>VLOOKUP($I72,Lieu_Activité!$A:$B,2,FALSE)</f>
        <v>#N/A</v>
      </c>
      <c r="BU72" s="208" t="str">
        <f t="shared" si="85"/>
        <v>Aucun</v>
      </c>
      <c r="BV72" s="208" t="str">
        <f t="shared" si="86"/>
        <v>Aucun</v>
      </c>
      <c r="BW72" s="207" t="str">
        <f t="shared" si="77"/>
        <v>NON</v>
      </c>
      <c r="BX72" s="288"/>
    </row>
    <row r="73" spans="1:76" ht="12.95" customHeight="1" x14ac:dyDescent="0.25">
      <c r="A73" s="226" t="s">
        <v>209</v>
      </c>
      <c r="B73" s="234"/>
      <c r="C73" s="227"/>
      <c r="D73" s="257"/>
      <c r="E73" s="278">
        <f t="shared" si="73"/>
        <v>0</v>
      </c>
      <c r="F73" s="278" t="str">
        <f t="shared" si="87"/>
        <v xml:space="preserve"> </v>
      </c>
      <c r="G73" s="256"/>
      <c r="H73" s="256"/>
      <c r="I73" s="256"/>
      <c r="J73" s="256"/>
      <c r="K73" s="256"/>
      <c r="L73" s="257"/>
      <c r="M73" s="243"/>
      <c r="N73" s="232"/>
      <c r="O73" s="232"/>
      <c r="P73" s="265" t="str">
        <f>IFERROR(VLOOKUP(O73,Références!$K$11:$N$19,2)," ")</f>
        <v xml:space="preserve"> </v>
      </c>
      <c r="Q73" s="265" t="str">
        <f>IFERROR(VLOOKUP(O73,Références!$K$11:$N$19,3)," ")</f>
        <v xml:space="preserve"> </v>
      </c>
      <c r="R73" s="265" t="str">
        <f>IFERROR(VLOOKUP(O73,Références!$K$11:$N$19,4)," ")</f>
        <v xml:space="preserve"> </v>
      </c>
      <c r="S73" s="256"/>
      <c r="T73" s="256"/>
      <c r="U73" s="256"/>
      <c r="V73" s="256"/>
      <c r="W73" s="256"/>
      <c r="X73" s="257"/>
      <c r="Y73" s="256"/>
      <c r="Z73" s="256"/>
      <c r="AA73" s="256"/>
      <c r="AB73" s="235"/>
      <c r="AC73" s="235"/>
      <c r="AD73" s="235"/>
      <c r="AE73" s="235"/>
      <c r="AF73" s="235"/>
      <c r="AG73" s="235"/>
      <c r="AH73" s="235"/>
      <c r="AI73" s="235">
        <f t="shared" si="64"/>
        <v>0</v>
      </c>
      <c r="AJ73" s="257"/>
      <c r="AK73" s="256">
        <f t="shared" si="78"/>
        <v>0</v>
      </c>
      <c r="AL73" s="257"/>
      <c r="AM73" s="266">
        <f t="shared" si="72"/>
        <v>0</v>
      </c>
      <c r="AN73" s="256"/>
      <c r="AO73" s="276"/>
      <c r="AP73" s="261" t="str">
        <f t="shared" si="88"/>
        <v xml:space="preserve"> </v>
      </c>
      <c r="AQ73" s="256"/>
      <c r="AR73" s="295"/>
      <c r="AS73" s="295"/>
      <c r="AT73" s="263"/>
      <c r="AU73" s="277"/>
      <c r="AV73" s="263"/>
      <c r="AW73" s="230"/>
      <c r="AX73" s="300"/>
      <c r="AY73" s="301"/>
      <c r="AZ73" s="230"/>
      <c r="BA73" s="300" t="s">
        <v>234</v>
      </c>
      <c r="BB73" s="295"/>
      <c r="BC73" s="228">
        <f t="shared" si="65"/>
        <v>0</v>
      </c>
      <c r="BD73" s="228">
        <f t="shared" si="66"/>
        <v>0</v>
      </c>
      <c r="BE73" s="228">
        <f t="shared" si="79"/>
        <v>1</v>
      </c>
      <c r="BF73" s="228" t="str">
        <f t="shared" si="89"/>
        <v>ALIVE</v>
      </c>
      <c r="BG73" s="208" t="str">
        <f t="shared" si="80"/>
        <v>Aucune</v>
      </c>
      <c r="BH73" s="208" t="str">
        <f t="shared" si="81"/>
        <v>Aucune</v>
      </c>
      <c r="BI73" s="208" t="str">
        <f t="shared" si="82"/>
        <v>Aucune</v>
      </c>
      <c r="BJ73" s="208" t="str">
        <f t="shared" si="74"/>
        <v>NON</v>
      </c>
      <c r="BK73" s="208" t="str">
        <f t="shared" si="83"/>
        <v>NON</v>
      </c>
      <c r="BL73" s="208" t="str">
        <f t="shared" si="75"/>
        <v>Inconnu</v>
      </c>
      <c r="BM73" s="208" t="str">
        <f t="shared" si="67"/>
        <v>Inconnu</v>
      </c>
      <c r="BN73" s="208" t="str">
        <f t="shared" si="68"/>
        <v>Inconnu</v>
      </c>
      <c r="BO73" s="208" t="str">
        <f t="shared" si="76"/>
        <v>Inconnu</v>
      </c>
      <c r="BP73" s="208" t="str">
        <f t="shared" si="69"/>
        <v>Inconnu</v>
      </c>
      <c r="BQ73" s="208" t="str">
        <f t="shared" si="70"/>
        <v>Inconnu</v>
      </c>
      <c r="BR73" s="208" t="str">
        <f t="shared" si="71"/>
        <v>Aucune</v>
      </c>
      <c r="BS73" s="208">
        <f t="shared" si="84"/>
        <v>0</v>
      </c>
      <c r="BT73" s="229" t="e">
        <f>VLOOKUP($I73,Lieu_Activité!$A:$B,2,FALSE)</f>
        <v>#N/A</v>
      </c>
      <c r="BU73" s="208" t="str">
        <f t="shared" si="85"/>
        <v>Aucun</v>
      </c>
      <c r="BV73" s="208" t="str">
        <f t="shared" si="86"/>
        <v>Aucun</v>
      </c>
      <c r="BW73" s="207" t="str">
        <f t="shared" si="77"/>
        <v>NON</v>
      </c>
      <c r="BX73" s="288"/>
    </row>
    <row r="74" spans="1:76" ht="12.95" customHeight="1" x14ac:dyDescent="0.25">
      <c r="A74" s="226" t="s">
        <v>209</v>
      </c>
      <c r="B74" s="234"/>
      <c r="C74" s="227"/>
      <c r="D74" s="257"/>
      <c r="E74" s="278">
        <f t="shared" si="73"/>
        <v>0</v>
      </c>
      <c r="F74" s="278" t="str">
        <f t="shared" si="87"/>
        <v xml:space="preserve"> </v>
      </c>
      <c r="G74" s="256"/>
      <c r="H74" s="256"/>
      <c r="I74" s="256"/>
      <c r="J74" s="256"/>
      <c r="K74" s="256"/>
      <c r="L74" s="257"/>
      <c r="M74" s="243"/>
      <c r="N74" s="232"/>
      <c r="O74" s="232"/>
      <c r="P74" s="265" t="str">
        <f>IFERROR(VLOOKUP(O74,Références!$K$11:$N$19,2)," ")</f>
        <v xml:space="preserve"> </v>
      </c>
      <c r="Q74" s="265" t="str">
        <f>IFERROR(VLOOKUP(O74,Références!$K$11:$N$19,3)," ")</f>
        <v xml:space="preserve"> </v>
      </c>
      <c r="R74" s="265" t="str">
        <f>IFERROR(VLOOKUP(O74,Références!$K$11:$N$19,4)," ")</f>
        <v xml:space="preserve"> </v>
      </c>
      <c r="S74" s="256"/>
      <c r="T74" s="256"/>
      <c r="U74" s="256"/>
      <c r="V74" s="256"/>
      <c r="W74" s="256"/>
      <c r="X74" s="257"/>
      <c r="Y74" s="256"/>
      <c r="Z74" s="256"/>
      <c r="AA74" s="256"/>
      <c r="AB74" s="235"/>
      <c r="AC74" s="235"/>
      <c r="AD74" s="235"/>
      <c r="AE74" s="235"/>
      <c r="AF74" s="235"/>
      <c r="AG74" s="235"/>
      <c r="AH74" s="235"/>
      <c r="AI74" s="235">
        <f t="shared" si="64"/>
        <v>0</v>
      </c>
      <c r="AJ74" s="257"/>
      <c r="AK74" s="256">
        <f t="shared" si="78"/>
        <v>0</v>
      </c>
      <c r="AL74" s="257"/>
      <c r="AM74" s="266">
        <f t="shared" si="72"/>
        <v>0</v>
      </c>
      <c r="AN74" s="256"/>
      <c r="AO74" s="276"/>
      <c r="AP74" s="261" t="str">
        <f t="shared" si="88"/>
        <v xml:space="preserve"> </v>
      </c>
      <c r="AQ74" s="256"/>
      <c r="AR74" s="296"/>
      <c r="AS74" s="295"/>
      <c r="AT74" s="263"/>
      <c r="AU74" s="277"/>
      <c r="AV74" s="263"/>
      <c r="AW74" s="230"/>
      <c r="AX74" s="300"/>
      <c r="AY74" s="301"/>
      <c r="AZ74" s="230"/>
      <c r="BA74" s="300" t="s">
        <v>234</v>
      </c>
      <c r="BB74" s="295"/>
      <c r="BC74" s="228">
        <f t="shared" si="65"/>
        <v>0</v>
      </c>
      <c r="BD74" s="228">
        <f t="shared" si="66"/>
        <v>0</v>
      </c>
      <c r="BE74" s="228">
        <f t="shared" si="79"/>
        <v>1</v>
      </c>
      <c r="BF74" s="228" t="str">
        <f t="shared" si="89"/>
        <v>ALIVE</v>
      </c>
      <c r="BG74" s="208" t="str">
        <f t="shared" si="80"/>
        <v>Aucune</v>
      </c>
      <c r="BH74" s="208" t="str">
        <f t="shared" si="81"/>
        <v>Aucune</v>
      </c>
      <c r="BI74" s="208" t="str">
        <f t="shared" si="82"/>
        <v>Aucune</v>
      </c>
      <c r="BJ74" s="208" t="str">
        <f t="shared" si="74"/>
        <v>NON</v>
      </c>
      <c r="BK74" s="208" t="str">
        <f t="shared" si="83"/>
        <v>NON</v>
      </c>
      <c r="BL74" s="208" t="str">
        <f t="shared" si="75"/>
        <v>Inconnu</v>
      </c>
      <c r="BM74" s="208" t="str">
        <f t="shared" si="67"/>
        <v>Inconnu</v>
      </c>
      <c r="BN74" s="208" t="str">
        <f t="shared" si="68"/>
        <v>Inconnu</v>
      </c>
      <c r="BO74" s="208" t="str">
        <f t="shared" si="76"/>
        <v>Inconnu</v>
      </c>
      <c r="BP74" s="208" t="str">
        <f t="shared" si="69"/>
        <v>Inconnu</v>
      </c>
      <c r="BQ74" s="208" t="str">
        <f t="shared" si="70"/>
        <v>Inconnu</v>
      </c>
      <c r="BR74" s="208" t="str">
        <f t="shared" si="71"/>
        <v>Aucune</v>
      </c>
      <c r="BS74" s="208">
        <f t="shared" si="84"/>
        <v>0</v>
      </c>
      <c r="BT74" s="229" t="e">
        <f>VLOOKUP($I74,Lieu_Activité!$A:$B,2,FALSE)</f>
        <v>#N/A</v>
      </c>
      <c r="BU74" s="208" t="str">
        <f t="shared" si="85"/>
        <v>Aucun</v>
      </c>
      <c r="BV74" s="208" t="str">
        <f t="shared" si="86"/>
        <v>Aucun</v>
      </c>
      <c r="BW74" s="207" t="str">
        <f t="shared" si="77"/>
        <v>NON</v>
      </c>
      <c r="BX74" s="288"/>
    </row>
    <row r="75" spans="1:76" ht="12.95" customHeight="1" x14ac:dyDescent="0.25">
      <c r="A75" s="226" t="s">
        <v>209</v>
      </c>
      <c r="B75" s="234"/>
      <c r="C75" s="227"/>
      <c r="D75" s="257"/>
      <c r="E75" s="278">
        <f t="shared" si="73"/>
        <v>0</v>
      </c>
      <c r="F75" s="278" t="str">
        <f t="shared" si="87"/>
        <v xml:space="preserve"> </v>
      </c>
      <c r="G75" s="256"/>
      <c r="H75" s="256"/>
      <c r="I75" s="256"/>
      <c r="J75" s="256"/>
      <c r="K75" s="256"/>
      <c r="L75" s="257"/>
      <c r="M75" s="243"/>
      <c r="N75" s="232"/>
      <c r="O75" s="232"/>
      <c r="P75" s="265" t="str">
        <f>IFERROR(VLOOKUP(O75,Références!$K$11:$N$19,2)," ")</f>
        <v xml:space="preserve"> </v>
      </c>
      <c r="Q75" s="265" t="str">
        <f>IFERROR(VLOOKUP(O75,Références!$K$11:$N$19,3)," ")</f>
        <v xml:space="preserve"> </v>
      </c>
      <c r="R75" s="265" t="str">
        <f>IFERROR(VLOOKUP(O75,Références!$K$11:$N$19,4)," ")</f>
        <v xml:space="preserve"> </v>
      </c>
      <c r="S75" s="256"/>
      <c r="T75" s="256"/>
      <c r="U75" s="256"/>
      <c r="V75" s="256"/>
      <c r="W75" s="256"/>
      <c r="X75" s="257"/>
      <c r="Y75" s="256"/>
      <c r="Z75" s="256"/>
      <c r="AA75" s="256"/>
      <c r="AB75" s="235"/>
      <c r="AC75" s="235"/>
      <c r="AD75" s="274"/>
      <c r="AE75" s="235"/>
      <c r="AF75" s="235"/>
      <c r="AG75" s="235"/>
      <c r="AH75" s="235"/>
      <c r="AI75" s="235">
        <f t="shared" si="64"/>
        <v>0</v>
      </c>
      <c r="AJ75" s="257"/>
      <c r="AK75" s="256">
        <f t="shared" si="78"/>
        <v>0</v>
      </c>
      <c r="AL75" s="257"/>
      <c r="AM75" s="266">
        <f t="shared" si="72"/>
        <v>0</v>
      </c>
      <c r="AN75" s="256"/>
      <c r="AO75" s="276"/>
      <c r="AP75" s="261" t="str">
        <f t="shared" si="88"/>
        <v xml:space="preserve"> </v>
      </c>
      <c r="AQ75" s="256"/>
      <c r="AR75" s="295"/>
      <c r="AS75" s="295"/>
      <c r="AT75" s="263"/>
      <c r="AU75" s="277"/>
      <c r="AV75" s="263"/>
      <c r="AW75" s="230"/>
      <c r="AX75" s="300"/>
      <c r="AY75" s="301"/>
      <c r="AZ75" s="230"/>
      <c r="BA75" s="300" t="s">
        <v>234</v>
      </c>
      <c r="BB75" s="295"/>
      <c r="BC75" s="228">
        <f t="shared" ref="BC75:BC92" si="90">IF(BG75="Aucune",0,1)</f>
        <v>0</v>
      </c>
      <c r="BD75" s="228">
        <f t="shared" ref="BD75:BD92" si="91">IF(BH75="Aucune",0,1)</f>
        <v>0</v>
      </c>
      <c r="BE75" s="228">
        <f t="shared" si="79"/>
        <v>1</v>
      </c>
      <c r="BF75" s="228" t="str">
        <f t="shared" si="89"/>
        <v>ALIVE</v>
      </c>
      <c r="BG75" s="208" t="str">
        <f t="shared" si="80"/>
        <v>Aucune</v>
      </c>
      <c r="BH75" s="208" t="str">
        <f t="shared" si="81"/>
        <v>Aucune</v>
      </c>
      <c r="BI75" s="208" t="str">
        <f t="shared" si="82"/>
        <v>Aucune</v>
      </c>
      <c r="BJ75" s="208" t="str">
        <f t="shared" si="74"/>
        <v>NON</v>
      </c>
      <c r="BK75" s="208" t="str">
        <f t="shared" si="83"/>
        <v>NON</v>
      </c>
      <c r="BL75" s="208" t="str">
        <f t="shared" si="75"/>
        <v>Inconnu</v>
      </c>
      <c r="BM75" s="208" t="str">
        <f t="shared" ref="BM75:BM92" si="92">IF($O75&lt;&gt;"HTX",IF($O75&lt;&gt;"LVAD",BL75,"Inconnu"),"Inconnu")</f>
        <v>Inconnu</v>
      </c>
      <c r="BN75" s="208" t="str">
        <f t="shared" ref="BN75:BN92" si="93">IF($O75="HTX",BL75,IF($O75="LVAD",BL75,"Inconnu"))</f>
        <v>Inconnu</v>
      </c>
      <c r="BO75" s="208" t="str">
        <f t="shared" si="76"/>
        <v>Inconnu</v>
      </c>
      <c r="BP75" s="208" t="str">
        <f t="shared" ref="BP75:BP92" si="94">IF($O75&lt;&gt;"HTX",IF($O75&lt;&gt;"LVAD",BO75,"Inconnu"),"Inconnu")</f>
        <v>Inconnu</v>
      </c>
      <c r="BQ75" s="208" t="str">
        <f t="shared" ref="BQ75:BQ92" si="95">IF($O75="HTX",BO75,IF($O75="LVAD",BO75,"Inconnu"))</f>
        <v>Inconnu</v>
      </c>
      <c r="BR75" s="208" t="str">
        <f t="shared" ref="BR75:BR92" si="96">IF(BH75="Aucune",IF(BI75="Aucune","Aucune","Transfusé"),"Transfusé")</f>
        <v>Aucune</v>
      </c>
      <c r="BS75" s="208">
        <f t="shared" si="84"/>
        <v>0</v>
      </c>
      <c r="BT75" s="229" t="e">
        <f>VLOOKUP($I75,Lieu_Activité!$A:$B,2,FALSE)</f>
        <v>#N/A</v>
      </c>
      <c r="BU75" s="208" t="str">
        <f t="shared" si="85"/>
        <v>Aucun</v>
      </c>
      <c r="BV75" s="208" t="str">
        <f t="shared" si="86"/>
        <v>Aucun</v>
      </c>
      <c r="BW75" s="207" t="str">
        <f t="shared" si="77"/>
        <v>NON</v>
      </c>
      <c r="BX75" s="288"/>
    </row>
    <row r="76" spans="1:76" ht="12.95" customHeight="1" x14ac:dyDescent="0.25">
      <c r="A76" s="226" t="s">
        <v>209</v>
      </c>
      <c r="B76" s="234"/>
      <c r="C76" s="227"/>
      <c r="D76" s="257"/>
      <c r="E76" s="278">
        <f t="shared" si="73"/>
        <v>0</v>
      </c>
      <c r="F76" s="278" t="str">
        <f t="shared" si="87"/>
        <v xml:space="preserve"> </v>
      </c>
      <c r="G76" s="256"/>
      <c r="H76" s="256"/>
      <c r="I76" s="256"/>
      <c r="J76" s="256"/>
      <c r="K76" s="256"/>
      <c r="L76" s="257"/>
      <c r="M76" s="243"/>
      <c r="N76" s="232"/>
      <c r="O76" s="232"/>
      <c r="P76" s="265" t="str">
        <f>IFERROR(VLOOKUP(O76,Références!$K$11:$N$19,2)," ")</f>
        <v xml:space="preserve"> </v>
      </c>
      <c r="Q76" s="265" t="str">
        <f>IFERROR(VLOOKUP(O76,Références!$K$11:$N$19,3)," ")</f>
        <v xml:space="preserve"> </v>
      </c>
      <c r="R76" s="265" t="str">
        <f>IFERROR(VLOOKUP(O76,Références!$K$11:$N$19,4)," ")</f>
        <v xml:space="preserve"> </v>
      </c>
      <c r="S76" s="256"/>
      <c r="T76" s="256"/>
      <c r="U76" s="256"/>
      <c r="V76" s="256"/>
      <c r="W76" s="256"/>
      <c r="X76" s="257"/>
      <c r="Y76" s="256"/>
      <c r="Z76" s="256"/>
      <c r="AA76" s="256"/>
      <c r="AB76" s="235"/>
      <c r="AC76" s="235"/>
      <c r="AD76" s="235"/>
      <c r="AE76" s="235"/>
      <c r="AF76" s="235"/>
      <c r="AG76" s="235"/>
      <c r="AH76" s="235"/>
      <c r="AI76" s="235">
        <f t="shared" si="64"/>
        <v>0</v>
      </c>
      <c r="AJ76" s="257"/>
      <c r="AK76" s="256">
        <f>(AJ76-L76)</f>
        <v>0</v>
      </c>
      <c r="AL76" s="257"/>
      <c r="AM76" s="266">
        <f>(AL76-L76)</f>
        <v>0</v>
      </c>
      <c r="AN76" s="256"/>
      <c r="AO76" s="276"/>
      <c r="AP76" s="261" t="str">
        <f t="shared" si="88"/>
        <v xml:space="preserve"> </v>
      </c>
      <c r="AQ76" s="256"/>
      <c r="AR76" s="295"/>
      <c r="AS76" s="295"/>
      <c r="AT76" s="263"/>
      <c r="AU76" s="277"/>
      <c r="AV76" s="263"/>
      <c r="AW76" s="230"/>
      <c r="AX76" s="300"/>
      <c r="AY76" s="301"/>
      <c r="AZ76" s="230"/>
      <c r="BA76" s="300" t="s">
        <v>234</v>
      </c>
      <c r="BB76" s="295"/>
      <c r="BC76" s="228">
        <f t="shared" si="90"/>
        <v>0</v>
      </c>
      <c r="BD76" s="228">
        <f t="shared" si="91"/>
        <v>0</v>
      </c>
      <c r="BE76" s="228">
        <f t="shared" si="79"/>
        <v>1</v>
      </c>
      <c r="BF76" s="228" t="str">
        <f t="shared" si="89"/>
        <v>ALIVE</v>
      </c>
      <c r="BG76" s="208" t="str">
        <f t="shared" si="80"/>
        <v>Aucune</v>
      </c>
      <c r="BH76" s="208" t="str">
        <f t="shared" si="81"/>
        <v>Aucune</v>
      </c>
      <c r="BI76" s="208" t="str">
        <f t="shared" si="82"/>
        <v>Aucune</v>
      </c>
      <c r="BJ76" s="208" t="str">
        <f t="shared" si="74"/>
        <v>NON</v>
      </c>
      <c r="BK76" s="208" t="str">
        <f t="shared" si="83"/>
        <v>NON</v>
      </c>
      <c r="BL76" s="208" t="str">
        <f t="shared" si="75"/>
        <v>Inconnu</v>
      </c>
      <c r="BM76" s="208" t="str">
        <f t="shared" si="92"/>
        <v>Inconnu</v>
      </c>
      <c r="BN76" s="208" t="str">
        <f t="shared" si="93"/>
        <v>Inconnu</v>
      </c>
      <c r="BO76" s="208" t="str">
        <f t="shared" si="76"/>
        <v>Inconnu</v>
      </c>
      <c r="BP76" s="208" t="str">
        <f t="shared" si="94"/>
        <v>Inconnu</v>
      </c>
      <c r="BQ76" s="208" t="str">
        <f t="shared" si="95"/>
        <v>Inconnu</v>
      </c>
      <c r="BR76" s="208" t="str">
        <f t="shared" si="96"/>
        <v>Aucune</v>
      </c>
      <c r="BS76" s="208">
        <f t="shared" si="84"/>
        <v>0</v>
      </c>
      <c r="BT76" s="229" t="e">
        <f>VLOOKUP($I76,Lieu_Activité!$A:$B,2,FALSE)</f>
        <v>#N/A</v>
      </c>
      <c r="BU76" s="208" t="str">
        <f t="shared" si="85"/>
        <v>Aucun</v>
      </c>
      <c r="BV76" s="208" t="str">
        <f t="shared" si="86"/>
        <v>Aucun</v>
      </c>
      <c r="BW76" s="207" t="str">
        <f t="shared" si="77"/>
        <v>NON</v>
      </c>
      <c r="BX76" s="288"/>
    </row>
    <row r="77" spans="1:76" ht="12.95" customHeight="1" x14ac:dyDescent="0.25">
      <c r="A77" s="226" t="s">
        <v>209</v>
      </c>
      <c r="B77" s="234"/>
      <c r="C77" s="227"/>
      <c r="D77" s="257"/>
      <c r="E77" s="278">
        <f t="shared" si="73"/>
        <v>0</v>
      </c>
      <c r="F77" s="278" t="str">
        <f t="shared" si="87"/>
        <v xml:space="preserve"> </v>
      </c>
      <c r="G77" s="256"/>
      <c r="H77" s="256"/>
      <c r="I77" s="256"/>
      <c r="J77" s="256"/>
      <c r="K77" s="256"/>
      <c r="L77" s="257"/>
      <c r="M77" s="243"/>
      <c r="N77" s="232"/>
      <c r="O77" s="232"/>
      <c r="P77" s="265" t="str">
        <f>IFERROR(VLOOKUP(O77,Références!$K$11:$N$19,2)," ")</f>
        <v xml:space="preserve"> </v>
      </c>
      <c r="Q77" s="265" t="str">
        <f>IFERROR(VLOOKUP(O77,Références!$K$11:$N$19,3)," ")</f>
        <v xml:space="preserve"> </v>
      </c>
      <c r="R77" s="265" t="str">
        <f>IFERROR(VLOOKUP(O77,Références!$K$11:$N$19,4)," ")</f>
        <v xml:space="preserve"> </v>
      </c>
      <c r="S77" s="256"/>
      <c r="T77" s="256"/>
      <c r="U77" s="256"/>
      <c r="V77" s="256"/>
      <c r="W77" s="256"/>
      <c r="X77" s="257"/>
      <c r="Y77" s="256"/>
      <c r="Z77" s="256"/>
      <c r="AA77" s="256"/>
      <c r="AB77" s="235"/>
      <c r="AC77" s="235"/>
      <c r="AD77" s="235"/>
      <c r="AE77" s="235"/>
      <c r="AF77" s="235"/>
      <c r="AG77" s="235"/>
      <c r="AH77" s="235"/>
      <c r="AI77" s="235">
        <f t="shared" si="64"/>
        <v>0</v>
      </c>
      <c r="AJ77" s="257"/>
      <c r="AK77" s="256">
        <f>(AJ77-L77)</f>
        <v>0</v>
      </c>
      <c r="AL77" s="257"/>
      <c r="AM77" s="266">
        <f>(AL77-L77)</f>
        <v>0</v>
      </c>
      <c r="AN77" s="256"/>
      <c r="AO77" s="276"/>
      <c r="AP77" s="261" t="str">
        <f t="shared" si="88"/>
        <v xml:space="preserve"> </v>
      </c>
      <c r="AQ77" s="256"/>
      <c r="AR77" s="295"/>
      <c r="AS77" s="295"/>
      <c r="AT77" s="263"/>
      <c r="AU77" s="277"/>
      <c r="AV77" s="263"/>
      <c r="AW77" s="230"/>
      <c r="AX77" s="300"/>
      <c r="AY77" s="301"/>
      <c r="AZ77" s="230"/>
      <c r="BA77" s="300" t="s">
        <v>234</v>
      </c>
      <c r="BB77" s="295"/>
      <c r="BC77" s="228">
        <f t="shared" si="90"/>
        <v>0</v>
      </c>
      <c r="BD77" s="228">
        <f t="shared" si="91"/>
        <v>0</v>
      </c>
      <c r="BE77" s="228">
        <f t="shared" si="79"/>
        <v>1</v>
      </c>
      <c r="BF77" s="228" t="str">
        <f t="shared" si="89"/>
        <v>ALIVE</v>
      </c>
      <c r="BG77" s="208" t="str">
        <f t="shared" si="80"/>
        <v>Aucune</v>
      </c>
      <c r="BH77" s="208" t="str">
        <f t="shared" si="81"/>
        <v>Aucune</v>
      </c>
      <c r="BI77" s="208" t="str">
        <f t="shared" si="82"/>
        <v>Aucune</v>
      </c>
      <c r="BJ77" s="208" t="str">
        <f t="shared" si="74"/>
        <v>NON</v>
      </c>
      <c r="BK77" s="208" t="str">
        <f t="shared" si="83"/>
        <v>NON</v>
      </c>
      <c r="BL77" s="208" t="str">
        <f t="shared" si="75"/>
        <v>Inconnu</v>
      </c>
      <c r="BM77" s="208" t="str">
        <f t="shared" si="92"/>
        <v>Inconnu</v>
      </c>
      <c r="BN77" s="208" t="str">
        <f t="shared" si="93"/>
        <v>Inconnu</v>
      </c>
      <c r="BO77" s="208" t="str">
        <f t="shared" si="76"/>
        <v>Inconnu</v>
      </c>
      <c r="BP77" s="208" t="str">
        <f t="shared" si="94"/>
        <v>Inconnu</v>
      </c>
      <c r="BQ77" s="208" t="str">
        <f t="shared" si="95"/>
        <v>Inconnu</v>
      </c>
      <c r="BR77" s="208" t="str">
        <f t="shared" si="96"/>
        <v>Aucune</v>
      </c>
      <c r="BS77" s="208">
        <f t="shared" si="84"/>
        <v>0</v>
      </c>
      <c r="BT77" s="229" t="e">
        <f>VLOOKUP($I77,Lieu_Activité!$A:$B,2,FALSE)</f>
        <v>#N/A</v>
      </c>
      <c r="BU77" s="208" t="str">
        <f t="shared" si="85"/>
        <v>Aucun</v>
      </c>
      <c r="BV77" s="208" t="str">
        <f t="shared" si="86"/>
        <v>Aucun</v>
      </c>
      <c r="BW77" s="207" t="str">
        <f t="shared" si="77"/>
        <v>NON</v>
      </c>
      <c r="BX77" s="288"/>
    </row>
    <row r="78" spans="1:76" ht="12.95" customHeight="1" x14ac:dyDescent="0.25">
      <c r="A78" s="226" t="s">
        <v>209</v>
      </c>
      <c r="B78" s="234"/>
      <c r="C78" s="227"/>
      <c r="D78" s="257"/>
      <c r="E78" s="278">
        <f t="shared" si="73"/>
        <v>0</v>
      </c>
      <c r="F78" s="278" t="str">
        <f t="shared" si="87"/>
        <v xml:space="preserve"> </v>
      </c>
      <c r="G78" s="256"/>
      <c r="H78" s="256"/>
      <c r="I78" s="256"/>
      <c r="J78" s="256"/>
      <c r="K78" s="256"/>
      <c r="L78" s="257"/>
      <c r="M78" s="243"/>
      <c r="N78" s="232"/>
      <c r="O78" s="232"/>
      <c r="P78" s="265" t="str">
        <f>IFERROR(VLOOKUP(O78,Références!$K$11:$N$19,2)," ")</f>
        <v xml:space="preserve"> </v>
      </c>
      <c r="Q78" s="265" t="str">
        <f>IFERROR(VLOOKUP(O78,Références!$K$11:$N$19,3)," ")</f>
        <v xml:space="preserve"> </v>
      </c>
      <c r="R78" s="265" t="str">
        <f>IFERROR(VLOOKUP(O78,Références!$K$11:$N$19,4)," ")</f>
        <v xml:space="preserve"> </v>
      </c>
      <c r="S78" s="256"/>
      <c r="T78" s="256"/>
      <c r="U78" s="256"/>
      <c r="V78" s="256"/>
      <c r="W78" s="256"/>
      <c r="X78" s="257"/>
      <c r="Y78" s="256"/>
      <c r="Z78" s="256"/>
      <c r="AA78" s="256"/>
      <c r="AB78" s="235"/>
      <c r="AC78" s="235"/>
      <c r="AD78" s="235"/>
      <c r="AE78" s="235"/>
      <c r="AF78" s="235"/>
      <c r="AG78" s="235"/>
      <c r="AH78" s="235"/>
      <c r="AI78" s="235">
        <f t="shared" si="64"/>
        <v>0</v>
      </c>
      <c r="AJ78" s="257"/>
      <c r="AK78" s="256">
        <f>(AJ78-L78)</f>
        <v>0</v>
      </c>
      <c r="AL78" s="257"/>
      <c r="AM78" s="266">
        <f>(AL78-L78)</f>
        <v>0</v>
      </c>
      <c r="AN78" s="256"/>
      <c r="AO78" s="276"/>
      <c r="AP78" s="261" t="str">
        <f t="shared" si="88"/>
        <v xml:space="preserve"> </v>
      </c>
      <c r="AQ78" s="256"/>
      <c r="AR78" s="295"/>
      <c r="AS78" s="295"/>
      <c r="AT78" s="263"/>
      <c r="AU78" s="277"/>
      <c r="AV78" s="263"/>
      <c r="AW78" s="230"/>
      <c r="AX78" s="300"/>
      <c r="AY78" s="301"/>
      <c r="AZ78" s="230"/>
      <c r="BA78" s="300" t="s">
        <v>234</v>
      </c>
      <c r="BB78" s="295"/>
      <c r="BC78" s="228">
        <f t="shared" si="90"/>
        <v>0</v>
      </c>
      <c r="BD78" s="228">
        <f t="shared" si="91"/>
        <v>0</v>
      </c>
      <c r="BE78" s="228">
        <f t="shared" si="79"/>
        <v>1</v>
      </c>
      <c r="BF78" s="228" t="str">
        <f t="shared" si="89"/>
        <v>ALIVE</v>
      </c>
      <c r="BG78" s="208" t="str">
        <f t="shared" si="80"/>
        <v>Aucune</v>
      </c>
      <c r="BH78" s="208" t="str">
        <f t="shared" si="81"/>
        <v>Aucune</v>
      </c>
      <c r="BI78" s="208" t="str">
        <f t="shared" si="82"/>
        <v>Aucune</v>
      </c>
      <c r="BJ78" s="208" t="str">
        <f t="shared" si="74"/>
        <v>NON</v>
      </c>
      <c r="BK78" s="208" t="str">
        <f t="shared" si="83"/>
        <v>NON</v>
      </c>
      <c r="BL78" s="208" t="str">
        <f t="shared" si="75"/>
        <v>Inconnu</v>
      </c>
      <c r="BM78" s="208" t="str">
        <f t="shared" si="92"/>
        <v>Inconnu</v>
      </c>
      <c r="BN78" s="208" t="str">
        <f t="shared" si="93"/>
        <v>Inconnu</v>
      </c>
      <c r="BO78" s="208" t="str">
        <f t="shared" si="76"/>
        <v>Inconnu</v>
      </c>
      <c r="BP78" s="208" t="str">
        <f t="shared" si="94"/>
        <v>Inconnu</v>
      </c>
      <c r="BQ78" s="208" t="str">
        <f t="shared" si="95"/>
        <v>Inconnu</v>
      </c>
      <c r="BR78" s="208" t="str">
        <f t="shared" si="96"/>
        <v>Aucune</v>
      </c>
      <c r="BS78" s="208">
        <f t="shared" si="84"/>
        <v>0</v>
      </c>
      <c r="BT78" s="229" t="e">
        <f>VLOOKUP($I78,Lieu_Activité!$A:$B,2,FALSE)</f>
        <v>#N/A</v>
      </c>
      <c r="BU78" s="208" t="str">
        <f t="shared" si="85"/>
        <v>Aucun</v>
      </c>
      <c r="BV78" s="208" t="str">
        <f t="shared" si="86"/>
        <v>Aucun</v>
      </c>
      <c r="BW78" s="207" t="str">
        <f t="shared" si="77"/>
        <v>NON</v>
      </c>
      <c r="BX78" s="288"/>
    </row>
    <row r="79" spans="1:76" ht="12.95" customHeight="1" x14ac:dyDescent="0.25">
      <c r="A79" s="226" t="s">
        <v>209</v>
      </c>
      <c r="B79" s="234"/>
      <c r="C79" s="227"/>
      <c r="D79" s="257"/>
      <c r="E79" s="278">
        <f t="shared" si="73"/>
        <v>0</v>
      </c>
      <c r="F79" s="278" t="str">
        <f t="shared" si="87"/>
        <v xml:space="preserve"> </v>
      </c>
      <c r="G79" s="256"/>
      <c r="H79" s="256"/>
      <c r="I79" s="256"/>
      <c r="J79" s="256"/>
      <c r="K79" s="256"/>
      <c r="L79" s="257"/>
      <c r="M79" s="243"/>
      <c r="N79" s="232"/>
      <c r="O79" s="232"/>
      <c r="P79" s="265" t="str">
        <f>IFERROR(VLOOKUP(O79,Références!$K$11:$N$19,2)," ")</f>
        <v xml:space="preserve"> </v>
      </c>
      <c r="Q79" s="265" t="str">
        <f>IFERROR(VLOOKUP(O79,Références!$K$11:$N$19,3)," ")</f>
        <v xml:space="preserve"> </v>
      </c>
      <c r="R79" s="265" t="str">
        <f>IFERROR(VLOOKUP(O79,Références!$K$11:$N$19,4)," ")</f>
        <v xml:space="preserve"> </v>
      </c>
      <c r="S79" s="256"/>
      <c r="T79" s="256"/>
      <c r="U79" s="256"/>
      <c r="V79" s="256"/>
      <c r="W79" s="256"/>
      <c r="X79" s="257"/>
      <c r="Y79" s="256"/>
      <c r="Z79" s="256"/>
      <c r="AA79" s="256"/>
      <c r="AB79" s="235"/>
      <c r="AC79" s="235"/>
      <c r="AD79" s="235"/>
      <c r="AE79" s="235"/>
      <c r="AF79" s="235"/>
      <c r="AG79" s="235"/>
      <c r="AH79" s="235"/>
      <c r="AI79" s="235">
        <f t="shared" si="64"/>
        <v>0</v>
      </c>
      <c r="AJ79" s="257"/>
      <c r="AK79" s="256">
        <f>(AJ79-L79)</f>
        <v>0</v>
      </c>
      <c r="AL79" s="257"/>
      <c r="AM79" s="266">
        <f>(AL79-L79)</f>
        <v>0</v>
      </c>
      <c r="AN79" s="256"/>
      <c r="AO79" s="276"/>
      <c r="AP79" s="261" t="str">
        <f t="shared" si="88"/>
        <v xml:space="preserve"> </v>
      </c>
      <c r="AQ79" s="256"/>
      <c r="AR79" s="295"/>
      <c r="AS79" s="295"/>
      <c r="AT79" s="263"/>
      <c r="AU79" s="277"/>
      <c r="AV79" s="263"/>
      <c r="AW79" s="230"/>
      <c r="AX79" s="300"/>
      <c r="AY79" s="301"/>
      <c r="AZ79" s="230"/>
      <c r="BA79" s="300" t="s">
        <v>234</v>
      </c>
      <c r="BB79" s="295"/>
      <c r="BC79" s="228">
        <f t="shared" si="90"/>
        <v>0</v>
      </c>
      <c r="BD79" s="228">
        <f t="shared" si="91"/>
        <v>0</v>
      </c>
      <c r="BE79" s="228">
        <f t="shared" si="79"/>
        <v>1</v>
      </c>
      <c r="BF79" s="228" t="str">
        <f t="shared" si="89"/>
        <v>ALIVE</v>
      </c>
      <c r="BG79" s="208" t="str">
        <f t="shared" si="80"/>
        <v>Aucune</v>
      </c>
      <c r="BH79" s="208" t="str">
        <f t="shared" si="81"/>
        <v>Aucune</v>
      </c>
      <c r="BI79" s="208" t="str">
        <f t="shared" si="82"/>
        <v>Aucune</v>
      </c>
      <c r="BJ79" s="208" t="str">
        <f t="shared" si="74"/>
        <v>NON</v>
      </c>
      <c r="BK79" s="208" t="str">
        <f t="shared" si="83"/>
        <v>NON</v>
      </c>
      <c r="BL79" s="208" t="str">
        <f t="shared" si="75"/>
        <v>Inconnu</v>
      </c>
      <c r="BM79" s="208" t="str">
        <f t="shared" si="92"/>
        <v>Inconnu</v>
      </c>
      <c r="BN79" s="208" t="str">
        <f t="shared" si="93"/>
        <v>Inconnu</v>
      </c>
      <c r="BO79" s="208" t="str">
        <f t="shared" si="76"/>
        <v>Inconnu</v>
      </c>
      <c r="BP79" s="208" t="str">
        <f t="shared" si="94"/>
        <v>Inconnu</v>
      </c>
      <c r="BQ79" s="208" t="str">
        <f t="shared" si="95"/>
        <v>Inconnu</v>
      </c>
      <c r="BR79" s="208" t="str">
        <f t="shared" si="96"/>
        <v>Aucune</v>
      </c>
      <c r="BS79" s="208">
        <f t="shared" si="84"/>
        <v>0</v>
      </c>
      <c r="BT79" s="229" t="e">
        <f>VLOOKUP($I79,Lieu_Activité!$A:$B,2,FALSE)</f>
        <v>#N/A</v>
      </c>
      <c r="BU79" s="208" t="str">
        <f t="shared" si="85"/>
        <v>Aucun</v>
      </c>
      <c r="BV79" s="208" t="str">
        <f t="shared" si="86"/>
        <v>Aucun</v>
      </c>
      <c r="BW79" s="207" t="str">
        <f t="shared" si="77"/>
        <v>NON</v>
      </c>
      <c r="BX79" s="288"/>
    </row>
    <row r="80" spans="1:76" ht="12.95" customHeight="1" x14ac:dyDescent="0.25">
      <c r="A80" s="226" t="s">
        <v>209</v>
      </c>
      <c r="B80" s="234"/>
      <c r="C80" s="227"/>
      <c r="D80" s="257"/>
      <c r="E80" s="278">
        <f t="shared" si="73"/>
        <v>0</v>
      </c>
      <c r="F80" s="278" t="str">
        <f t="shared" si="87"/>
        <v xml:space="preserve"> </v>
      </c>
      <c r="G80" s="256"/>
      <c r="H80" s="256"/>
      <c r="I80" s="256"/>
      <c r="J80" s="256"/>
      <c r="K80" s="256"/>
      <c r="L80" s="257"/>
      <c r="M80" s="243"/>
      <c r="N80" s="232"/>
      <c r="O80" s="232"/>
      <c r="P80" s="265" t="str">
        <f>IFERROR(VLOOKUP(O80,Références!$K$11:$N$19,2)," ")</f>
        <v xml:space="preserve"> </v>
      </c>
      <c r="Q80" s="265" t="str">
        <f>IFERROR(VLOOKUP(O80,Références!$K$11:$N$19,3)," ")</f>
        <v xml:space="preserve"> </v>
      </c>
      <c r="R80" s="265" t="str">
        <f>IFERROR(VLOOKUP(O80,Références!$K$11:$N$19,4)," ")</f>
        <v xml:space="preserve"> </v>
      </c>
      <c r="S80" s="256"/>
      <c r="T80" s="256"/>
      <c r="U80" s="256"/>
      <c r="V80" s="256"/>
      <c r="W80" s="256"/>
      <c r="X80" s="257"/>
      <c r="Y80" s="256"/>
      <c r="Z80" s="256"/>
      <c r="AA80" s="256"/>
      <c r="AB80" s="235"/>
      <c r="AC80" s="235"/>
      <c r="AD80" s="274"/>
      <c r="AE80" s="235"/>
      <c r="AF80" s="235"/>
      <c r="AG80" s="235"/>
      <c r="AH80" s="235"/>
      <c r="AI80" s="235">
        <f t="shared" si="64"/>
        <v>0</v>
      </c>
      <c r="AJ80" s="257"/>
      <c r="AK80" s="256">
        <f>(AJ80-L80)</f>
        <v>0</v>
      </c>
      <c r="AL80" s="257"/>
      <c r="AM80" s="266">
        <f>(AL80-L80)</f>
        <v>0</v>
      </c>
      <c r="AN80" s="256"/>
      <c r="AO80" s="276"/>
      <c r="AP80" s="261" t="str">
        <f t="shared" si="88"/>
        <v xml:space="preserve"> </v>
      </c>
      <c r="AQ80" s="256"/>
      <c r="AR80" s="295"/>
      <c r="AS80" s="295"/>
      <c r="AT80" s="263"/>
      <c r="AU80" s="277"/>
      <c r="AV80" s="263"/>
      <c r="AW80" s="230"/>
      <c r="AX80" s="300"/>
      <c r="AY80" s="301"/>
      <c r="AZ80" s="230"/>
      <c r="BA80" s="300" t="s">
        <v>234</v>
      </c>
      <c r="BB80" s="295"/>
      <c r="BC80" s="228">
        <f t="shared" si="90"/>
        <v>0</v>
      </c>
      <c r="BD80" s="228">
        <f t="shared" si="91"/>
        <v>0</v>
      </c>
      <c r="BE80" s="228">
        <f t="shared" si="79"/>
        <v>1</v>
      </c>
      <c r="BF80" s="228" t="str">
        <f t="shared" si="89"/>
        <v>ALIVE</v>
      </c>
      <c r="BG80" s="208" t="str">
        <f t="shared" si="80"/>
        <v>Aucune</v>
      </c>
      <c r="BH80" s="208" t="str">
        <f t="shared" si="81"/>
        <v>Aucune</v>
      </c>
      <c r="BI80" s="208" t="str">
        <f t="shared" si="82"/>
        <v>Aucune</v>
      </c>
      <c r="BJ80" s="208" t="str">
        <f t="shared" si="74"/>
        <v>NON</v>
      </c>
      <c r="BK80" s="208" t="str">
        <f t="shared" si="83"/>
        <v>NON</v>
      </c>
      <c r="BL80" s="208" t="str">
        <f t="shared" si="75"/>
        <v>Inconnu</v>
      </c>
      <c r="BM80" s="208" t="str">
        <f t="shared" si="92"/>
        <v>Inconnu</v>
      </c>
      <c r="BN80" s="208" t="str">
        <f t="shared" si="93"/>
        <v>Inconnu</v>
      </c>
      <c r="BO80" s="208" t="str">
        <f t="shared" si="76"/>
        <v>Inconnu</v>
      </c>
      <c r="BP80" s="208" t="str">
        <f t="shared" si="94"/>
        <v>Inconnu</v>
      </c>
      <c r="BQ80" s="208" t="str">
        <f t="shared" si="95"/>
        <v>Inconnu</v>
      </c>
      <c r="BR80" s="208" t="str">
        <f t="shared" si="96"/>
        <v>Aucune</v>
      </c>
      <c r="BS80" s="208">
        <f t="shared" si="84"/>
        <v>0</v>
      </c>
      <c r="BT80" s="229" t="e">
        <f>VLOOKUP($I80,Lieu_Activité!$A:$B,2,FALSE)</f>
        <v>#N/A</v>
      </c>
      <c r="BU80" s="208" t="str">
        <f t="shared" si="85"/>
        <v>Aucun</v>
      </c>
      <c r="BV80" s="208" t="str">
        <f t="shared" si="86"/>
        <v>Aucun</v>
      </c>
      <c r="BW80" s="207" t="str">
        <f t="shared" si="77"/>
        <v>NON</v>
      </c>
      <c r="BX80" s="288"/>
    </row>
    <row r="81" spans="1:76" ht="12.95" customHeight="1" x14ac:dyDescent="0.25">
      <c r="A81" s="226" t="s">
        <v>209</v>
      </c>
      <c r="B81" s="267"/>
      <c r="C81" s="227"/>
      <c r="D81" s="257"/>
      <c r="E81" s="278">
        <f t="shared" si="73"/>
        <v>0</v>
      </c>
      <c r="F81" s="278" t="str">
        <f t="shared" si="87"/>
        <v xml:space="preserve"> </v>
      </c>
      <c r="G81" s="256"/>
      <c r="H81" s="256"/>
      <c r="I81" s="256"/>
      <c r="J81" s="256"/>
      <c r="K81" s="256"/>
      <c r="L81" s="257"/>
      <c r="M81" s="243"/>
      <c r="N81" s="232"/>
      <c r="O81" s="232"/>
      <c r="P81" s="265" t="str">
        <f>IFERROR(VLOOKUP(O81,Références!$K$11:$N$19,2)," ")</f>
        <v xml:space="preserve"> </v>
      </c>
      <c r="Q81" s="265" t="str">
        <f>IFERROR(VLOOKUP(O81,Références!$K$11:$N$19,3)," ")</f>
        <v xml:space="preserve"> </v>
      </c>
      <c r="R81" s="265" t="str">
        <f>IFERROR(VLOOKUP(O81,Références!$K$11:$N$19,4)," ")</f>
        <v xml:space="preserve"> </v>
      </c>
      <c r="S81" s="256"/>
      <c r="T81" s="256"/>
      <c r="U81" s="256"/>
      <c r="V81" s="256"/>
      <c r="W81" s="256"/>
      <c r="X81" s="257"/>
      <c r="Y81" s="256"/>
      <c r="Z81" s="256"/>
      <c r="AA81" s="256"/>
      <c r="AB81" s="235"/>
      <c r="AC81" s="235"/>
      <c r="AD81" s="235"/>
      <c r="AE81" s="235"/>
      <c r="AF81" s="235"/>
      <c r="AG81" s="235"/>
      <c r="AH81" s="235"/>
      <c r="AI81" s="235">
        <f t="shared" si="64"/>
        <v>0</v>
      </c>
      <c r="AJ81" s="257"/>
      <c r="AK81" s="256">
        <f t="shared" si="78"/>
        <v>0</v>
      </c>
      <c r="AL81" s="257"/>
      <c r="AM81" s="266">
        <f t="shared" si="72"/>
        <v>0</v>
      </c>
      <c r="AN81" s="256"/>
      <c r="AO81" s="276"/>
      <c r="AP81" s="261" t="str">
        <f t="shared" si="88"/>
        <v xml:space="preserve"> </v>
      </c>
      <c r="AQ81" s="256"/>
      <c r="AR81" s="295"/>
      <c r="AS81" s="295"/>
      <c r="AT81" s="263"/>
      <c r="AU81" s="277"/>
      <c r="AV81" s="263"/>
      <c r="AW81" s="230"/>
      <c r="AX81" s="300"/>
      <c r="AY81" s="301"/>
      <c r="AZ81" s="230"/>
      <c r="BA81" s="300"/>
      <c r="BB81" s="295"/>
      <c r="BC81" s="228">
        <f t="shared" si="90"/>
        <v>0</v>
      </c>
      <c r="BD81" s="228">
        <f t="shared" si="91"/>
        <v>0</v>
      </c>
      <c r="BE81" s="228">
        <f t="shared" si="79"/>
        <v>1</v>
      </c>
      <c r="BF81" s="228" t="str">
        <f t="shared" si="89"/>
        <v>ALIVE</v>
      </c>
      <c r="BG81" s="208" t="str">
        <f t="shared" si="80"/>
        <v>Aucune</v>
      </c>
      <c r="BH81" s="208" t="str">
        <f t="shared" si="81"/>
        <v>Aucune</v>
      </c>
      <c r="BI81" s="208" t="str">
        <f t="shared" si="82"/>
        <v>Aucune</v>
      </c>
      <c r="BJ81" s="208" t="str">
        <f t="shared" si="74"/>
        <v>NON</v>
      </c>
      <c r="BK81" s="208" t="str">
        <f t="shared" si="83"/>
        <v>NON</v>
      </c>
      <c r="BL81" s="208" t="str">
        <f t="shared" si="75"/>
        <v>Inconnu</v>
      </c>
      <c r="BM81" s="208" t="str">
        <f t="shared" si="92"/>
        <v>Inconnu</v>
      </c>
      <c r="BN81" s="208" t="str">
        <f t="shared" si="93"/>
        <v>Inconnu</v>
      </c>
      <c r="BO81" s="208" t="str">
        <f t="shared" si="76"/>
        <v>Inconnu</v>
      </c>
      <c r="BP81" s="208" t="str">
        <f t="shared" si="94"/>
        <v>Inconnu</v>
      </c>
      <c r="BQ81" s="208" t="str">
        <f t="shared" si="95"/>
        <v>Inconnu</v>
      </c>
      <c r="BR81" s="208" t="str">
        <f t="shared" si="96"/>
        <v>Aucune</v>
      </c>
      <c r="BS81" s="208">
        <f t="shared" si="84"/>
        <v>0</v>
      </c>
      <c r="BT81" s="229" t="e">
        <f>VLOOKUP($I81,Lieu_Activité!$A:$B,2,FALSE)</f>
        <v>#N/A</v>
      </c>
      <c r="BU81" s="208" t="str">
        <f t="shared" si="85"/>
        <v>Aucun</v>
      </c>
      <c r="BV81" s="208" t="str">
        <f t="shared" si="86"/>
        <v>Aucun</v>
      </c>
      <c r="BW81" s="207" t="str">
        <f t="shared" si="77"/>
        <v>NON</v>
      </c>
      <c r="BX81" s="288"/>
    </row>
    <row r="82" spans="1:76" ht="12.95" customHeight="1" x14ac:dyDescent="0.25">
      <c r="A82" s="226" t="s">
        <v>209</v>
      </c>
      <c r="B82" s="234"/>
      <c r="C82" s="227"/>
      <c r="D82" s="257"/>
      <c r="E82" s="278">
        <f t="shared" si="73"/>
        <v>0</v>
      </c>
      <c r="F82" s="278" t="str">
        <f t="shared" si="87"/>
        <v xml:space="preserve"> </v>
      </c>
      <c r="G82" s="256"/>
      <c r="H82" s="256"/>
      <c r="I82" s="256"/>
      <c r="J82" s="256"/>
      <c r="K82" s="256"/>
      <c r="L82" s="257"/>
      <c r="M82" s="243"/>
      <c r="N82" s="232"/>
      <c r="O82" s="232"/>
      <c r="P82" s="265" t="str">
        <f>IFERROR(VLOOKUP(O82,Références!$K$11:$N$19,2)," ")</f>
        <v xml:space="preserve"> </v>
      </c>
      <c r="Q82" s="265" t="str">
        <f>IFERROR(VLOOKUP(O82,Références!$K$11:$N$19,3)," ")</f>
        <v xml:space="preserve"> </v>
      </c>
      <c r="R82" s="265" t="str">
        <f>IFERROR(VLOOKUP(O82,Références!$K$11:$N$19,4)," ")</f>
        <v xml:space="preserve"> </v>
      </c>
      <c r="S82" s="256"/>
      <c r="T82" s="256"/>
      <c r="U82" s="256"/>
      <c r="V82" s="256"/>
      <c r="W82" s="256"/>
      <c r="X82" s="257"/>
      <c r="Y82" s="256"/>
      <c r="Z82" s="256"/>
      <c r="AA82" s="256"/>
      <c r="AB82" s="235"/>
      <c r="AC82" s="235"/>
      <c r="AD82" s="235"/>
      <c r="AE82" s="235"/>
      <c r="AF82" s="235"/>
      <c r="AG82" s="235"/>
      <c r="AH82" s="235"/>
      <c r="AI82" s="235">
        <f t="shared" si="64"/>
        <v>0</v>
      </c>
      <c r="AJ82" s="257"/>
      <c r="AK82" s="256">
        <f>(AJ82-L82)</f>
        <v>0</v>
      </c>
      <c r="AL82" s="257"/>
      <c r="AM82" s="266">
        <f>(AL82-L82)</f>
        <v>0</v>
      </c>
      <c r="AN82" s="256"/>
      <c r="AO82" s="276"/>
      <c r="AP82" s="261" t="str">
        <f t="shared" si="88"/>
        <v xml:space="preserve"> </v>
      </c>
      <c r="AQ82" s="256"/>
      <c r="AR82" s="295"/>
      <c r="AS82" s="295"/>
      <c r="AT82" s="263"/>
      <c r="AU82" s="277"/>
      <c r="AV82" s="263"/>
      <c r="AW82" s="230"/>
      <c r="AX82" s="300"/>
      <c r="AY82" s="301"/>
      <c r="AZ82" s="230"/>
      <c r="BA82" s="300" t="s">
        <v>234</v>
      </c>
      <c r="BB82" s="295"/>
      <c r="BC82" s="228">
        <f t="shared" si="90"/>
        <v>0</v>
      </c>
      <c r="BD82" s="228">
        <f t="shared" si="91"/>
        <v>0</v>
      </c>
      <c r="BE82" s="228">
        <f t="shared" si="79"/>
        <v>1</v>
      </c>
      <c r="BF82" s="228" t="str">
        <f t="shared" si="89"/>
        <v>ALIVE</v>
      </c>
      <c r="BG82" s="208" t="str">
        <f t="shared" si="80"/>
        <v>Aucune</v>
      </c>
      <c r="BH82" s="208" t="str">
        <f t="shared" si="81"/>
        <v>Aucune</v>
      </c>
      <c r="BI82" s="208" t="str">
        <f t="shared" si="82"/>
        <v>Aucune</v>
      </c>
      <c r="BJ82" s="208" t="str">
        <f t="shared" si="74"/>
        <v>NON</v>
      </c>
      <c r="BK82" s="208" t="str">
        <f t="shared" si="83"/>
        <v>NON</v>
      </c>
      <c r="BL82" s="208" t="str">
        <f t="shared" si="75"/>
        <v>Inconnu</v>
      </c>
      <c r="BM82" s="208" t="str">
        <f t="shared" si="92"/>
        <v>Inconnu</v>
      </c>
      <c r="BN82" s="208" t="str">
        <f t="shared" si="93"/>
        <v>Inconnu</v>
      </c>
      <c r="BO82" s="208" t="str">
        <f t="shared" si="76"/>
        <v>Inconnu</v>
      </c>
      <c r="BP82" s="208" t="str">
        <f t="shared" si="94"/>
        <v>Inconnu</v>
      </c>
      <c r="BQ82" s="208" t="str">
        <f t="shared" si="95"/>
        <v>Inconnu</v>
      </c>
      <c r="BR82" s="208" t="str">
        <f t="shared" si="96"/>
        <v>Aucune</v>
      </c>
      <c r="BS82" s="208">
        <f t="shared" si="84"/>
        <v>0</v>
      </c>
      <c r="BT82" s="229" t="e">
        <f>VLOOKUP($I82,Lieu_Activité!$A:$B,2,FALSE)</f>
        <v>#N/A</v>
      </c>
      <c r="BU82" s="208" t="str">
        <f t="shared" si="85"/>
        <v>Aucun</v>
      </c>
      <c r="BV82" s="208" t="str">
        <f t="shared" si="86"/>
        <v>Aucun</v>
      </c>
      <c r="BW82" s="207" t="str">
        <f t="shared" si="77"/>
        <v>NON</v>
      </c>
      <c r="BX82" s="288"/>
    </row>
    <row r="83" spans="1:76" ht="12.95" customHeight="1" x14ac:dyDescent="0.25">
      <c r="A83" s="226" t="s">
        <v>209</v>
      </c>
      <c r="B83" s="234"/>
      <c r="C83" s="227"/>
      <c r="D83" s="257"/>
      <c r="E83" s="278">
        <f t="shared" si="73"/>
        <v>0</v>
      </c>
      <c r="F83" s="278" t="str">
        <f t="shared" si="87"/>
        <v xml:space="preserve"> </v>
      </c>
      <c r="G83" s="256"/>
      <c r="H83" s="256"/>
      <c r="I83" s="256"/>
      <c r="J83" s="256"/>
      <c r="K83" s="256"/>
      <c r="L83" s="257"/>
      <c r="M83" s="243"/>
      <c r="N83" s="232"/>
      <c r="O83" s="232"/>
      <c r="P83" s="265" t="str">
        <f>IFERROR(VLOOKUP(O83,Références!$K$11:$N$19,2)," ")</f>
        <v xml:space="preserve"> </v>
      </c>
      <c r="Q83" s="265" t="str">
        <f>IFERROR(VLOOKUP(O83,Références!$K$11:$N$19,3)," ")</f>
        <v xml:space="preserve"> </v>
      </c>
      <c r="R83" s="265" t="str">
        <f>IFERROR(VLOOKUP(O83,Références!$K$11:$N$19,4)," ")</f>
        <v xml:space="preserve"> </v>
      </c>
      <c r="S83" s="256"/>
      <c r="T83" s="256"/>
      <c r="U83" s="256"/>
      <c r="V83" s="256"/>
      <c r="W83" s="256"/>
      <c r="X83" s="257"/>
      <c r="Y83" s="256"/>
      <c r="Z83" s="256"/>
      <c r="AA83" s="256"/>
      <c r="AB83" s="235"/>
      <c r="AC83" s="235"/>
      <c r="AD83" s="235"/>
      <c r="AE83" s="235"/>
      <c r="AF83" s="235"/>
      <c r="AG83" s="235"/>
      <c r="AH83" s="235"/>
      <c r="AI83" s="235">
        <f t="shared" si="64"/>
        <v>0</v>
      </c>
      <c r="AJ83" s="257"/>
      <c r="AK83" s="256">
        <f>(AJ83-L83)</f>
        <v>0</v>
      </c>
      <c r="AL83" s="257"/>
      <c r="AM83" s="266">
        <f>(AL83-L83)</f>
        <v>0</v>
      </c>
      <c r="AN83" s="256"/>
      <c r="AO83" s="276"/>
      <c r="AP83" s="261" t="str">
        <f t="shared" si="88"/>
        <v xml:space="preserve"> </v>
      </c>
      <c r="AQ83" s="256"/>
      <c r="AR83" s="295"/>
      <c r="AS83" s="295"/>
      <c r="AT83" s="263"/>
      <c r="AU83" s="277"/>
      <c r="AV83" s="263"/>
      <c r="AW83" s="230"/>
      <c r="AX83" s="300"/>
      <c r="AY83" s="301"/>
      <c r="AZ83" s="230"/>
      <c r="BA83" s="300" t="s">
        <v>234</v>
      </c>
      <c r="BB83" s="295"/>
      <c r="BC83" s="228">
        <f t="shared" si="90"/>
        <v>0</v>
      </c>
      <c r="BD83" s="228">
        <f t="shared" si="91"/>
        <v>0</v>
      </c>
      <c r="BE83" s="228">
        <f t="shared" si="79"/>
        <v>1</v>
      </c>
      <c r="BF83" s="228" t="str">
        <f t="shared" si="89"/>
        <v>ALIVE</v>
      </c>
      <c r="BG83" s="208" t="str">
        <f t="shared" si="80"/>
        <v>Aucune</v>
      </c>
      <c r="BH83" s="208" t="str">
        <f t="shared" si="81"/>
        <v>Aucune</v>
      </c>
      <c r="BI83" s="208" t="str">
        <f t="shared" si="82"/>
        <v>Aucune</v>
      </c>
      <c r="BJ83" s="208" t="str">
        <f t="shared" si="74"/>
        <v>NON</v>
      </c>
      <c r="BK83" s="208" t="str">
        <f t="shared" si="83"/>
        <v>NON</v>
      </c>
      <c r="BL83" s="208" t="str">
        <f t="shared" si="75"/>
        <v>Inconnu</v>
      </c>
      <c r="BM83" s="208" t="str">
        <f t="shared" si="92"/>
        <v>Inconnu</v>
      </c>
      <c r="BN83" s="208" t="str">
        <f t="shared" si="93"/>
        <v>Inconnu</v>
      </c>
      <c r="BO83" s="208" t="str">
        <f t="shared" si="76"/>
        <v>Inconnu</v>
      </c>
      <c r="BP83" s="208" t="str">
        <f t="shared" si="94"/>
        <v>Inconnu</v>
      </c>
      <c r="BQ83" s="208" t="str">
        <f t="shared" si="95"/>
        <v>Inconnu</v>
      </c>
      <c r="BR83" s="208" t="str">
        <f t="shared" si="96"/>
        <v>Aucune</v>
      </c>
      <c r="BS83" s="208">
        <f t="shared" si="84"/>
        <v>0</v>
      </c>
      <c r="BT83" s="229" t="e">
        <f>VLOOKUP($I83,Lieu_Activité!$A:$B,2,FALSE)</f>
        <v>#N/A</v>
      </c>
      <c r="BU83" s="208" t="str">
        <f t="shared" si="85"/>
        <v>Aucun</v>
      </c>
      <c r="BV83" s="208" t="str">
        <f t="shared" si="86"/>
        <v>Aucun</v>
      </c>
      <c r="BW83" s="207" t="str">
        <f t="shared" si="77"/>
        <v>NON</v>
      </c>
      <c r="BX83" s="288"/>
    </row>
    <row r="84" spans="1:76" ht="12.95" customHeight="1" x14ac:dyDescent="0.25">
      <c r="A84" s="226" t="s">
        <v>209</v>
      </c>
      <c r="B84" s="234"/>
      <c r="C84" s="227"/>
      <c r="D84" s="257"/>
      <c r="E84" s="278">
        <f t="shared" si="73"/>
        <v>0</v>
      </c>
      <c r="F84" s="278" t="str">
        <f t="shared" si="87"/>
        <v xml:space="preserve"> </v>
      </c>
      <c r="G84" s="256"/>
      <c r="H84" s="256"/>
      <c r="I84" s="256"/>
      <c r="J84" s="256"/>
      <c r="K84" s="256"/>
      <c r="L84" s="257"/>
      <c r="M84" s="243"/>
      <c r="N84" s="232"/>
      <c r="O84" s="232"/>
      <c r="P84" s="265" t="str">
        <f>IFERROR(VLOOKUP(O84,Références!$K$11:$N$19,2)," ")</f>
        <v xml:space="preserve"> </v>
      </c>
      <c r="Q84" s="265" t="str">
        <f>IFERROR(VLOOKUP(O84,Références!$K$11:$N$19,3)," ")</f>
        <v xml:space="preserve"> </v>
      </c>
      <c r="R84" s="265" t="str">
        <f>IFERROR(VLOOKUP(O84,Références!$K$11:$N$19,4)," ")</f>
        <v xml:space="preserve"> </v>
      </c>
      <c r="S84" s="256"/>
      <c r="T84" s="256"/>
      <c r="U84" s="256"/>
      <c r="V84" s="256"/>
      <c r="W84" s="256"/>
      <c r="X84" s="257"/>
      <c r="Y84" s="256"/>
      <c r="Z84" s="256"/>
      <c r="AA84" s="256"/>
      <c r="AB84" s="235"/>
      <c r="AC84" s="235"/>
      <c r="AD84" s="235"/>
      <c r="AE84" s="235"/>
      <c r="AF84" s="235"/>
      <c r="AG84" s="235"/>
      <c r="AH84" s="235"/>
      <c r="AI84" s="235">
        <f t="shared" si="64"/>
        <v>0</v>
      </c>
      <c r="AJ84" s="257"/>
      <c r="AK84" s="256">
        <f>(AJ84-L84)</f>
        <v>0</v>
      </c>
      <c r="AL84" s="257"/>
      <c r="AM84" s="266">
        <f>(AL84-L84)</f>
        <v>0</v>
      </c>
      <c r="AN84" s="256"/>
      <c r="AO84" s="276"/>
      <c r="AP84" s="261" t="str">
        <f t="shared" si="88"/>
        <v xml:space="preserve"> </v>
      </c>
      <c r="AQ84" s="256"/>
      <c r="AR84" s="295"/>
      <c r="AS84" s="295"/>
      <c r="AT84" s="263"/>
      <c r="AU84" s="277"/>
      <c r="AV84" s="263"/>
      <c r="AW84" s="230"/>
      <c r="AX84" s="300"/>
      <c r="AY84" s="301"/>
      <c r="AZ84" s="230"/>
      <c r="BA84" s="300" t="s">
        <v>234</v>
      </c>
      <c r="BB84" s="295"/>
      <c r="BC84" s="228">
        <f t="shared" si="90"/>
        <v>0</v>
      </c>
      <c r="BD84" s="228">
        <f t="shared" si="91"/>
        <v>0</v>
      </c>
      <c r="BE84" s="228">
        <f t="shared" si="79"/>
        <v>1</v>
      </c>
      <c r="BF84" s="228" t="str">
        <f t="shared" si="89"/>
        <v>ALIVE</v>
      </c>
      <c r="BG84" s="208" t="str">
        <f t="shared" si="80"/>
        <v>Aucune</v>
      </c>
      <c r="BH84" s="208" t="str">
        <f t="shared" si="81"/>
        <v>Aucune</v>
      </c>
      <c r="BI84" s="208" t="str">
        <f t="shared" si="82"/>
        <v>Aucune</v>
      </c>
      <c r="BJ84" s="208" t="str">
        <f t="shared" si="74"/>
        <v>NON</v>
      </c>
      <c r="BK84" s="208" t="str">
        <f t="shared" si="83"/>
        <v>NON</v>
      </c>
      <c r="BL84" s="208" t="str">
        <f t="shared" si="75"/>
        <v>Inconnu</v>
      </c>
      <c r="BM84" s="208" t="str">
        <f t="shared" si="92"/>
        <v>Inconnu</v>
      </c>
      <c r="BN84" s="208" t="str">
        <f t="shared" si="93"/>
        <v>Inconnu</v>
      </c>
      <c r="BO84" s="208" t="str">
        <f t="shared" si="76"/>
        <v>Inconnu</v>
      </c>
      <c r="BP84" s="208" t="str">
        <f t="shared" si="94"/>
        <v>Inconnu</v>
      </c>
      <c r="BQ84" s="208" t="str">
        <f t="shared" si="95"/>
        <v>Inconnu</v>
      </c>
      <c r="BR84" s="208" t="str">
        <f t="shared" si="96"/>
        <v>Aucune</v>
      </c>
      <c r="BS84" s="208">
        <f t="shared" si="84"/>
        <v>0</v>
      </c>
      <c r="BT84" s="229" t="e">
        <f>VLOOKUP($I84,Lieu_Activité!$A:$B,2,FALSE)</f>
        <v>#N/A</v>
      </c>
      <c r="BU84" s="208" t="str">
        <f t="shared" si="85"/>
        <v>Aucun</v>
      </c>
      <c r="BV84" s="208" t="str">
        <f t="shared" si="86"/>
        <v>Aucun</v>
      </c>
      <c r="BW84" s="207" t="str">
        <f t="shared" si="77"/>
        <v>NON</v>
      </c>
      <c r="BX84" s="288"/>
    </row>
    <row r="85" spans="1:76" ht="12.95" customHeight="1" x14ac:dyDescent="0.25">
      <c r="A85" s="226" t="s">
        <v>209</v>
      </c>
      <c r="B85" s="234"/>
      <c r="C85" s="227"/>
      <c r="D85" s="257"/>
      <c r="E85" s="278">
        <f t="shared" si="73"/>
        <v>0</v>
      </c>
      <c r="F85" s="278" t="str">
        <f t="shared" si="87"/>
        <v xml:space="preserve"> </v>
      </c>
      <c r="G85" s="256"/>
      <c r="H85" s="256"/>
      <c r="I85" s="256"/>
      <c r="J85" s="256"/>
      <c r="K85" s="256"/>
      <c r="L85" s="257"/>
      <c r="M85" s="243"/>
      <c r="N85" s="232"/>
      <c r="O85" s="232"/>
      <c r="P85" s="265" t="str">
        <f>IFERROR(VLOOKUP(O85,Références!$K$11:$N$19,2)," ")</f>
        <v xml:space="preserve"> </v>
      </c>
      <c r="Q85" s="265" t="str">
        <f>IFERROR(VLOOKUP(O85,Références!$K$11:$N$19,3)," ")</f>
        <v xml:space="preserve"> </v>
      </c>
      <c r="R85" s="265" t="str">
        <f>IFERROR(VLOOKUP(O85,Références!$K$11:$N$19,4)," ")</f>
        <v xml:space="preserve"> </v>
      </c>
      <c r="S85" s="256"/>
      <c r="T85" s="256"/>
      <c r="U85" s="256"/>
      <c r="V85" s="256"/>
      <c r="W85" s="256"/>
      <c r="X85" s="257"/>
      <c r="Y85" s="256"/>
      <c r="Z85" s="256"/>
      <c r="AA85" s="256"/>
      <c r="AB85" s="235"/>
      <c r="AC85" s="235"/>
      <c r="AD85" s="274"/>
      <c r="AE85" s="235"/>
      <c r="AF85" s="235"/>
      <c r="AG85" s="235"/>
      <c r="AH85" s="235"/>
      <c r="AI85" s="235">
        <f t="shared" si="64"/>
        <v>0</v>
      </c>
      <c r="AJ85" s="257"/>
      <c r="AK85" s="256">
        <f>(AJ85-L85)</f>
        <v>0</v>
      </c>
      <c r="AL85" s="257"/>
      <c r="AM85" s="266">
        <f>(AL85-L85)</f>
        <v>0</v>
      </c>
      <c r="AN85" s="256"/>
      <c r="AO85" s="276"/>
      <c r="AP85" s="261" t="str">
        <f t="shared" si="88"/>
        <v xml:space="preserve"> </v>
      </c>
      <c r="AQ85" s="256"/>
      <c r="AR85" s="295"/>
      <c r="AS85" s="295"/>
      <c r="AT85" s="263"/>
      <c r="AU85" s="277"/>
      <c r="AV85" s="263"/>
      <c r="AW85" s="230"/>
      <c r="AX85" s="300"/>
      <c r="AY85" s="301"/>
      <c r="AZ85" s="230"/>
      <c r="BA85" s="300" t="s">
        <v>234</v>
      </c>
      <c r="BB85" s="295"/>
      <c r="BC85" s="228">
        <f t="shared" si="90"/>
        <v>0</v>
      </c>
      <c r="BD85" s="228">
        <f t="shared" si="91"/>
        <v>0</v>
      </c>
      <c r="BE85" s="228">
        <f t="shared" si="79"/>
        <v>1</v>
      </c>
      <c r="BF85" s="228" t="str">
        <f t="shared" si="89"/>
        <v>ALIVE</v>
      </c>
      <c r="BG85" s="208" t="str">
        <f t="shared" si="80"/>
        <v>Aucune</v>
      </c>
      <c r="BH85" s="208" t="str">
        <f t="shared" si="81"/>
        <v>Aucune</v>
      </c>
      <c r="BI85" s="208" t="str">
        <f t="shared" si="82"/>
        <v>Aucune</v>
      </c>
      <c r="BJ85" s="208" t="str">
        <f t="shared" si="74"/>
        <v>NON</v>
      </c>
      <c r="BK85" s="208" t="str">
        <f t="shared" si="83"/>
        <v>NON</v>
      </c>
      <c r="BL85" s="208" t="str">
        <f t="shared" si="75"/>
        <v>Inconnu</v>
      </c>
      <c r="BM85" s="208" t="str">
        <f t="shared" si="92"/>
        <v>Inconnu</v>
      </c>
      <c r="BN85" s="208" t="str">
        <f t="shared" si="93"/>
        <v>Inconnu</v>
      </c>
      <c r="BO85" s="208" t="str">
        <f t="shared" si="76"/>
        <v>Inconnu</v>
      </c>
      <c r="BP85" s="208" t="str">
        <f t="shared" si="94"/>
        <v>Inconnu</v>
      </c>
      <c r="BQ85" s="208" t="str">
        <f t="shared" si="95"/>
        <v>Inconnu</v>
      </c>
      <c r="BR85" s="208" t="str">
        <f t="shared" si="96"/>
        <v>Aucune</v>
      </c>
      <c r="BS85" s="208">
        <f t="shared" si="84"/>
        <v>0</v>
      </c>
      <c r="BT85" s="229" t="e">
        <f>VLOOKUP($I85,Lieu_Activité!$A:$B,2,FALSE)</f>
        <v>#N/A</v>
      </c>
      <c r="BU85" s="208" t="str">
        <f t="shared" si="85"/>
        <v>Aucun</v>
      </c>
      <c r="BV85" s="208" t="str">
        <f t="shared" si="86"/>
        <v>Aucun</v>
      </c>
      <c r="BW85" s="207" t="str">
        <f t="shared" si="77"/>
        <v>NON</v>
      </c>
      <c r="BX85" s="288"/>
    </row>
    <row r="86" spans="1:76" ht="12.95" customHeight="1" x14ac:dyDescent="0.25">
      <c r="A86" s="226" t="s">
        <v>209</v>
      </c>
      <c r="B86" s="234"/>
      <c r="C86" s="227"/>
      <c r="D86" s="257"/>
      <c r="E86" s="278">
        <f t="shared" si="73"/>
        <v>0</v>
      </c>
      <c r="F86" s="278" t="str">
        <f t="shared" si="87"/>
        <v xml:space="preserve"> </v>
      </c>
      <c r="G86" s="256"/>
      <c r="H86" s="256"/>
      <c r="I86" s="256"/>
      <c r="J86" s="256"/>
      <c r="K86" s="256"/>
      <c r="L86" s="257"/>
      <c r="M86" s="243"/>
      <c r="N86" s="232"/>
      <c r="O86" s="232"/>
      <c r="P86" s="265" t="str">
        <f>IFERROR(VLOOKUP(O86,Références!$K$11:$N$19,2)," ")</f>
        <v xml:space="preserve"> </v>
      </c>
      <c r="Q86" s="265" t="str">
        <f>IFERROR(VLOOKUP(O86,Références!$K$11:$N$19,3)," ")</f>
        <v xml:space="preserve"> </v>
      </c>
      <c r="R86" s="265" t="str">
        <f>IFERROR(VLOOKUP(O86,Références!$K$11:$N$19,4)," ")</f>
        <v xml:space="preserve"> </v>
      </c>
      <c r="S86" s="256"/>
      <c r="T86" s="256"/>
      <c r="U86" s="256"/>
      <c r="V86" s="256"/>
      <c r="W86" s="256"/>
      <c r="X86" s="257"/>
      <c r="Y86" s="256"/>
      <c r="Z86" s="256"/>
      <c r="AA86" s="256"/>
      <c r="AB86" s="235"/>
      <c r="AC86" s="235"/>
      <c r="AD86" s="235"/>
      <c r="AE86" s="235"/>
      <c r="AF86" s="235"/>
      <c r="AG86" s="235"/>
      <c r="AH86" s="235"/>
      <c r="AI86" s="235">
        <f t="shared" si="64"/>
        <v>0</v>
      </c>
      <c r="AJ86" s="257"/>
      <c r="AK86" s="256">
        <f t="shared" si="78"/>
        <v>0</v>
      </c>
      <c r="AL86" s="257"/>
      <c r="AM86" s="266">
        <f t="shared" si="72"/>
        <v>0</v>
      </c>
      <c r="AN86" s="256"/>
      <c r="AO86" s="276"/>
      <c r="AP86" s="261" t="str">
        <f t="shared" si="88"/>
        <v xml:space="preserve"> </v>
      </c>
      <c r="AQ86" s="256"/>
      <c r="AR86" s="295"/>
      <c r="AS86" s="295"/>
      <c r="AT86" s="263"/>
      <c r="AU86" s="277"/>
      <c r="AV86" s="263"/>
      <c r="AW86" s="230"/>
      <c r="AX86" s="300"/>
      <c r="AY86" s="301"/>
      <c r="AZ86" s="230"/>
      <c r="BA86" s="300" t="s">
        <v>234</v>
      </c>
      <c r="BB86" s="295"/>
      <c r="BC86" s="228">
        <f t="shared" si="90"/>
        <v>0</v>
      </c>
      <c r="BD86" s="228">
        <f t="shared" si="91"/>
        <v>0</v>
      </c>
      <c r="BE86" s="228">
        <f t="shared" si="79"/>
        <v>1</v>
      </c>
      <c r="BF86" s="228" t="str">
        <f t="shared" si="89"/>
        <v>ALIVE</v>
      </c>
      <c r="BG86" s="208" t="str">
        <f t="shared" si="80"/>
        <v>Aucune</v>
      </c>
      <c r="BH86" s="208" t="str">
        <f t="shared" si="81"/>
        <v>Aucune</v>
      </c>
      <c r="BI86" s="208" t="str">
        <f t="shared" si="82"/>
        <v>Aucune</v>
      </c>
      <c r="BJ86" s="208" t="str">
        <f t="shared" si="74"/>
        <v>NON</v>
      </c>
      <c r="BK86" s="208" t="str">
        <f t="shared" si="83"/>
        <v>NON</v>
      </c>
      <c r="BL86" s="208" t="str">
        <f t="shared" si="75"/>
        <v>Inconnu</v>
      </c>
      <c r="BM86" s="208" t="str">
        <f t="shared" si="92"/>
        <v>Inconnu</v>
      </c>
      <c r="BN86" s="208" t="str">
        <f t="shared" si="93"/>
        <v>Inconnu</v>
      </c>
      <c r="BO86" s="208" t="str">
        <f t="shared" si="76"/>
        <v>Inconnu</v>
      </c>
      <c r="BP86" s="208" t="str">
        <f t="shared" si="94"/>
        <v>Inconnu</v>
      </c>
      <c r="BQ86" s="208" t="str">
        <f t="shared" si="95"/>
        <v>Inconnu</v>
      </c>
      <c r="BR86" s="208" t="str">
        <f t="shared" si="96"/>
        <v>Aucune</v>
      </c>
      <c r="BS86" s="208">
        <f t="shared" si="84"/>
        <v>0</v>
      </c>
      <c r="BT86" s="229" t="e">
        <f>VLOOKUP($I86,Lieu_Activité!$A:$B,2,FALSE)</f>
        <v>#N/A</v>
      </c>
      <c r="BU86" s="208" t="str">
        <f t="shared" si="85"/>
        <v>Aucun</v>
      </c>
      <c r="BV86" s="208" t="str">
        <f t="shared" si="86"/>
        <v>Aucun</v>
      </c>
      <c r="BW86" s="207" t="str">
        <f t="shared" si="77"/>
        <v>NON</v>
      </c>
      <c r="BX86" s="288"/>
    </row>
    <row r="87" spans="1:76" ht="12.95" customHeight="1" x14ac:dyDescent="0.25">
      <c r="A87" s="226" t="s">
        <v>209</v>
      </c>
      <c r="B87" s="234"/>
      <c r="C87" s="227"/>
      <c r="D87" s="257"/>
      <c r="E87" s="278">
        <f t="shared" si="73"/>
        <v>0</v>
      </c>
      <c r="F87" s="278" t="str">
        <f t="shared" si="87"/>
        <v xml:space="preserve"> </v>
      </c>
      <c r="G87" s="256"/>
      <c r="H87" s="256"/>
      <c r="I87" s="256"/>
      <c r="J87" s="256"/>
      <c r="K87" s="256"/>
      <c r="L87" s="257"/>
      <c r="M87" s="243"/>
      <c r="N87" s="232"/>
      <c r="O87" s="232"/>
      <c r="P87" s="265" t="str">
        <f>IFERROR(VLOOKUP(O87,Références!$K$11:$N$19,2)," ")</f>
        <v xml:space="preserve"> </v>
      </c>
      <c r="Q87" s="265" t="str">
        <f>IFERROR(VLOOKUP(O87,Références!$K$11:$N$19,3)," ")</f>
        <v xml:space="preserve"> </v>
      </c>
      <c r="R87" s="265" t="str">
        <f>IFERROR(VLOOKUP(O87,Références!$K$11:$N$19,4)," ")</f>
        <v xml:space="preserve"> </v>
      </c>
      <c r="S87" s="256"/>
      <c r="T87" s="256"/>
      <c r="U87" s="256"/>
      <c r="V87" s="256"/>
      <c r="W87" s="256"/>
      <c r="X87" s="257"/>
      <c r="Y87" s="256"/>
      <c r="Z87" s="256"/>
      <c r="AA87" s="256"/>
      <c r="AB87" s="235"/>
      <c r="AC87" s="235"/>
      <c r="AD87" s="235"/>
      <c r="AE87" s="235"/>
      <c r="AF87" s="235"/>
      <c r="AG87" s="235"/>
      <c r="AH87" s="235"/>
      <c r="AI87" s="235">
        <f t="shared" si="64"/>
        <v>0</v>
      </c>
      <c r="AJ87" s="257"/>
      <c r="AK87" s="256">
        <f t="shared" ref="AK87:AK92" si="97">(AJ87-L87)</f>
        <v>0</v>
      </c>
      <c r="AL87" s="257"/>
      <c r="AM87" s="266">
        <f t="shared" ref="AM87:AM92" si="98">(AL87-L87)</f>
        <v>0</v>
      </c>
      <c r="AN87" s="256"/>
      <c r="AO87" s="276"/>
      <c r="AP87" s="261" t="str">
        <f t="shared" si="88"/>
        <v xml:space="preserve"> </v>
      </c>
      <c r="AQ87" s="256"/>
      <c r="AR87" s="295"/>
      <c r="AS87" s="295"/>
      <c r="AT87" s="263"/>
      <c r="AU87" s="277"/>
      <c r="AV87" s="263"/>
      <c r="AW87" s="230"/>
      <c r="AX87" s="300"/>
      <c r="AY87" s="301"/>
      <c r="AZ87" s="230"/>
      <c r="BA87" s="300" t="s">
        <v>234</v>
      </c>
      <c r="BB87" s="295"/>
      <c r="BC87" s="228">
        <f t="shared" si="90"/>
        <v>0</v>
      </c>
      <c r="BD87" s="228">
        <f t="shared" si="91"/>
        <v>0</v>
      </c>
      <c r="BE87" s="228">
        <f t="shared" si="79"/>
        <v>1</v>
      </c>
      <c r="BF87" s="228" t="str">
        <f t="shared" si="89"/>
        <v>ALIVE</v>
      </c>
      <c r="BG87" s="208" t="str">
        <f t="shared" si="80"/>
        <v>Aucune</v>
      </c>
      <c r="BH87" s="208" t="str">
        <f t="shared" si="81"/>
        <v>Aucune</v>
      </c>
      <c r="BI87" s="208" t="str">
        <f t="shared" si="82"/>
        <v>Aucune</v>
      </c>
      <c r="BJ87" s="208" t="str">
        <f t="shared" si="74"/>
        <v>NON</v>
      </c>
      <c r="BK87" s="208" t="str">
        <f t="shared" si="83"/>
        <v>NON</v>
      </c>
      <c r="BL87" s="208" t="str">
        <f t="shared" si="75"/>
        <v>Inconnu</v>
      </c>
      <c r="BM87" s="208" t="str">
        <f t="shared" si="92"/>
        <v>Inconnu</v>
      </c>
      <c r="BN87" s="208" t="str">
        <f t="shared" si="93"/>
        <v>Inconnu</v>
      </c>
      <c r="BO87" s="208" t="str">
        <f t="shared" si="76"/>
        <v>Inconnu</v>
      </c>
      <c r="BP87" s="208" t="str">
        <f t="shared" si="94"/>
        <v>Inconnu</v>
      </c>
      <c r="BQ87" s="208" t="str">
        <f t="shared" si="95"/>
        <v>Inconnu</v>
      </c>
      <c r="BR87" s="208" t="str">
        <f t="shared" si="96"/>
        <v>Aucune</v>
      </c>
      <c r="BS87" s="208">
        <f t="shared" si="84"/>
        <v>0</v>
      </c>
      <c r="BT87" s="229" t="e">
        <f>VLOOKUP($I87,Lieu_Activité!$A:$B,2,FALSE)</f>
        <v>#N/A</v>
      </c>
      <c r="BU87" s="208" t="str">
        <f t="shared" si="85"/>
        <v>Aucun</v>
      </c>
      <c r="BV87" s="208" t="str">
        <f t="shared" si="86"/>
        <v>Aucun</v>
      </c>
      <c r="BW87" s="207" t="str">
        <f t="shared" si="77"/>
        <v>NON</v>
      </c>
      <c r="BX87" s="288"/>
    </row>
    <row r="88" spans="1:76" ht="12.95" customHeight="1" x14ac:dyDescent="0.25">
      <c r="A88" s="231" t="s">
        <v>210</v>
      </c>
      <c r="B88" s="234"/>
      <c r="C88" s="227"/>
      <c r="D88" s="257"/>
      <c r="E88" s="278">
        <f t="shared" ref="E88:E113" si="99">(L88-D88)/365</f>
        <v>0</v>
      </c>
      <c r="F88" s="278" t="str">
        <f t="shared" si="87"/>
        <v xml:space="preserve"> </v>
      </c>
      <c r="G88" s="256"/>
      <c r="H88" s="256"/>
      <c r="I88" s="256"/>
      <c r="J88" s="256"/>
      <c r="K88" s="256"/>
      <c r="L88" s="257"/>
      <c r="M88" s="243"/>
      <c r="N88" s="232"/>
      <c r="O88" s="232"/>
      <c r="P88" s="265" t="str">
        <f>IFERROR(VLOOKUP(O88,Références!$K$11:$N$19,2)," ")</f>
        <v xml:space="preserve"> </v>
      </c>
      <c r="Q88" s="265" t="str">
        <f>IFERROR(VLOOKUP(O88,Références!$K$11:$N$19,3)," ")</f>
        <v xml:space="preserve"> </v>
      </c>
      <c r="R88" s="265" t="str">
        <f>IFERROR(VLOOKUP(O88,Références!$K$11:$N$19,4)," ")</f>
        <v xml:space="preserve"> </v>
      </c>
      <c r="S88" s="256"/>
      <c r="T88" s="256"/>
      <c r="U88" s="256"/>
      <c r="V88" s="256"/>
      <c r="W88" s="256"/>
      <c r="X88" s="257"/>
      <c r="Y88" s="256"/>
      <c r="Z88" s="256"/>
      <c r="AA88" s="256"/>
      <c r="AB88" s="235"/>
      <c r="AC88" s="235"/>
      <c r="AD88" s="235"/>
      <c r="AE88" s="235"/>
      <c r="AF88" s="235"/>
      <c r="AG88" s="235"/>
      <c r="AH88" s="235"/>
      <c r="AI88" s="235">
        <f t="shared" si="64"/>
        <v>0</v>
      </c>
      <c r="AJ88" s="257"/>
      <c r="AK88" s="256">
        <f t="shared" si="97"/>
        <v>0</v>
      </c>
      <c r="AL88" s="257"/>
      <c r="AM88" s="266">
        <f t="shared" si="98"/>
        <v>0</v>
      </c>
      <c r="AN88" s="256"/>
      <c r="AO88" s="276"/>
      <c r="AP88" s="261" t="str">
        <f t="shared" si="88"/>
        <v xml:space="preserve"> </v>
      </c>
      <c r="AQ88" s="256"/>
      <c r="AR88" s="295"/>
      <c r="AS88" s="295"/>
      <c r="AT88" s="263"/>
      <c r="AU88" s="277"/>
      <c r="AV88" s="263"/>
      <c r="AW88" s="230"/>
      <c r="AX88" s="300"/>
      <c r="AY88" s="301"/>
      <c r="AZ88" s="230"/>
      <c r="BA88" s="300" t="s">
        <v>234</v>
      </c>
      <c r="BB88" s="295"/>
      <c r="BC88" s="228">
        <f t="shared" si="90"/>
        <v>0</v>
      </c>
      <c r="BD88" s="228">
        <f t="shared" si="91"/>
        <v>0</v>
      </c>
      <c r="BE88" s="228">
        <f t="shared" si="79"/>
        <v>1</v>
      </c>
      <c r="BF88" s="228" t="str">
        <f t="shared" si="89"/>
        <v>ALIVE</v>
      </c>
      <c r="BG88" s="208" t="str">
        <f t="shared" si="80"/>
        <v>Aucune</v>
      </c>
      <c r="BH88" s="208" t="str">
        <f t="shared" si="81"/>
        <v>Aucune</v>
      </c>
      <c r="BI88" s="208" t="str">
        <f t="shared" si="82"/>
        <v>Aucune</v>
      </c>
      <c r="BJ88" s="208" t="str">
        <f t="shared" ref="BJ88:BJ119" si="100">IF(X88&lt;&gt;"",IF(X88-L88&lt;2,"OUI","NON"),"NON")</f>
        <v>NON</v>
      </c>
      <c r="BK88" s="208" t="str">
        <f t="shared" si="83"/>
        <v>NON</v>
      </c>
      <c r="BL88" s="208" t="str">
        <f t="shared" ref="BL88:BL119" si="101">IF(AL88-L88&gt;0,AL88-L88,"Inconnu")</f>
        <v>Inconnu</v>
      </c>
      <c r="BM88" s="208" t="str">
        <f t="shared" si="92"/>
        <v>Inconnu</v>
      </c>
      <c r="BN88" s="208" t="str">
        <f t="shared" si="93"/>
        <v>Inconnu</v>
      </c>
      <c r="BO88" s="208" t="str">
        <f t="shared" ref="BO88:BO119" si="102">IF(AJ88-L88&gt;0,AJ88-L88,"Inconnu")</f>
        <v>Inconnu</v>
      </c>
      <c r="BP88" s="208" t="str">
        <f t="shared" si="94"/>
        <v>Inconnu</v>
      </c>
      <c r="BQ88" s="208" t="str">
        <f t="shared" si="95"/>
        <v>Inconnu</v>
      </c>
      <c r="BR88" s="208" t="str">
        <f t="shared" si="96"/>
        <v>Aucune</v>
      </c>
      <c r="BS88" s="208">
        <f t="shared" si="84"/>
        <v>0</v>
      </c>
      <c r="BT88" s="229" t="e">
        <f>VLOOKUP($I88,Lieu_Activité!$A:$B,2,FALSE)</f>
        <v>#N/A</v>
      </c>
      <c r="BU88" s="208" t="str">
        <f t="shared" si="85"/>
        <v>Aucun</v>
      </c>
      <c r="BV88" s="208" t="str">
        <f t="shared" si="86"/>
        <v>Aucun</v>
      </c>
      <c r="BW88" s="207" t="str">
        <f t="shared" ref="BW88:BW119" si="103">IF(M88="","NON","OUI")</f>
        <v>NON</v>
      </c>
      <c r="BX88" s="288"/>
    </row>
    <row r="89" spans="1:76" ht="12.95" customHeight="1" x14ac:dyDescent="0.25">
      <c r="A89" s="231" t="s">
        <v>210</v>
      </c>
      <c r="B89" s="234"/>
      <c r="C89" s="227"/>
      <c r="D89" s="257"/>
      <c r="E89" s="278">
        <f t="shared" si="99"/>
        <v>0</v>
      </c>
      <c r="F89" s="278" t="str">
        <f t="shared" si="87"/>
        <v xml:space="preserve"> </v>
      </c>
      <c r="G89" s="256"/>
      <c r="H89" s="256"/>
      <c r="I89" s="256"/>
      <c r="J89" s="256"/>
      <c r="K89" s="256"/>
      <c r="L89" s="257"/>
      <c r="M89" s="243"/>
      <c r="N89" s="232"/>
      <c r="O89" s="232"/>
      <c r="P89" s="265" t="str">
        <f>IFERROR(VLOOKUP(O89,Références!$K$11:$N$19,2)," ")</f>
        <v xml:space="preserve"> </v>
      </c>
      <c r="Q89" s="265" t="str">
        <f>IFERROR(VLOOKUP(O89,Références!$K$11:$N$19,3)," ")</f>
        <v xml:space="preserve"> </v>
      </c>
      <c r="R89" s="265" t="str">
        <f>IFERROR(VLOOKUP(O89,Références!$K$11:$N$19,4)," ")</f>
        <v xml:space="preserve"> </v>
      </c>
      <c r="S89" s="256"/>
      <c r="T89" s="256"/>
      <c r="U89" s="256"/>
      <c r="V89" s="256"/>
      <c r="W89" s="256"/>
      <c r="X89" s="257"/>
      <c r="Y89" s="256"/>
      <c r="Z89" s="256"/>
      <c r="AA89" s="256"/>
      <c r="AB89" s="235"/>
      <c r="AC89" s="235"/>
      <c r="AD89" s="235"/>
      <c r="AE89" s="235"/>
      <c r="AF89" s="235"/>
      <c r="AG89" s="235"/>
      <c r="AH89" s="235"/>
      <c r="AI89" s="235">
        <f t="shared" si="64"/>
        <v>0</v>
      </c>
      <c r="AJ89" s="257"/>
      <c r="AK89" s="256">
        <f t="shared" si="97"/>
        <v>0</v>
      </c>
      <c r="AL89" s="257"/>
      <c r="AM89" s="266">
        <f t="shared" si="98"/>
        <v>0</v>
      </c>
      <c r="AN89" s="256"/>
      <c r="AO89" s="276"/>
      <c r="AP89" s="261" t="str">
        <f t="shared" si="88"/>
        <v xml:space="preserve"> </v>
      </c>
      <c r="AQ89" s="256"/>
      <c r="AR89" s="295"/>
      <c r="AS89" s="295"/>
      <c r="AT89" s="263"/>
      <c r="AU89" s="277"/>
      <c r="AV89" s="263"/>
      <c r="AW89" s="230"/>
      <c r="AX89" s="300"/>
      <c r="AY89" s="301"/>
      <c r="AZ89" s="230"/>
      <c r="BA89" s="300" t="s">
        <v>234</v>
      </c>
      <c r="BB89" s="295"/>
      <c r="BC89" s="228">
        <f t="shared" si="90"/>
        <v>0</v>
      </c>
      <c r="BD89" s="228">
        <f t="shared" si="91"/>
        <v>0</v>
      </c>
      <c r="BE89" s="228">
        <f t="shared" si="79"/>
        <v>1</v>
      </c>
      <c r="BF89" s="228" t="str">
        <f t="shared" si="89"/>
        <v>ALIVE</v>
      </c>
      <c r="BG89" s="208" t="str">
        <f t="shared" si="80"/>
        <v>Aucune</v>
      </c>
      <c r="BH89" s="208" t="str">
        <f t="shared" si="81"/>
        <v>Aucune</v>
      </c>
      <c r="BI89" s="208" t="str">
        <f t="shared" si="82"/>
        <v>Aucune</v>
      </c>
      <c r="BJ89" s="208" t="str">
        <f t="shared" si="100"/>
        <v>NON</v>
      </c>
      <c r="BK89" s="208" t="str">
        <f t="shared" si="83"/>
        <v>NON</v>
      </c>
      <c r="BL89" s="208" t="str">
        <f t="shared" si="101"/>
        <v>Inconnu</v>
      </c>
      <c r="BM89" s="208" t="str">
        <f t="shared" si="92"/>
        <v>Inconnu</v>
      </c>
      <c r="BN89" s="208" t="str">
        <f t="shared" si="93"/>
        <v>Inconnu</v>
      </c>
      <c r="BO89" s="208" t="str">
        <f t="shared" si="102"/>
        <v>Inconnu</v>
      </c>
      <c r="BP89" s="208" t="str">
        <f t="shared" si="94"/>
        <v>Inconnu</v>
      </c>
      <c r="BQ89" s="208" t="str">
        <f t="shared" si="95"/>
        <v>Inconnu</v>
      </c>
      <c r="BR89" s="208" t="str">
        <f t="shared" si="96"/>
        <v>Aucune</v>
      </c>
      <c r="BS89" s="208">
        <f t="shared" si="84"/>
        <v>0</v>
      </c>
      <c r="BT89" s="229" t="e">
        <f>VLOOKUP($I89,Lieu_Activité!$A:$B,2,FALSE)</f>
        <v>#N/A</v>
      </c>
      <c r="BU89" s="208" t="str">
        <f t="shared" si="85"/>
        <v>Aucun</v>
      </c>
      <c r="BV89" s="208" t="str">
        <f t="shared" si="86"/>
        <v>Aucun</v>
      </c>
      <c r="BW89" s="207" t="str">
        <f t="shared" si="103"/>
        <v>NON</v>
      </c>
      <c r="BX89" s="288"/>
    </row>
    <row r="90" spans="1:76" ht="12.95" customHeight="1" x14ac:dyDescent="0.25">
      <c r="A90" s="231" t="s">
        <v>210</v>
      </c>
      <c r="B90" s="234"/>
      <c r="C90" s="227"/>
      <c r="D90" s="257"/>
      <c r="E90" s="278">
        <f t="shared" si="99"/>
        <v>0</v>
      </c>
      <c r="F90" s="278" t="str">
        <f t="shared" si="87"/>
        <v xml:space="preserve"> </v>
      </c>
      <c r="G90" s="256"/>
      <c r="H90" s="256"/>
      <c r="I90" s="256"/>
      <c r="J90" s="256"/>
      <c r="K90" s="256"/>
      <c r="L90" s="257"/>
      <c r="M90" s="243"/>
      <c r="N90" s="232"/>
      <c r="O90" s="232"/>
      <c r="P90" s="265" t="str">
        <f>IFERROR(VLOOKUP(O90,Références!$K$11:$N$19,2)," ")</f>
        <v xml:space="preserve"> </v>
      </c>
      <c r="Q90" s="265" t="str">
        <f>IFERROR(VLOOKUP(O90,Références!$K$11:$N$19,3)," ")</f>
        <v xml:space="preserve"> </v>
      </c>
      <c r="R90" s="265" t="str">
        <f>IFERROR(VLOOKUP(O90,Références!$K$11:$N$19,4)," ")</f>
        <v xml:space="preserve"> </v>
      </c>
      <c r="S90" s="256"/>
      <c r="T90" s="256"/>
      <c r="U90" s="256"/>
      <c r="V90" s="256"/>
      <c r="W90" s="256"/>
      <c r="X90" s="257"/>
      <c r="Y90" s="256"/>
      <c r="Z90" s="256"/>
      <c r="AA90" s="256"/>
      <c r="AB90" s="235"/>
      <c r="AC90" s="235"/>
      <c r="AD90" s="235"/>
      <c r="AE90" s="235"/>
      <c r="AF90" s="235"/>
      <c r="AG90" s="235"/>
      <c r="AH90" s="235"/>
      <c r="AI90" s="235">
        <f t="shared" si="64"/>
        <v>0</v>
      </c>
      <c r="AJ90" s="257"/>
      <c r="AK90" s="256">
        <f t="shared" si="97"/>
        <v>0</v>
      </c>
      <c r="AL90" s="257"/>
      <c r="AM90" s="266">
        <f t="shared" si="98"/>
        <v>0</v>
      </c>
      <c r="AN90" s="256"/>
      <c r="AO90" s="276"/>
      <c r="AP90" s="261" t="str">
        <f t="shared" si="88"/>
        <v xml:space="preserve"> </v>
      </c>
      <c r="AQ90" s="256"/>
      <c r="AR90" s="295"/>
      <c r="AS90" s="295"/>
      <c r="AT90" s="263"/>
      <c r="AU90" s="277"/>
      <c r="AV90" s="263"/>
      <c r="AW90" s="230"/>
      <c r="AX90" s="300"/>
      <c r="AY90" s="301"/>
      <c r="AZ90" s="230"/>
      <c r="BA90" s="300" t="s">
        <v>234</v>
      </c>
      <c r="BB90" s="295"/>
      <c r="BC90" s="228">
        <f t="shared" si="90"/>
        <v>0</v>
      </c>
      <c r="BD90" s="228">
        <f t="shared" si="91"/>
        <v>0</v>
      </c>
      <c r="BE90" s="228">
        <f t="shared" si="79"/>
        <v>1</v>
      </c>
      <c r="BF90" s="228" t="str">
        <f t="shared" si="89"/>
        <v>ALIVE</v>
      </c>
      <c r="BG90" s="208" t="str">
        <f t="shared" si="80"/>
        <v>Aucune</v>
      </c>
      <c r="BH90" s="208" t="str">
        <f t="shared" si="81"/>
        <v>Aucune</v>
      </c>
      <c r="BI90" s="208" t="str">
        <f t="shared" si="82"/>
        <v>Aucune</v>
      </c>
      <c r="BJ90" s="208" t="str">
        <f t="shared" si="100"/>
        <v>NON</v>
      </c>
      <c r="BK90" s="208" t="str">
        <f t="shared" si="83"/>
        <v>NON</v>
      </c>
      <c r="BL90" s="208" t="str">
        <f t="shared" si="101"/>
        <v>Inconnu</v>
      </c>
      <c r="BM90" s="208" t="str">
        <f t="shared" si="92"/>
        <v>Inconnu</v>
      </c>
      <c r="BN90" s="208" t="str">
        <f t="shared" si="93"/>
        <v>Inconnu</v>
      </c>
      <c r="BO90" s="208" t="str">
        <f t="shared" si="102"/>
        <v>Inconnu</v>
      </c>
      <c r="BP90" s="208" t="str">
        <f t="shared" si="94"/>
        <v>Inconnu</v>
      </c>
      <c r="BQ90" s="208" t="str">
        <f t="shared" si="95"/>
        <v>Inconnu</v>
      </c>
      <c r="BR90" s="208" t="str">
        <f t="shared" si="96"/>
        <v>Aucune</v>
      </c>
      <c r="BS90" s="208">
        <f t="shared" si="84"/>
        <v>0</v>
      </c>
      <c r="BT90" s="229" t="e">
        <f>VLOOKUP($I90,Lieu_Activité!$A:$B,2,FALSE)</f>
        <v>#N/A</v>
      </c>
      <c r="BU90" s="208" t="str">
        <f t="shared" si="85"/>
        <v>Aucun</v>
      </c>
      <c r="BV90" s="208" t="str">
        <f t="shared" si="86"/>
        <v>Aucun</v>
      </c>
      <c r="BW90" s="207" t="str">
        <f t="shared" si="103"/>
        <v>NON</v>
      </c>
      <c r="BX90" s="288"/>
    </row>
    <row r="91" spans="1:76" ht="12.95" customHeight="1" x14ac:dyDescent="0.25">
      <c r="A91" s="231" t="s">
        <v>210</v>
      </c>
      <c r="B91" s="234"/>
      <c r="C91" s="227"/>
      <c r="D91" s="257"/>
      <c r="E91" s="278">
        <f t="shared" si="99"/>
        <v>0</v>
      </c>
      <c r="F91" s="278" t="str">
        <f t="shared" si="87"/>
        <v xml:space="preserve"> </v>
      </c>
      <c r="G91" s="256"/>
      <c r="H91" s="256"/>
      <c r="I91" s="256"/>
      <c r="J91" s="256"/>
      <c r="K91" s="256"/>
      <c r="L91" s="257"/>
      <c r="M91" s="243"/>
      <c r="N91" s="232"/>
      <c r="O91" s="232"/>
      <c r="P91" s="265" t="str">
        <f>IFERROR(VLOOKUP(O91,Références!$K$11:$N$19,2)," ")</f>
        <v xml:space="preserve"> </v>
      </c>
      <c r="Q91" s="265" t="str">
        <f>IFERROR(VLOOKUP(O91,Références!$K$11:$N$19,3)," ")</f>
        <v xml:space="preserve"> </v>
      </c>
      <c r="R91" s="265" t="str">
        <f>IFERROR(VLOOKUP(O91,Références!$K$11:$N$19,4)," ")</f>
        <v xml:space="preserve"> </v>
      </c>
      <c r="S91" s="256"/>
      <c r="T91" s="256"/>
      <c r="U91" s="256"/>
      <c r="V91" s="256"/>
      <c r="W91" s="256"/>
      <c r="X91" s="257"/>
      <c r="Y91" s="256"/>
      <c r="Z91" s="256"/>
      <c r="AA91" s="256"/>
      <c r="AB91" s="235"/>
      <c r="AC91" s="235"/>
      <c r="AD91" s="274"/>
      <c r="AE91" s="235"/>
      <c r="AF91" s="235"/>
      <c r="AG91" s="235"/>
      <c r="AH91" s="235"/>
      <c r="AI91" s="235">
        <f t="shared" ref="AI91:AI113" si="104">SUM(AF91,AH91)</f>
        <v>0</v>
      </c>
      <c r="AJ91" s="257"/>
      <c r="AK91" s="256">
        <f t="shared" si="97"/>
        <v>0</v>
      </c>
      <c r="AL91" s="257"/>
      <c r="AM91" s="266">
        <f t="shared" si="98"/>
        <v>0</v>
      </c>
      <c r="AN91" s="256"/>
      <c r="AO91" s="276"/>
      <c r="AP91" s="261" t="str">
        <f t="shared" si="88"/>
        <v xml:space="preserve"> </v>
      </c>
      <c r="AQ91" s="256"/>
      <c r="AR91" s="295"/>
      <c r="AS91" s="295"/>
      <c r="AT91" s="263"/>
      <c r="AU91" s="277"/>
      <c r="AV91" s="263"/>
      <c r="AW91" s="230"/>
      <c r="AX91" s="300"/>
      <c r="AY91" s="301"/>
      <c r="AZ91" s="230"/>
      <c r="BA91" s="300" t="s">
        <v>234</v>
      </c>
      <c r="BB91" s="295"/>
      <c r="BC91" s="228">
        <f t="shared" si="90"/>
        <v>0</v>
      </c>
      <c r="BD91" s="228">
        <f t="shared" si="91"/>
        <v>0</v>
      </c>
      <c r="BE91" s="228">
        <f t="shared" si="79"/>
        <v>1</v>
      </c>
      <c r="BF91" s="228" t="str">
        <f t="shared" si="89"/>
        <v>ALIVE</v>
      </c>
      <c r="BG91" s="208" t="str">
        <f t="shared" si="80"/>
        <v>Aucune</v>
      </c>
      <c r="BH91" s="208" t="str">
        <f t="shared" si="81"/>
        <v>Aucune</v>
      </c>
      <c r="BI91" s="208" t="str">
        <f t="shared" si="82"/>
        <v>Aucune</v>
      </c>
      <c r="BJ91" s="208" t="str">
        <f t="shared" si="100"/>
        <v>NON</v>
      </c>
      <c r="BK91" s="208" t="str">
        <f t="shared" si="83"/>
        <v>NON</v>
      </c>
      <c r="BL91" s="208" t="str">
        <f t="shared" si="101"/>
        <v>Inconnu</v>
      </c>
      <c r="BM91" s="208" t="str">
        <f t="shared" si="92"/>
        <v>Inconnu</v>
      </c>
      <c r="BN91" s="208" t="str">
        <f t="shared" si="93"/>
        <v>Inconnu</v>
      </c>
      <c r="BO91" s="208" t="str">
        <f t="shared" si="102"/>
        <v>Inconnu</v>
      </c>
      <c r="BP91" s="208" t="str">
        <f t="shared" si="94"/>
        <v>Inconnu</v>
      </c>
      <c r="BQ91" s="208" t="str">
        <f t="shared" si="95"/>
        <v>Inconnu</v>
      </c>
      <c r="BR91" s="208" t="str">
        <f t="shared" si="96"/>
        <v>Aucune</v>
      </c>
      <c r="BS91" s="208">
        <f t="shared" si="84"/>
        <v>0</v>
      </c>
      <c r="BT91" s="229" t="e">
        <f>VLOOKUP($I91,Lieu_Activité!$A:$B,2,FALSE)</f>
        <v>#N/A</v>
      </c>
      <c r="BU91" s="208" t="str">
        <f t="shared" si="85"/>
        <v>Aucun</v>
      </c>
      <c r="BV91" s="208" t="str">
        <f t="shared" si="86"/>
        <v>Aucun</v>
      </c>
      <c r="BW91" s="207" t="str">
        <f t="shared" si="103"/>
        <v>NON</v>
      </c>
      <c r="BX91" s="288"/>
    </row>
    <row r="92" spans="1:76" ht="12.95" customHeight="1" x14ac:dyDescent="0.25">
      <c r="A92" s="231" t="s">
        <v>210</v>
      </c>
      <c r="B92" s="267"/>
      <c r="C92" s="227"/>
      <c r="D92" s="257"/>
      <c r="E92" s="278">
        <f t="shared" si="99"/>
        <v>0</v>
      </c>
      <c r="F92" s="278" t="str">
        <f t="shared" si="87"/>
        <v xml:space="preserve"> </v>
      </c>
      <c r="G92" s="256"/>
      <c r="H92" s="256"/>
      <c r="I92" s="256"/>
      <c r="J92" s="256"/>
      <c r="K92" s="256"/>
      <c r="L92" s="257"/>
      <c r="M92" s="243"/>
      <c r="N92" s="232"/>
      <c r="O92" s="232"/>
      <c r="P92" s="265" t="str">
        <f>IFERROR(VLOOKUP(O92,Références!$K$11:$N$19,2)," ")</f>
        <v xml:space="preserve"> </v>
      </c>
      <c r="Q92" s="265" t="str">
        <f>IFERROR(VLOOKUP(O92,Références!$K$11:$N$19,3)," ")</f>
        <v xml:space="preserve"> </v>
      </c>
      <c r="R92" s="265" t="str">
        <f>IFERROR(VLOOKUP(O92,Références!$K$11:$N$19,4)," ")</f>
        <v xml:space="preserve"> </v>
      </c>
      <c r="S92" s="256"/>
      <c r="T92" s="256"/>
      <c r="U92" s="256"/>
      <c r="V92" s="256"/>
      <c r="W92" s="256"/>
      <c r="X92" s="257"/>
      <c r="Y92" s="256"/>
      <c r="Z92" s="256"/>
      <c r="AA92" s="256"/>
      <c r="AB92" s="235"/>
      <c r="AC92" s="235"/>
      <c r="AD92" s="235"/>
      <c r="AE92" s="235"/>
      <c r="AF92" s="235"/>
      <c r="AG92" s="235"/>
      <c r="AH92" s="235"/>
      <c r="AI92" s="235">
        <f t="shared" si="104"/>
        <v>0</v>
      </c>
      <c r="AJ92" s="257"/>
      <c r="AK92" s="256">
        <f t="shared" si="97"/>
        <v>0</v>
      </c>
      <c r="AL92" s="257"/>
      <c r="AM92" s="266">
        <f t="shared" si="98"/>
        <v>0</v>
      </c>
      <c r="AN92" s="256"/>
      <c r="AO92" s="276"/>
      <c r="AP92" s="261" t="str">
        <f t="shared" si="88"/>
        <v xml:space="preserve"> </v>
      </c>
      <c r="AQ92" s="256"/>
      <c r="AR92" s="295"/>
      <c r="AS92" s="295"/>
      <c r="AT92" s="263"/>
      <c r="AU92" s="277"/>
      <c r="AV92" s="263"/>
      <c r="AW92" s="230"/>
      <c r="AX92" s="300"/>
      <c r="AY92" s="301"/>
      <c r="AZ92" s="230"/>
      <c r="BA92" s="300"/>
      <c r="BB92" s="295"/>
      <c r="BC92" s="228">
        <f t="shared" si="90"/>
        <v>0</v>
      </c>
      <c r="BD92" s="228">
        <f t="shared" si="91"/>
        <v>0</v>
      </c>
      <c r="BE92" s="228">
        <f t="shared" si="79"/>
        <v>1</v>
      </c>
      <c r="BF92" s="228" t="str">
        <f t="shared" si="89"/>
        <v>ALIVE</v>
      </c>
      <c r="BG92" s="208" t="str">
        <f t="shared" si="80"/>
        <v>Aucune</v>
      </c>
      <c r="BH92" s="208" t="str">
        <f t="shared" si="81"/>
        <v>Aucune</v>
      </c>
      <c r="BI92" s="208" t="str">
        <f t="shared" si="82"/>
        <v>Aucune</v>
      </c>
      <c r="BJ92" s="208" t="str">
        <f t="shared" si="100"/>
        <v>NON</v>
      </c>
      <c r="BK92" s="208" t="str">
        <f t="shared" si="83"/>
        <v>NON</v>
      </c>
      <c r="BL92" s="208" t="str">
        <f t="shared" si="101"/>
        <v>Inconnu</v>
      </c>
      <c r="BM92" s="208" t="str">
        <f t="shared" si="92"/>
        <v>Inconnu</v>
      </c>
      <c r="BN92" s="208" t="str">
        <f t="shared" si="93"/>
        <v>Inconnu</v>
      </c>
      <c r="BO92" s="208" t="str">
        <f t="shared" si="102"/>
        <v>Inconnu</v>
      </c>
      <c r="BP92" s="208" t="str">
        <f t="shared" si="94"/>
        <v>Inconnu</v>
      </c>
      <c r="BQ92" s="208" t="str">
        <f t="shared" si="95"/>
        <v>Inconnu</v>
      </c>
      <c r="BR92" s="208" t="str">
        <f t="shared" si="96"/>
        <v>Aucune</v>
      </c>
      <c r="BS92" s="208">
        <f t="shared" si="84"/>
        <v>0</v>
      </c>
      <c r="BT92" s="229" t="e">
        <f>VLOOKUP($I92,Lieu_Activité!$A:$B,2,FALSE)</f>
        <v>#N/A</v>
      </c>
      <c r="BU92" s="208" t="str">
        <f t="shared" si="85"/>
        <v>Aucun</v>
      </c>
      <c r="BV92" s="208" t="str">
        <f t="shared" si="86"/>
        <v>Aucun</v>
      </c>
      <c r="BW92" s="207" t="str">
        <f t="shared" si="103"/>
        <v>NON</v>
      </c>
      <c r="BX92" s="288"/>
    </row>
    <row r="93" spans="1:76" ht="12.95" customHeight="1" x14ac:dyDescent="0.25">
      <c r="A93" s="231" t="s">
        <v>210</v>
      </c>
      <c r="B93" s="234"/>
      <c r="C93" s="227"/>
      <c r="D93" s="257"/>
      <c r="E93" s="278">
        <f t="shared" si="99"/>
        <v>0</v>
      </c>
      <c r="F93" s="278" t="str">
        <f t="shared" si="87"/>
        <v xml:space="preserve"> </v>
      </c>
      <c r="G93" s="256"/>
      <c r="H93" s="256"/>
      <c r="I93" s="256"/>
      <c r="J93" s="256"/>
      <c r="K93" s="256"/>
      <c r="L93" s="257"/>
      <c r="M93" s="243"/>
      <c r="N93" s="232"/>
      <c r="O93" s="232"/>
      <c r="P93" s="265" t="str">
        <f>IFERROR(VLOOKUP(O93,Références!$K$11:$N$19,2)," ")</f>
        <v xml:space="preserve"> </v>
      </c>
      <c r="Q93" s="265" t="str">
        <f>IFERROR(VLOOKUP(O93,Références!$K$11:$N$19,3)," ")</f>
        <v xml:space="preserve"> </v>
      </c>
      <c r="R93" s="265" t="str">
        <f>IFERROR(VLOOKUP(O93,Références!$K$11:$N$19,4)," ")</f>
        <v xml:space="preserve"> </v>
      </c>
      <c r="S93" s="256"/>
      <c r="T93" s="256"/>
      <c r="U93" s="256"/>
      <c r="V93" s="256"/>
      <c r="W93" s="256"/>
      <c r="X93" s="257"/>
      <c r="Y93" s="256"/>
      <c r="Z93" s="256"/>
      <c r="AA93" s="256"/>
      <c r="AB93" s="235"/>
      <c r="AC93" s="235"/>
      <c r="AD93" s="235"/>
      <c r="AE93" s="235"/>
      <c r="AF93" s="235"/>
      <c r="AG93" s="235"/>
      <c r="AH93" s="235"/>
      <c r="AI93" s="235">
        <f t="shared" si="104"/>
        <v>0</v>
      </c>
      <c r="AJ93" s="257"/>
      <c r="AK93" s="256">
        <f t="shared" ref="AK93:AK112" si="105">(AJ93-L93)</f>
        <v>0</v>
      </c>
      <c r="AL93" s="257"/>
      <c r="AM93" s="266">
        <f t="shared" ref="AM93:AM112" si="106">(AL93-L93)</f>
        <v>0</v>
      </c>
      <c r="AN93" s="256"/>
      <c r="AO93" s="276"/>
      <c r="AP93" s="261" t="str">
        <f t="shared" si="88"/>
        <v xml:space="preserve"> </v>
      </c>
      <c r="AQ93" s="256"/>
      <c r="AR93" s="295"/>
      <c r="AS93" s="295"/>
      <c r="AT93" s="263"/>
      <c r="AU93" s="277"/>
      <c r="AV93" s="263"/>
      <c r="AW93" s="230"/>
      <c r="AX93" s="300"/>
      <c r="AY93" s="301"/>
      <c r="AZ93" s="230"/>
      <c r="BA93" s="300" t="s">
        <v>234</v>
      </c>
      <c r="BB93" s="295"/>
      <c r="BC93" s="228">
        <f t="shared" ref="BC93:BC112" si="107">IF(BG93="Aucune",0,1)</f>
        <v>0</v>
      </c>
      <c r="BD93" s="228">
        <f t="shared" ref="BD93:BD112" si="108">IF(BH93="Aucune",0,1)</f>
        <v>0</v>
      </c>
      <c r="BE93" s="228">
        <f t="shared" si="79"/>
        <v>1</v>
      </c>
      <c r="BF93" s="228" t="str">
        <f t="shared" si="89"/>
        <v>ALIVE</v>
      </c>
      <c r="BG93" s="208" t="str">
        <f t="shared" si="80"/>
        <v>Aucune</v>
      </c>
      <c r="BH93" s="208" t="str">
        <f t="shared" si="81"/>
        <v>Aucune</v>
      </c>
      <c r="BI93" s="208" t="str">
        <f t="shared" si="82"/>
        <v>Aucune</v>
      </c>
      <c r="BJ93" s="208" t="str">
        <f t="shared" si="100"/>
        <v>NON</v>
      </c>
      <c r="BK93" s="208" t="str">
        <f t="shared" si="83"/>
        <v>NON</v>
      </c>
      <c r="BL93" s="208" t="str">
        <f t="shared" si="101"/>
        <v>Inconnu</v>
      </c>
      <c r="BM93" s="208" t="str">
        <f t="shared" ref="BM93:BM112" si="109">IF($O93&lt;&gt;"HTX",IF($O93&lt;&gt;"LVAD",BL93,"Inconnu"),"Inconnu")</f>
        <v>Inconnu</v>
      </c>
      <c r="BN93" s="208" t="str">
        <f t="shared" ref="BN93:BN112" si="110">IF($O93="HTX",BL93,IF($O93="LVAD",BL93,"Inconnu"))</f>
        <v>Inconnu</v>
      </c>
      <c r="BO93" s="208" t="str">
        <f t="shared" si="102"/>
        <v>Inconnu</v>
      </c>
      <c r="BP93" s="208" t="str">
        <f t="shared" ref="BP93:BP112" si="111">IF($O93&lt;&gt;"HTX",IF($O93&lt;&gt;"LVAD",BO93,"Inconnu"),"Inconnu")</f>
        <v>Inconnu</v>
      </c>
      <c r="BQ93" s="208" t="str">
        <f t="shared" ref="BQ93:BQ112" si="112">IF($O93="HTX",BO93,IF($O93="LVAD",BO93,"Inconnu"))</f>
        <v>Inconnu</v>
      </c>
      <c r="BR93" s="208" t="str">
        <f t="shared" ref="BR93:BR112" si="113">IF(BH93="Aucune",IF(BI93="Aucune","Aucune","Transfusé"),"Transfusé")</f>
        <v>Aucune</v>
      </c>
      <c r="BS93" s="208">
        <f t="shared" si="84"/>
        <v>0</v>
      </c>
      <c r="BT93" s="229" t="e">
        <f>VLOOKUP($I93,Lieu_Activité!$A:$B,2,FALSE)</f>
        <v>#N/A</v>
      </c>
      <c r="BU93" s="208" t="str">
        <f t="shared" si="85"/>
        <v>Aucun</v>
      </c>
      <c r="BV93" s="208" t="str">
        <f t="shared" si="86"/>
        <v>Aucun</v>
      </c>
      <c r="BW93" s="207" t="str">
        <f t="shared" si="103"/>
        <v>NON</v>
      </c>
      <c r="BX93" s="288"/>
    </row>
    <row r="94" spans="1:76" ht="12.95" customHeight="1" x14ac:dyDescent="0.25">
      <c r="A94" s="231" t="s">
        <v>210</v>
      </c>
      <c r="B94" s="234"/>
      <c r="C94" s="227"/>
      <c r="D94" s="257"/>
      <c r="E94" s="278">
        <f t="shared" ref="E94:E101" si="114">(L94-D94)/365</f>
        <v>0</v>
      </c>
      <c r="F94" s="278" t="str">
        <f t="shared" si="87"/>
        <v xml:space="preserve"> </v>
      </c>
      <c r="G94" s="256"/>
      <c r="H94" s="256"/>
      <c r="I94" s="256"/>
      <c r="J94" s="256"/>
      <c r="K94" s="256"/>
      <c r="L94" s="257"/>
      <c r="M94" s="243"/>
      <c r="N94" s="232"/>
      <c r="O94" s="232"/>
      <c r="P94" s="265" t="str">
        <f>IFERROR(VLOOKUP(O94,Références!$K$11:$N$19,2)," ")</f>
        <v xml:space="preserve"> </v>
      </c>
      <c r="Q94" s="265" t="str">
        <f>IFERROR(VLOOKUP(O94,Références!$K$11:$N$19,3)," ")</f>
        <v xml:space="preserve"> </v>
      </c>
      <c r="R94" s="265" t="str">
        <f>IFERROR(VLOOKUP(O94,Références!$K$11:$N$19,4)," ")</f>
        <v xml:space="preserve"> </v>
      </c>
      <c r="S94" s="256"/>
      <c r="T94" s="256"/>
      <c r="U94" s="256"/>
      <c r="V94" s="256"/>
      <c r="W94" s="256"/>
      <c r="X94" s="257"/>
      <c r="Y94" s="256"/>
      <c r="Z94" s="256"/>
      <c r="AA94" s="256"/>
      <c r="AB94" s="235"/>
      <c r="AC94" s="235"/>
      <c r="AD94" s="235"/>
      <c r="AE94" s="235"/>
      <c r="AF94" s="235"/>
      <c r="AG94" s="235"/>
      <c r="AH94" s="235"/>
      <c r="AI94" s="235">
        <f t="shared" ref="AI94:AI101" si="115">SUM(AF94,AH94)</f>
        <v>0</v>
      </c>
      <c r="AJ94" s="257"/>
      <c r="AK94" s="256">
        <f t="shared" ref="AK94:AK101" si="116">(AJ94-L94)</f>
        <v>0</v>
      </c>
      <c r="AL94" s="257"/>
      <c r="AM94" s="266">
        <f t="shared" ref="AM94:AM101" si="117">(AL94-L94)</f>
        <v>0</v>
      </c>
      <c r="AN94" s="256"/>
      <c r="AO94" s="276"/>
      <c r="AP94" s="261" t="str">
        <f t="shared" si="88"/>
        <v xml:space="preserve"> </v>
      </c>
      <c r="AQ94" s="256"/>
      <c r="AR94" s="295"/>
      <c r="AS94" s="295"/>
      <c r="AT94" s="263"/>
      <c r="AU94" s="277"/>
      <c r="AV94" s="263"/>
      <c r="AW94" s="230"/>
      <c r="AX94" s="300"/>
      <c r="AY94" s="301"/>
      <c r="AZ94" s="230"/>
      <c r="BA94" s="300" t="s">
        <v>234</v>
      </c>
      <c r="BB94" s="295"/>
      <c r="BC94" s="228">
        <f t="shared" ref="BC94:BC101" si="118">IF(BG94="Aucune",0,1)</f>
        <v>0</v>
      </c>
      <c r="BD94" s="228">
        <f t="shared" ref="BD94:BD101" si="119">IF(BH94="Aucune",0,1)</f>
        <v>0</v>
      </c>
      <c r="BE94" s="228">
        <f t="shared" si="79"/>
        <v>1</v>
      </c>
      <c r="BF94" s="228" t="str">
        <f t="shared" si="89"/>
        <v>ALIVE</v>
      </c>
      <c r="BG94" s="208" t="str">
        <f t="shared" si="80"/>
        <v>Aucune</v>
      </c>
      <c r="BH94" s="208" t="str">
        <f t="shared" si="81"/>
        <v>Aucune</v>
      </c>
      <c r="BI94" s="208" t="str">
        <f t="shared" si="82"/>
        <v>Aucune</v>
      </c>
      <c r="BJ94" s="208" t="str">
        <f t="shared" si="100"/>
        <v>NON</v>
      </c>
      <c r="BK94" s="208" t="str">
        <f t="shared" si="83"/>
        <v>NON</v>
      </c>
      <c r="BL94" s="208" t="str">
        <f t="shared" si="101"/>
        <v>Inconnu</v>
      </c>
      <c r="BM94" s="208" t="str">
        <f t="shared" ref="BM94:BM101" si="120">IF($O94&lt;&gt;"HTX",IF($O94&lt;&gt;"LVAD",BL94,"Inconnu"),"Inconnu")</f>
        <v>Inconnu</v>
      </c>
      <c r="BN94" s="208" t="str">
        <f t="shared" ref="BN94:BN101" si="121">IF($O94="HTX",BL94,IF($O94="LVAD",BL94,"Inconnu"))</f>
        <v>Inconnu</v>
      </c>
      <c r="BO94" s="208" t="str">
        <f t="shared" si="102"/>
        <v>Inconnu</v>
      </c>
      <c r="BP94" s="208" t="str">
        <f t="shared" ref="BP94:BP101" si="122">IF($O94&lt;&gt;"HTX",IF($O94&lt;&gt;"LVAD",BO94,"Inconnu"),"Inconnu")</f>
        <v>Inconnu</v>
      </c>
      <c r="BQ94" s="208" t="str">
        <f t="shared" ref="BQ94:BQ101" si="123">IF($O94="HTX",BO94,IF($O94="LVAD",BO94,"Inconnu"))</f>
        <v>Inconnu</v>
      </c>
      <c r="BR94" s="208" t="str">
        <f t="shared" ref="BR94:BR101" si="124">IF(BH94="Aucune",IF(BI94="Aucune","Aucune","Transfusé"),"Transfusé")</f>
        <v>Aucune</v>
      </c>
      <c r="BS94" s="208">
        <f t="shared" si="84"/>
        <v>0</v>
      </c>
      <c r="BT94" s="229" t="e">
        <f>VLOOKUP($I94,Lieu_Activité!$A:$B,2,FALSE)</f>
        <v>#N/A</v>
      </c>
      <c r="BU94" s="208" t="str">
        <f t="shared" si="85"/>
        <v>Aucun</v>
      </c>
      <c r="BV94" s="208" t="str">
        <f t="shared" si="86"/>
        <v>Aucun</v>
      </c>
      <c r="BW94" s="207" t="str">
        <f t="shared" si="103"/>
        <v>NON</v>
      </c>
      <c r="BX94" s="288"/>
    </row>
    <row r="95" spans="1:76" ht="12.95" customHeight="1" x14ac:dyDescent="0.25">
      <c r="A95" s="231" t="s">
        <v>210</v>
      </c>
      <c r="B95" s="234"/>
      <c r="C95" s="227"/>
      <c r="D95" s="257"/>
      <c r="E95" s="278">
        <f t="shared" si="114"/>
        <v>0</v>
      </c>
      <c r="F95" s="278" t="str">
        <f t="shared" si="87"/>
        <v xml:space="preserve"> </v>
      </c>
      <c r="G95" s="256"/>
      <c r="H95" s="256"/>
      <c r="I95" s="256"/>
      <c r="J95" s="256"/>
      <c r="K95" s="256"/>
      <c r="L95" s="257"/>
      <c r="M95" s="243"/>
      <c r="N95" s="232"/>
      <c r="O95" s="232"/>
      <c r="P95" s="265" t="str">
        <f>IFERROR(VLOOKUP(O95,Références!$K$11:$N$19,2)," ")</f>
        <v xml:space="preserve"> </v>
      </c>
      <c r="Q95" s="265" t="str">
        <f>IFERROR(VLOOKUP(O95,Références!$K$11:$N$19,3)," ")</f>
        <v xml:space="preserve"> </v>
      </c>
      <c r="R95" s="265" t="str">
        <f>IFERROR(VLOOKUP(O95,Références!$K$11:$N$19,4)," ")</f>
        <v xml:space="preserve"> </v>
      </c>
      <c r="S95" s="256"/>
      <c r="T95" s="256"/>
      <c r="U95" s="256"/>
      <c r="V95" s="256"/>
      <c r="W95" s="256"/>
      <c r="X95" s="257"/>
      <c r="Y95" s="256"/>
      <c r="Z95" s="256"/>
      <c r="AA95" s="256"/>
      <c r="AB95" s="235"/>
      <c r="AC95" s="235"/>
      <c r="AD95" s="235"/>
      <c r="AE95" s="235"/>
      <c r="AF95" s="235"/>
      <c r="AG95" s="235"/>
      <c r="AH95" s="235"/>
      <c r="AI95" s="235">
        <f t="shared" si="115"/>
        <v>0</v>
      </c>
      <c r="AJ95" s="257"/>
      <c r="AK95" s="256">
        <f t="shared" si="116"/>
        <v>0</v>
      </c>
      <c r="AL95" s="257"/>
      <c r="AM95" s="266">
        <f t="shared" si="117"/>
        <v>0</v>
      </c>
      <c r="AN95" s="256"/>
      <c r="AO95" s="276"/>
      <c r="AP95" s="261" t="str">
        <f t="shared" si="88"/>
        <v xml:space="preserve"> </v>
      </c>
      <c r="AQ95" s="256"/>
      <c r="AR95" s="295"/>
      <c r="AS95" s="295"/>
      <c r="AT95" s="263"/>
      <c r="AU95" s="277"/>
      <c r="AV95" s="263"/>
      <c r="AW95" s="230"/>
      <c r="AX95" s="300"/>
      <c r="AY95" s="301"/>
      <c r="AZ95" s="230"/>
      <c r="BA95" s="300"/>
      <c r="BB95" s="301"/>
      <c r="BC95" s="228">
        <f t="shared" si="118"/>
        <v>0</v>
      </c>
      <c r="BD95" s="228">
        <f t="shared" si="119"/>
        <v>0</v>
      </c>
      <c r="BE95" s="228">
        <f t="shared" si="79"/>
        <v>1</v>
      </c>
      <c r="BF95" s="228" t="str">
        <f t="shared" si="89"/>
        <v>ALIVE</v>
      </c>
      <c r="BG95" s="208" t="str">
        <f t="shared" si="80"/>
        <v>Aucune</v>
      </c>
      <c r="BH95" s="208" t="str">
        <f t="shared" si="81"/>
        <v>Aucune</v>
      </c>
      <c r="BI95" s="208" t="str">
        <f t="shared" si="82"/>
        <v>Aucune</v>
      </c>
      <c r="BJ95" s="208" t="str">
        <f t="shared" si="100"/>
        <v>NON</v>
      </c>
      <c r="BK95" s="208" t="str">
        <f t="shared" si="83"/>
        <v>NON</v>
      </c>
      <c r="BL95" s="208" t="str">
        <f t="shared" si="101"/>
        <v>Inconnu</v>
      </c>
      <c r="BM95" s="208" t="str">
        <f t="shared" si="120"/>
        <v>Inconnu</v>
      </c>
      <c r="BN95" s="208" t="str">
        <f t="shared" si="121"/>
        <v>Inconnu</v>
      </c>
      <c r="BO95" s="208" t="str">
        <f t="shared" si="102"/>
        <v>Inconnu</v>
      </c>
      <c r="BP95" s="208" t="str">
        <f t="shared" si="122"/>
        <v>Inconnu</v>
      </c>
      <c r="BQ95" s="208" t="str">
        <f t="shared" si="123"/>
        <v>Inconnu</v>
      </c>
      <c r="BR95" s="208" t="str">
        <f t="shared" si="124"/>
        <v>Aucune</v>
      </c>
      <c r="BS95" s="208">
        <f t="shared" si="84"/>
        <v>0</v>
      </c>
      <c r="BT95" s="229" t="e">
        <f>VLOOKUP($I95,Lieu_Activité!$A:$B,2,FALSE)</f>
        <v>#N/A</v>
      </c>
      <c r="BU95" s="208" t="str">
        <f t="shared" si="85"/>
        <v>Aucun</v>
      </c>
      <c r="BV95" s="208" t="str">
        <f t="shared" si="86"/>
        <v>Aucun</v>
      </c>
      <c r="BW95" s="207" t="str">
        <f t="shared" si="103"/>
        <v>NON</v>
      </c>
      <c r="BX95" s="288"/>
    </row>
    <row r="96" spans="1:76" ht="12.95" customHeight="1" x14ac:dyDescent="0.25">
      <c r="A96" s="231" t="s">
        <v>210</v>
      </c>
      <c r="B96" s="234"/>
      <c r="C96" s="227"/>
      <c r="D96" s="257"/>
      <c r="E96" s="278">
        <f t="shared" si="114"/>
        <v>0</v>
      </c>
      <c r="F96" s="278" t="str">
        <f t="shared" si="87"/>
        <v xml:space="preserve"> </v>
      </c>
      <c r="G96" s="256"/>
      <c r="H96" s="256"/>
      <c r="I96" s="256"/>
      <c r="J96" s="256"/>
      <c r="K96" s="256"/>
      <c r="L96" s="257"/>
      <c r="M96" s="243"/>
      <c r="N96" s="232"/>
      <c r="O96" s="232"/>
      <c r="P96" s="265" t="str">
        <f>IFERROR(VLOOKUP(O96,Références!$K$11:$N$19,2)," ")</f>
        <v xml:space="preserve"> </v>
      </c>
      <c r="Q96" s="265" t="str">
        <f>IFERROR(VLOOKUP(O96,Références!$K$11:$N$19,3)," ")</f>
        <v xml:space="preserve"> </v>
      </c>
      <c r="R96" s="265" t="str">
        <f>IFERROR(VLOOKUP(O96,Références!$K$11:$N$19,4)," ")</f>
        <v xml:space="preserve"> </v>
      </c>
      <c r="S96" s="256"/>
      <c r="T96" s="256"/>
      <c r="U96" s="256"/>
      <c r="V96" s="256"/>
      <c r="W96" s="256"/>
      <c r="X96" s="257"/>
      <c r="Y96" s="256"/>
      <c r="Z96" s="256"/>
      <c r="AA96" s="256"/>
      <c r="AB96" s="235"/>
      <c r="AC96" s="235"/>
      <c r="AD96" s="235"/>
      <c r="AE96" s="235"/>
      <c r="AF96" s="235"/>
      <c r="AG96" s="235"/>
      <c r="AH96" s="235"/>
      <c r="AI96" s="235">
        <f t="shared" si="115"/>
        <v>0</v>
      </c>
      <c r="AJ96" s="257"/>
      <c r="AK96" s="256">
        <f t="shared" si="116"/>
        <v>0</v>
      </c>
      <c r="AL96" s="257"/>
      <c r="AM96" s="266">
        <f t="shared" si="117"/>
        <v>0</v>
      </c>
      <c r="AN96" s="256"/>
      <c r="AO96" s="276"/>
      <c r="AP96" s="261" t="str">
        <f t="shared" si="88"/>
        <v xml:space="preserve"> </v>
      </c>
      <c r="AQ96" s="256"/>
      <c r="AR96" s="295"/>
      <c r="AS96" s="295"/>
      <c r="AT96" s="263"/>
      <c r="AU96" s="277"/>
      <c r="AV96" s="263"/>
      <c r="AW96" s="230"/>
      <c r="AX96" s="300"/>
      <c r="AY96" s="301"/>
      <c r="AZ96" s="230"/>
      <c r="BA96" s="300" t="s">
        <v>234</v>
      </c>
      <c r="BB96" s="295"/>
      <c r="BC96" s="228">
        <f t="shared" si="118"/>
        <v>0</v>
      </c>
      <c r="BD96" s="228">
        <f t="shared" si="119"/>
        <v>0</v>
      </c>
      <c r="BE96" s="228">
        <f t="shared" si="79"/>
        <v>1</v>
      </c>
      <c r="BF96" s="228" t="str">
        <f t="shared" si="89"/>
        <v>ALIVE</v>
      </c>
      <c r="BG96" s="208" t="str">
        <f t="shared" si="80"/>
        <v>Aucune</v>
      </c>
      <c r="BH96" s="208" t="str">
        <f t="shared" si="81"/>
        <v>Aucune</v>
      </c>
      <c r="BI96" s="208" t="str">
        <f t="shared" si="82"/>
        <v>Aucune</v>
      </c>
      <c r="BJ96" s="208" t="str">
        <f t="shared" si="100"/>
        <v>NON</v>
      </c>
      <c r="BK96" s="208" t="str">
        <f t="shared" si="83"/>
        <v>NON</v>
      </c>
      <c r="BL96" s="208" t="str">
        <f t="shared" si="101"/>
        <v>Inconnu</v>
      </c>
      <c r="BM96" s="208" t="str">
        <f t="shared" si="120"/>
        <v>Inconnu</v>
      </c>
      <c r="BN96" s="208" t="str">
        <f t="shared" si="121"/>
        <v>Inconnu</v>
      </c>
      <c r="BO96" s="208" t="str">
        <f t="shared" si="102"/>
        <v>Inconnu</v>
      </c>
      <c r="BP96" s="208" t="str">
        <f t="shared" si="122"/>
        <v>Inconnu</v>
      </c>
      <c r="BQ96" s="208" t="str">
        <f t="shared" si="123"/>
        <v>Inconnu</v>
      </c>
      <c r="BR96" s="208" t="str">
        <f t="shared" si="124"/>
        <v>Aucune</v>
      </c>
      <c r="BS96" s="208">
        <f t="shared" si="84"/>
        <v>0</v>
      </c>
      <c r="BT96" s="229" t="e">
        <f>VLOOKUP($I96,Lieu_Activité!$A:$B,2,FALSE)</f>
        <v>#N/A</v>
      </c>
      <c r="BU96" s="208" t="str">
        <f t="shared" si="85"/>
        <v>Aucun</v>
      </c>
      <c r="BV96" s="208" t="str">
        <f t="shared" si="86"/>
        <v>Aucun</v>
      </c>
      <c r="BW96" s="207" t="str">
        <f t="shared" si="103"/>
        <v>NON</v>
      </c>
      <c r="BX96" s="288"/>
    </row>
    <row r="97" spans="1:76" ht="12.95" customHeight="1" x14ac:dyDescent="0.25">
      <c r="A97" s="231" t="s">
        <v>210</v>
      </c>
      <c r="B97" s="234"/>
      <c r="C97" s="227"/>
      <c r="D97" s="257"/>
      <c r="E97" s="278">
        <f t="shared" si="114"/>
        <v>0</v>
      </c>
      <c r="F97" s="278" t="str">
        <f t="shared" si="87"/>
        <v xml:space="preserve"> </v>
      </c>
      <c r="G97" s="256"/>
      <c r="H97" s="256"/>
      <c r="I97" s="256"/>
      <c r="J97" s="256"/>
      <c r="K97" s="256"/>
      <c r="L97" s="257"/>
      <c r="M97" s="243"/>
      <c r="N97" s="232"/>
      <c r="O97" s="232"/>
      <c r="P97" s="265" t="str">
        <f>IFERROR(VLOOKUP(O97,Références!$K$11:$N$19,2)," ")</f>
        <v xml:space="preserve"> </v>
      </c>
      <c r="Q97" s="265" t="str">
        <f>IFERROR(VLOOKUP(O97,Références!$K$11:$N$19,3)," ")</f>
        <v xml:space="preserve"> </v>
      </c>
      <c r="R97" s="265" t="str">
        <f>IFERROR(VLOOKUP(O97,Références!$K$11:$N$19,4)," ")</f>
        <v xml:space="preserve"> </v>
      </c>
      <c r="S97" s="256"/>
      <c r="T97" s="256"/>
      <c r="U97" s="256"/>
      <c r="V97" s="256"/>
      <c r="W97" s="256"/>
      <c r="X97" s="257"/>
      <c r="Y97" s="256"/>
      <c r="Z97" s="256"/>
      <c r="AA97" s="256"/>
      <c r="AB97" s="235"/>
      <c r="AC97" s="235"/>
      <c r="AD97" s="235"/>
      <c r="AE97" s="235"/>
      <c r="AF97" s="235"/>
      <c r="AG97" s="235"/>
      <c r="AH97" s="235"/>
      <c r="AI97" s="235">
        <f t="shared" si="115"/>
        <v>0</v>
      </c>
      <c r="AJ97" s="257"/>
      <c r="AK97" s="256">
        <f t="shared" si="116"/>
        <v>0</v>
      </c>
      <c r="AL97" s="257"/>
      <c r="AM97" s="266">
        <f t="shared" si="117"/>
        <v>0</v>
      </c>
      <c r="AN97" s="256"/>
      <c r="AO97" s="276"/>
      <c r="AP97" s="261" t="str">
        <f t="shared" si="88"/>
        <v xml:space="preserve"> </v>
      </c>
      <c r="AQ97" s="256"/>
      <c r="AR97" s="295"/>
      <c r="AS97" s="295"/>
      <c r="AT97" s="263"/>
      <c r="AU97" s="277"/>
      <c r="AV97" s="263"/>
      <c r="AW97" s="230"/>
      <c r="AX97" s="300"/>
      <c r="AY97" s="301"/>
      <c r="AZ97" s="230"/>
      <c r="BA97" s="300" t="s">
        <v>234</v>
      </c>
      <c r="BB97" s="295"/>
      <c r="BC97" s="228">
        <f t="shared" si="118"/>
        <v>0</v>
      </c>
      <c r="BD97" s="228">
        <f t="shared" si="119"/>
        <v>0</v>
      </c>
      <c r="BE97" s="228">
        <f t="shared" si="79"/>
        <v>1</v>
      </c>
      <c r="BF97" s="228" t="str">
        <f t="shared" si="89"/>
        <v>ALIVE</v>
      </c>
      <c r="BG97" s="208" t="str">
        <f t="shared" si="80"/>
        <v>Aucune</v>
      </c>
      <c r="BH97" s="208" t="str">
        <f t="shared" si="81"/>
        <v>Aucune</v>
      </c>
      <c r="BI97" s="208" t="str">
        <f t="shared" si="82"/>
        <v>Aucune</v>
      </c>
      <c r="BJ97" s="208" t="str">
        <f t="shared" si="100"/>
        <v>NON</v>
      </c>
      <c r="BK97" s="208" t="str">
        <f t="shared" si="83"/>
        <v>NON</v>
      </c>
      <c r="BL97" s="208" t="str">
        <f t="shared" si="101"/>
        <v>Inconnu</v>
      </c>
      <c r="BM97" s="208" t="str">
        <f t="shared" si="120"/>
        <v>Inconnu</v>
      </c>
      <c r="BN97" s="208" t="str">
        <f t="shared" si="121"/>
        <v>Inconnu</v>
      </c>
      <c r="BO97" s="208" t="str">
        <f t="shared" si="102"/>
        <v>Inconnu</v>
      </c>
      <c r="BP97" s="208" t="str">
        <f t="shared" si="122"/>
        <v>Inconnu</v>
      </c>
      <c r="BQ97" s="208" t="str">
        <f t="shared" si="123"/>
        <v>Inconnu</v>
      </c>
      <c r="BR97" s="208" t="str">
        <f t="shared" si="124"/>
        <v>Aucune</v>
      </c>
      <c r="BS97" s="208">
        <f t="shared" si="84"/>
        <v>0</v>
      </c>
      <c r="BT97" s="229" t="e">
        <f>VLOOKUP($I97,Lieu_Activité!$A:$B,2,FALSE)</f>
        <v>#N/A</v>
      </c>
      <c r="BU97" s="208" t="str">
        <f t="shared" si="85"/>
        <v>Aucun</v>
      </c>
      <c r="BV97" s="208" t="str">
        <f t="shared" si="86"/>
        <v>Aucun</v>
      </c>
      <c r="BW97" s="207" t="str">
        <f t="shared" si="103"/>
        <v>NON</v>
      </c>
      <c r="BX97" s="288"/>
    </row>
    <row r="98" spans="1:76" ht="12.95" customHeight="1" x14ac:dyDescent="0.25">
      <c r="A98" s="231" t="s">
        <v>210</v>
      </c>
      <c r="B98" s="234"/>
      <c r="C98" s="227"/>
      <c r="D98" s="257"/>
      <c r="E98" s="278">
        <f t="shared" si="114"/>
        <v>0</v>
      </c>
      <c r="F98" s="278" t="str">
        <f t="shared" si="87"/>
        <v xml:space="preserve"> </v>
      </c>
      <c r="G98" s="256"/>
      <c r="H98" s="256"/>
      <c r="I98" s="256"/>
      <c r="J98" s="256"/>
      <c r="K98" s="256"/>
      <c r="L98" s="257"/>
      <c r="M98" s="243"/>
      <c r="N98" s="232"/>
      <c r="O98" s="232"/>
      <c r="P98" s="265" t="str">
        <f>IFERROR(VLOOKUP(O98,Références!$K$11:$N$19,2)," ")</f>
        <v xml:space="preserve"> </v>
      </c>
      <c r="Q98" s="265" t="str">
        <f>IFERROR(VLOOKUP(O98,Références!$K$11:$N$19,3)," ")</f>
        <v xml:space="preserve"> </v>
      </c>
      <c r="R98" s="265" t="str">
        <f>IFERROR(VLOOKUP(O98,Références!$K$11:$N$19,4)," ")</f>
        <v xml:space="preserve"> </v>
      </c>
      <c r="S98" s="256"/>
      <c r="T98" s="256"/>
      <c r="U98" s="256"/>
      <c r="V98" s="256"/>
      <c r="W98" s="256"/>
      <c r="X98" s="257"/>
      <c r="Y98" s="256"/>
      <c r="Z98" s="256"/>
      <c r="AA98" s="256"/>
      <c r="AB98" s="235"/>
      <c r="AC98" s="235"/>
      <c r="AD98" s="235"/>
      <c r="AE98" s="235"/>
      <c r="AF98" s="235"/>
      <c r="AG98" s="235"/>
      <c r="AH98" s="235"/>
      <c r="AI98" s="235">
        <f t="shared" si="115"/>
        <v>0</v>
      </c>
      <c r="AJ98" s="257"/>
      <c r="AK98" s="256">
        <f t="shared" si="116"/>
        <v>0</v>
      </c>
      <c r="AL98" s="257"/>
      <c r="AM98" s="266">
        <f t="shared" si="117"/>
        <v>0</v>
      </c>
      <c r="AN98" s="256"/>
      <c r="AO98" s="276"/>
      <c r="AP98" s="261" t="str">
        <f t="shared" si="88"/>
        <v xml:space="preserve"> </v>
      </c>
      <c r="AQ98" s="256"/>
      <c r="AR98" s="295"/>
      <c r="AS98" s="295"/>
      <c r="AT98" s="263"/>
      <c r="AU98" s="277"/>
      <c r="AV98" s="263"/>
      <c r="AW98" s="230"/>
      <c r="AX98" s="300"/>
      <c r="AY98" s="301"/>
      <c r="AZ98" s="230"/>
      <c r="BA98" s="300" t="s">
        <v>234</v>
      </c>
      <c r="BB98" s="295"/>
      <c r="BC98" s="228">
        <f t="shared" si="118"/>
        <v>0</v>
      </c>
      <c r="BD98" s="228">
        <f t="shared" si="119"/>
        <v>0</v>
      </c>
      <c r="BE98" s="228">
        <f t="shared" si="79"/>
        <v>1</v>
      </c>
      <c r="BF98" s="228" t="str">
        <f t="shared" si="89"/>
        <v>ALIVE</v>
      </c>
      <c r="BG98" s="208" t="str">
        <f t="shared" si="80"/>
        <v>Aucune</v>
      </c>
      <c r="BH98" s="208" t="str">
        <f t="shared" si="81"/>
        <v>Aucune</v>
      </c>
      <c r="BI98" s="208" t="str">
        <f t="shared" si="82"/>
        <v>Aucune</v>
      </c>
      <c r="BJ98" s="208" t="str">
        <f t="shared" si="100"/>
        <v>NON</v>
      </c>
      <c r="BK98" s="208" t="str">
        <f t="shared" si="83"/>
        <v>NON</v>
      </c>
      <c r="BL98" s="208" t="str">
        <f t="shared" si="101"/>
        <v>Inconnu</v>
      </c>
      <c r="BM98" s="208" t="str">
        <f t="shared" si="120"/>
        <v>Inconnu</v>
      </c>
      <c r="BN98" s="208" t="str">
        <f t="shared" si="121"/>
        <v>Inconnu</v>
      </c>
      <c r="BO98" s="208" t="str">
        <f t="shared" si="102"/>
        <v>Inconnu</v>
      </c>
      <c r="BP98" s="208" t="str">
        <f t="shared" si="122"/>
        <v>Inconnu</v>
      </c>
      <c r="BQ98" s="208" t="str">
        <f t="shared" si="123"/>
        <v>Inconnu</v>
      </c>
      <c r="BR98" s="208" t="str">
        <f t="shared" si="124"/>
        <v>Aucune</v>
      </c>
      <c r="BS98" s="208">
        <f t="shared" ref="BS98:BS121" si="125">AF98+AH98</f>
        <v>0</v>
      </c>
      <c r="BT98" s="229" t="e">
        <f>VLOOKUP($I98,Lieu_Activité!$A:$B,2,FALSE)</f>
        <v>#N/A</v>
      </c>
      <c r="BU98" s="208" t="str">
        <f t="shared" si="85"/>
        <v>Aucun</v>
      </c>
      <c r="BV98" s="208" t="str">
        <f t="shared" si="86"/>
        <v>Aucun</v>
      </c>
      <c r="BW98" s="207" t="str">
        <f t="shared" si="103"/>
        <v>NON</v>
      </c>
      <c r="BX98" s="288"/>
    </row>
    <row r="99" spans="1:76" ht="12.95" customHeight="1" x14ac:dyDescent="0.25">
      <c r="A99" s="231" t="s">
        <v>210</v>
      </c>
      <c r="B99" s="234"/>
      <c r="C99" s="227"/>
      <c r="D99" s="257"/>
      <c r="E99" s="278">
        <f t="shared" si="114"/>
        <v>0</v>
      </c>
      <c r="F99" s="278" t="str">
        <f t="shared" si="87"/>
        <v xml:space="preserve"> </v>
      </c>
      <c r="G99" s="256"/>
      <c r="H99" s="256"/>
      <c r="I99" s="256"/>
      <c r="J99" s="256"/>
      <c r="K99" s="256"/>
      <c r="L99" s="257"/>
      <c r="M99" s="243"/>
      <c r="N99" s="232"/>
      <c r="O99" s="232"/>
      <c r="P99" s="265" t="str">
        <f>IFERROR(VLOOKUP(O99,Références!$K$11:$N$19,2)," ")</f>
        <v xml:space="preserve"> </v>
      </c>
      <c r="Q99" s="265" t="str">
        <f>IFERROR(VLOOKUP(O99,Références!$K$11:$N$19,3)," ")</f>
        <v xml:space="preserve"> </v>
      </c>
      <c r="R99" s="265" t="str">
        <f>IFERROR(VLOOKUP(O99,Références!$K$11:$N$19,4)," ")</f>
        <v xml:space="preserve"> </v>
      </c>
      <c r="S99" s="256"/>
      <c r="T99" s="256"/>
      <c r="U99" s="256"/>
      <c r="V99" s="256"/>
      <c r="W99" s="256"/>
      <c r="X99" s="257"/>
      <c r="Y99" s="256"/>
      <c r="Z99" s="256"/>
      <c r="AA99" s="256"/>
      <c r="AB99" s="235"/>
      <c r="AC99" s="235"/>
      <c r="AD99" s="235"/>
      <c r="AE99" s="235"/>
      <c r="AF99" s="235"/>
      <c r="AG99" s="235"/>
      <c r="AH99" s="235"/>
      <c r="AI99" s="235">
        <f t="shared" si="115"/>
        <v>0</v>
      </c>
      <c r="AJ99" s="257"/>
      <c r="AK99" s="256">
        <f t="shared" si="116"/>
        <v>0</v>
      </c>
      <c r="AL99" s="257"/>
      <c r="AM99" s="266">
        <f t="shared" si="117"/>
        <v>0</v>
      </c>
      <c r="AN99" s="256"/>
      <c r="AO99" s="276"/>
      <c r="AP99" s="261" t="str">
        <f t="shared" si="88"/>
        <v xml:space="preserve"> </v>
      </c>
      <c r="AQ99" s="256"/>
      <c r="AR99" s="295"/>
      <c r="AS99" s="295"/>
      <c r="AT99" s="263"/>
      <c r="AU99" s="277"/>
      <c r="AV99" s="263"/>
      <c r="AW99" s="230"/>
      <c r="AX99" s="300"/>
      <c r="AY99" s="301"/>
      <c r="AZ99" s="230"/>
      <c r="BA99" s="300" t="s">
        <v>234</v>
      </c>
      <c r="BB99" s="295"/>
      <c r="BC99" s="228">
        <f t="shared" si="118"/>
        <v>0</v>
      </c>
      <c r="BD99" s="228">
        <f t="shared" si="119"/>
        <v>0</v>
      </c>
      <c r="BE99" s="228">
        <f t="shared" si="79"/>
        <v>1</v>
      </c>
      <c r="BF99" s="228" t="str">
        <f t="shared" si="89"/>
        <v>ALIVE</v>
      </c>
      <c r="BG99" s="208" t="str">
        <f t="shared" si="80"/>
        <v>Aucune</v>
      </c>
      <c r="BH99" s="208" t="str">
        <f t="shared" si="81"/>
        <v>Aucune</v>
      </c>
      <c r="BI99" s="208" t="str">
        <f t="shared" si="82"/>
        <v>Aucune</v>
      </c>
      <c r="BJ99" s="208" t="str">
        <f t="shared" si="100"/>
        <v>NON</v>
      </c>
      <c r="BK99" s="208" t="str">
        <f t="shared" si="83"/>
        <v>NON</v>
      </c>
      <c r="BL99" s="208" t="str">
        <f t="shared" si="101"/>
        <v>Inconnu</v>
      </c>
      <c r="BM99" s="208" t="str">
        <f t="shared" si="120"/>
        <v>Inconnu</v>
      </c>
      <c r="BN99" s="208" t="str">
        <f t="shared" si="121"/>
        <v>Inconnu</v>
      </c>
      <c r="BO99" s="208" t="str">
        <f t="shared" si="102"/>
        <v>Inconnu</v>
      </c>
      <c r="BP99" s="208" t="str">
        <f t="shared" si="122"/>
        <v>Inconnu</v>
      </c>
      <c r="BQ99" s="208" t="str">
        <f t="shared" si="123"/>
        <v>Inconnu</v>
      </c>
      <c r="BR99" s="208" t="str">
        <f t="shared" si="124"/>
        <v>Aucune</v>
      </c>
      <c r="BS99" s="208">
        <f t="shared" si="125"/>
        <v>0</v>
      </c>
      <c r="BT99" s="229" t="e">
        <f>VLOOKUP($I99,Lieu_Activité!$A:$B,2,FALSE)</f>
        <v>#N/A</v>
      </c>
      <c r="BU99" s="208" t="str">
        <f t="shared" si="85"/>
        <v>Aucun</v>
      </c>
      <c r="BV99" s="208" t="str">
        <f t="shared" si="86"/>
        <v>Aucun</v>
      </c>
      <c r="BW99" s="207" t="str">
        <f t="shared" si="103"/>
        <v>NON</v>
      </c>
      <c r="BX99" s="288"/>
    </row>
    <row r="100" spans="1:76" ht="12.95" customHeight="1" x14ac:dyDescent="0.25">
      <c r="A100" s="231" t="s">
        <v>210</v>
      </c>
      <c r="B100" s="234"/>
      <c r="C100" s="227"/>
      <c r="D100" s="257"/>
      <c r="E100" s="278">
        <f t="shared" si="114"/>
        <v>0</v>
      </c>
      <c r="F100" s="278" t="str">
        <f t="shared" si="87"/>
        <v xml:space="preserve"> </v>
      </c>
      <c r="G100" s="256"/>
      <c r="H100" s="256"/>
      <c r="I100" s="256"/>
      <c r="J100" s="256"/>
      <c r="K100" s="256"/>
      <c r="L100" s="257"/>
      <c r="M100" s="243"/>
      <c r="N100" s="232"/>
      <c r="O100" s="232"/>
      <c r="P100" s="265" t="str">
        <f>IFERROR(VLOOKUP(O100,Références!$K$11:$N$19,2)," ")</f>
        <v xml:space="preserve"> </v>
      </c>
      <c r="Q100" s="265" t="str">
        <f>IFERROR(VLOOKUP(O100,Références!$K$11:$N$19,3)," ")</f>
        <v xml:space="preserve"> </v>
      </c>
      <c r="R100" s="265" t="str">
        <f>IFERROR(VLOOKUP(O100,Références!$K$11:$N$19,4)," ")</f>
        <v xml:space="preserve"> </v>
      </c>
      <c r="S100" s="256"/>
      <c r="T100" s="256"/>
      <c r="U100" s="256"/>
      <c r="V100" s="256"/>
      <c r="W100" s="256"/>
      <c r="X100" s="257"/>
      <c r="Y100" s="256"/>
      <c r="Z100" s="256"/>
      <c r="AA100" s="256"/>
      <c r="AB100" s="235"/>
      <c r="AC100" s="235"/>
      <c r="AD100" s="235"/>
      <c r="AE100" s="235"/>
      <c r="AF100" s="235"/>
      <c r="AG100" s="235"/>
      <c r="AH100" s="235"/>
      <c r="AI100" s="235">
        <f t="shared" si="115"/>
        <v>0</v>
      </c>
      <c r="AJ100" s="257"/>
      <c r="AK100" s="256">
        <f t="shared" si="116"/>
        <v>0</v>
      </c>
      <c r="AL100" s="257"/>
      <c r="AM100" s="266">
        <f t="shared" si="117"/>
        <v>0</v>
      </c>
      <c r="AN100" s="256"/>
      <c r="AO100" s="276"/>
      <c r="AP100" s="261" t="str">
        <f t="shared" si="88"/>
        <v xml:space="preserve"> </v>
      </c>
      <c r="AQ100" s="256"/>
      <c r="AR100" s="295"/>
      <c r="AS100" s="295"/>
      <c r="AT100" s="263"/>
      <c r="AU100" s="277"/>
      <c r="AV100" s="263"/>
      <c r="AW100" s="230"/>
      <c r="AX100" s="300"/>
      <c r="AY100" s="301"/>
      <c r="AZ100" s="230"/>
      <c r="BA100" s="300" t="s">
        <v>234</v>
      </c>
      <c r="BB100" s="295"/>
      <c r="BC100" s="228">
        <f t="shared" si="118"/>
        <v>0</v>
      </c>
      <c r="BD100" s="228">
        <f t="shared" si="119"/>
        <v>0</v>
      </c>
      <c r="BE100" s="228">
        <f t="shared" si="79"/>
        <v>1</v>
      </c>
      <c r="BF100" s="228" t="str">
        <f t="shared" si="89"/>
        <v>ALIVE</v>
      </c>
      <c r="BG100" s="208" t="str">
        <f t="shared" si="80"/>
        <v>Aucune</v>
      </c>
      <c r="BH100" s="208" t="str">
        <f t="shared" si="81"/>
        <v>Aucune</v>
      </c>
      <c r="BI100" s="208" t="str">
        <f t="shared" si="82"/>
        <v>Aucune</v>
      </c>
      <c r="BJ100" s="208" t="str">
        <f t="shared" si="100"/>
        <v>NON</v>
      </c>
      <c r="BK100" s="208" t="str">
        <f t="shared" si="83"/>
        <v>NON</v>
      </c>
      <c r="BL100" s="208" t="str">
        <f t="shared" si="101"/>
        <v>Inconnu</v>
      </c>
      <c r="BM100" s="208" t="str">
        <f t="shared" si="120"/>
        <v>Inconnu</v>
      </c>
      <c r="BN100" s="208" t="str">
        <f t="shared" si="121"/>
        <v>Inconnu</v>
      </c>
      <c r="BO100" s="208" t="str">
        <f t="shared" si="102"/>
        <v>Inconnu</v>
      </c>
      <c r="BP100" s="208" t="str">
        <f t="shared" si="122"/>
        <v>Inconnu</v>
      </c>
      <c r="BQ100" s="208" t="str">
        <f t="shared" si="123"/>
        <v>Inconnu</v>
      </c>
      <c r="BR100" s="208" t="str">
        <f t="shared" si="124"/>
        <v>Aucune</v>
      </c>
      <c r="BS100" s="208">
        <f t="shared" si="125"/>
        <v>0</v>
      </c>
      <c r="BT100" s="229" t="e">
        <f>VLOOKUP($I100,Lieu_Activité!$A:$B,2,FALSE)</f>
        <v>#N/A</v>
      </c>
      <c r="BU100" s="208" t="str">
        <f t="shared" si="85"/>
        <v>Aucun</v>
      </c>
      <c r="BV100" s="208" t="str">
        <f t="shared" si="86"/>
        <v>Aucun</v>
      </c>
      <c r="BW100" s="207" t="str">
        <f t="shared" si="103"/>
        <v>NON</v>
      </c>
      <c r="BX100" s="288"/>
    </row>
    <row r="101" spans="1:76" ht="12.95" customHeight="1" x14ac:dyDescent="0.25">
      <c r="A101" s="231" t="s">
        <v>210</v>
      </c>
      <c r="B101" s="234"/>
      <c r="C101" s="227"/>
      <c r="D101" s="257"/>
      <c r="E101" s="278">
        <f t="shared" si="114"/>
        <v>0</v>
      </c>
      <c r="F101" s="278" t="str">
        <f t="shared" si="87"/>
        <v xml:space="preserve"> </v>
      </c>
      <c r="G101" s="256"/>
      <c r="H101" s="256"/>
      <c r="I101" s="256"/>
      <c r="J101" s="256"/>
      <c r="K101" s="256"/>
      <c r="L101" s="257"/>
      <c r="M101" s="243"/>
      <c r="N101" s="232"/>
      <c r="O101" s="232"/>
      <c r="P101" s="265" t="str">
        <f>IFERROR(VLOOKUP(O101,Références!$K$11:$N$19,2)," ")</f>
        <v xml:space="preserve"> </v>
      </c>
      <c r="Q101" s="265" t="str">
        <f>IFERROR(VLOOKUP(O101,Références!$K$11:$N$19,3)," ")</f>
        <v xml:space="preserve"> </v>
      </c>
      <c r="R101" s="265" t="str">
        <f>IFERROR(VLOOKUP(O101,Références!$K$11:$N$19,4)," ")</f>
        <v xml:space="preserve"> </v>
      </c>
      <c r="S101" s="256"/>
      <c r="T101" s="256"/>
      <c r="U101" s="256"/>
      <c r="V101" s="256"/>
      <c r="W101" s="256"/>
      <c r="X101" s="257"/>
      <c r="Y101" s="256"/>
      <c r="Z101" s="256"/>
      <c r="AA101" s="256"/>
      <c r="AB101" s="235"/>
      <c r="AC101" s="235"/>
      <c r="AD101" s="235"/>
      <c r="AE101" s="235"/>
      <c r="AF101" s="235"/>
      <c r="AG101" s="235"/>
      <c r="AH101" s="235"/>
      <c r="AI101" s="235">
        <f t="shared" si="115"/>
        <v>0</v>
      </c>
      <c r="AJ101" s="257"/>
      <c r="AK101" s="256">
        <f t="shared" si="116"/>
        <v>0</v>
      </c>
      <c r="AL101" s="257"/>
      <c r="AM101" s="266">
        <f t="shared" si="117"/>
        <v>0</v>
      </c>
      <c r="AN101" s="256"/>
      <c r="AO101" s="276"/>
      <c r="AP101" s="261" t="str">
        <f t="shared" si="88"/>
        <v xml:space="preserve"> </v>
      </c>
      <c r="AQ101" s="256"/>
      <c r="AR101" s="295"/>
      <c r="AS101" s="295"/>
      <c r="AT101" s="263"/>
      <c r="AU101" s="277"/>
      <c r="AV101" s="263"/>
      <c r="AW101" s="230"/>
      <c r="AX101" s="300"/>
      <c r="AY101" s="301"/>
      <c r="AZ101" s="230"/>
      <c r="BA101" s="300" t="s">
        <v>234</v>
      </c>
      <c r="BB101" s="295"/>
      <c r="BC101" s="228">
        <f t="shared" si="118"/>
        <v>0</v>
      </c>
      <c r="BD101" s="228">
        <f t="shared" si="119"/>
        <v>0</v>
      </c>
      <c r="BE101" s="228">
        <f t="shared" si="79"/>
        <v>1</v>
      </c>
      <c r="BF101" s="228" t="str">
        <f t="shared" si="89"/>
        <v>ALIVE</v>
      </c>
      <c r="BG101" s="208" t="str">
        <f t="shared" si="80"/>
        <v>Aucune</v>
      </c>
      <c r="BH101" s="208" t="str">
        <f t="shared" si="81"/>
        <v>Aucune</v>
      </c>
      <c r="BI101" s="208" t="str">
        <f t="shared" si="82"/>
        <v>Aucune</v>
      </c>
      <c r="BJ101" s="208" t="str">
        <f t="shared" si="100"/>
        <v>NON</v>
      </c>
      <c r="BK101" s="208" t="str">
        <f t="shared" si="83"/>
        <v>NON</v>
      </c>
      <c r="BL101" s="208" t="str">
        <f t="shared" si="101"/>
        <v>Inconnu</v>
      </c>
      <c r="BM101" s="208" t="str">
        <f t="shared" si="120"/>
        <v>Inconnu</v>
      </c>
      <c r="BN101" s="208" t="str">
        <f t="shared" si="121"/>
        <v>Inconnu</v>
      </c>
      <c r="BO101" s="208" t="str">
        <f t="shared" si="102"/>
        <v>Inconnu</v>
      </c>
      <c r="BP101" s="208" t="str">
        <f t="shared" si="122"/>
        <v>Inconnu</v>
      </c>
      <c r="BQ101" s="208" t="str">
        <f t="shared" si="123"/>
        <v>Inconnu</v>
      </c>
      <c r="BR101" s="208" t="str">
        <f t="shared" si="124"/>
        <v>Aucune</v>
      </c>
      <c r="BS101" s="208">
        <f t="shared" si="125"/>
        <v>0</v>
      </c>
      <c r="BT101" s="229" t="e">
        <f>VLOOKUP($I101,Lieu_Activité!$A:$B,2,FALSE)</f>
        <v>#N/A</v>
      </c>
      <c r="BU101" s="208" t="str">
        <f t="shared" si="85"/>
        <v>Aucun</v>
      </c>
      <c r="BV101" s="208" t="str">
        <f t="shared" si="86"/>
        <v>Aucun</v>
      </c>
      <c r="BW101" s="207" t="str">
        <f t="shared" si="103"/>
        <v>NON</v>
      </c>
      <c r="BX101" s="288"/>
    </row>
    <row r="102" spans="1:76" ht="12.95" customHeight="1" x14ac:dyDescent="0.25">
      <c r="A102" s="231" t="s">
        <v>210</v>
      </c>
      <c r="B102" s="234"/>
      <c r="C102" s="227"/>
      <c r="D102" s="257"/>
      <c r="E102" s="278">
        <f t="shared" si="99"/>
        <v>0</v>
      </c>
      <c r="F102" s="278" t="str">
        <f t="shared" si="87"/>
        <v xml:space="preserve"> </v>
      </c>
      <c r="G102" s="256"/>
      <c r="H102" s="256"/>
      <c r="I102" s="256"/>
      <c r="J102" s="256"/>
      <c r="K102" s="256"/>
      <c r="L102" s="257"/>
      <c r="M102" s="243"/>
      <c r="N102" s="232"/>
      <c r="O102" s="232"/>
      <c r="P102" s="265" t="str">
        <f>IFERROR(VLOOKUP(O102,Références!$K$11:$N$19,2)," ")</f>
        <v xml:space="preserve"> </v>
      </c>
      <c r="Q102" s="265" t="str">
        <f>IFERROR(VLOOKUP(O102,Références!$K$11:$N$19,3)," ")</f>
        <v xml:space="preserve"> </v>
      </c>
      <c r="R102" s="265" t="str">
        <f>IFERROR(VLOOKUP(O102,Références!$K$11:$N$19,4)," ")</f>
        <v xml:space="preserve"> </v>
      </c>
      <c r="S102" s="256"/>
      <c r="T102" s="256"/>
      <c r="U102" s="256"/>
      <c r="V102" s="256"/>
      <c r="W102" s="256"/>
      <c r="X102" s="257"/>
      <c r="Y102" s="256"/>
      <c r="Z102" s="256"/>
      <c r="AA102" s="256"/>
      <c r="AB102" s="235"/>
      <c r="AC102" s="235"/>
      <c r="AD102" s="235"/>
      <c r="AE102" s="235"/>
      <c r="AF102" s="235"/>
      <c r="AG102" s="235"/>
      <c r="AH102" s="235"/>
      <c r="AI102" s="235">
        <f t="shared" si="104"/>
        <v>0</v>
      </c>
      <c r="AJ102" s="257"/>
      <c r="AK102" s="256">
        <f t="shared" si="105"/>
        <v>0</v>
      </c>
      <c r="AL102" s="257"/>
      <c r="AM102" s="266">
        <f t="shared" si="106"/>
        <v>0</v>
      </c>
      <c r="AN102" s="256"/>
      <c r="AO102" s="276"/>
      <c r="AP102" s="261" t="str">
        <f t="shared" si="88"/>
        <v xml:space="preserve"> </v>
      </c>
      <c r="AQ102" s="256"/>
      <c r="AR102" s="295"/>
      <c r="AS102" s="295"/>
      <c r="AT102" s="263"/>
      <c r="AU102" s="277"/>
      <c r="AV102" s="263"/>
      <c r="AW102" s="230"/>
      <c r="AX102" s="300"/>
      <c r="AY102" s="301"/>
      <c r="AZ102" s="230"/>
      <c r="BA102" s="300" t="s">
        <v>234</v>
      </c>
      <c r="BB102" s="295"/>
      <c r="BC102" s="228">
        <f t="shared" si="107"/>
        <v>0</v>
      </c>
      <c r="BD102" s="228">
        <f t="shared" si="108"/>
        <v>0</v>
      </c>
      <c r="BE102" s="228">
        <f t="shared" si="79"/>
        <v>1</v>
      </c>
      <c r="BF102" s="228" t="str">
        <f t="shared" si="89"/>
        <v>ALIVE</v>
      </c>
      <c r="BG102" s="208" t="str">
        <f t="shared" si="80"/>
        <v>Aucune</v>
      </c>
      <c r="BH102" s="208" t="str">
        <f t="shared" si="81"/>
        <v>Aucune</v>
      </c>
      <c r="BI102" s="208" t="str">
        <f t="shared" si="82"/>
        <v>Aucune</v>
      </c>
      <c r="BJ102" s="208" t="str">
        <f t="shared" si="100"/>
        <v>NON</v>
      </c>
      <c r="BK102" s="208" t="str">
        <f t="shared" si="83"/>
        <v>NON</v>
      </c>
      <c r="BL102" s="208" t="str">
        <f t="shared" si="101"/>
        <v>Inconnu</v>
      </c>
      <c r="BM102" s="208" t="str">
        <f t="shared" si="109"/>
        <v>Inconnu</v>
      </c>
      <c r="BN102" s="208" t="str">
        <f t="shared" si="110"/>
        <v>Inconnu</v>
      </c>
      <c r="BO102" s="208" t="str">
        <f t="shared" si="102"/>
        <v>Inconnu</v>
      </c>
      <c r="BP102" s="208" t="str">
        <f t="shared" si="111"/>
        <v>Inconnu</v>
      </c>
      <c r="BQ102" s="208" t="str">
        <f t="shared" si="112"/>
        <v>Inconnu</v>
      </c>
      <c r="BR102" s="208" t="str">
        <f t="shared" si="113"/>
        <v>Aucune</v>
      </c>
      <c r="BS102" s="208">
        <f t="shared" si="125"/>
        <v>0</v>
      </c>
      <c r="BT102" s="229" t="e">
        <f>VLOOKUP($I102,Lieu_Activité!$A:$B,2,FALSE)</f>
        <v>#N/A</v>
      </c>
      <c r="BU102" s="208" t="str">
        <f t="shared" si="85"/>
        <v>Aucun</v>
      </c>
      <c r="BV102" s="208" t="str">
        <f t="shared" si="86"/>
        <v>Aucun</v>
      </c>
      <c r="BW102" s="207" t="str">
        <f t="shared" si="103"/>
        <v>NON</v>
      </c>
      <c r="BX102" s="288"/>
    </row>
    <row r="103" spans="1:76" ht="12.95" customHeight="1" x14ac:dyDescent="0.25">
      <c r="A103" s="231" t="s">
        <v>210</v>
      </c>
      <c r="B103" s="234"/>
      <c r="C103" s="227"/>
      <c r="D103" s="257"/>
      <c r="E103" s="278">
        <f t="shared" si="99"/>
        <v>0</v>
      </c>
      <c r="F103" s="278" t="str">
        <f t="shared" si="87"/>
        <v xml:space="preserve"> </v>
      </c>
      <c r="G103" s="256"/>
      <c r="H103" s="256"/>
      <c r="I103" s="256"/>
      <c r="J103" s="256"/>
      <c r="K103" s="256"/>
      <c r="L103" s="257"/>
      <c r="M103" s="243"/>
      <c r="N103" s="232"/>
      <c r="O103" s="232"/>
      <c r="P103" s="265" t="str">
        <f>IFERROR(VLOOKUP(O103,Références!$K$11:$N$19,2)," ")</f>
        <v xml:space="preserve"> </v>
      </c>
      <c r="Q103" s="265" t="str">
        <f>IFERROR(VLOOKUP(O103,Références!$K$11:$N$19,3)," ")</f>
        <v xml:space="preserve"> </v>
      </c>
      <c r="R103" s="265" t="str">
        <f>IFERROR(VLOOKUP(O103,Références!$K$11:$N$19,4)," ")</f>
        <v xml:space="preserve"> </v>
      </c>
      <c r="S103" s="256"/>
      <c r="T103" s="256"/>
      <c r="U103" s="256"/>
      <c r="V103" s="256"/>
      <c r="W103" s="256"/>
      <c r="X103" s="257"/>
      <c r="Y103" s="256"/>
      <c r="Z103" s="256"/>
      <c r="AA103" s="256"/>
      <c r="AB103" s="235"/>
      <c r="AC103" s="235"/>
      <c r="AD103" s="235"/>
      <c r="AE103" s="235"/>
      <c r="AF103" s="235"/>
      <c r="AG103" s="235"/>
      <c r="AH103" s="235"/>
      <c r="AI103" s="235">
        <f t="shared" si="104"/>
        <v>0</v>
      </c>
      <c r="AJ103" s="257"/>
      <c r="AK103" s="256">
        <f t="shared" si="105"/>
        <v>0</v>
      </c>
      <c r="AL103" s="257"/>
      <c r="AM103" s="266">
        <f t="shared" si="106"/>
        <v>0</v>
      </c>
      <c r="AN103" s="256"/>
      <c r="AO103" s="276"/>
      <c r="AP103" s="261" t="str">
        <f t="shared" si="88"/>
        <v xml:space="preserve"> </v>
      </c>
      <c r="AQ103" s="256"/>
      <c r="AR103" s="295"/>
      <c r="AS103" s="295"/>
      <c r="AT103" s="263"/>
      <c r="AU103" s="277"/>
      <c r="AV103" s="263"/>
      <c r="AW103" s="230"/>
      <c r="AX103" s="300"/>
      <c r="AY103" s="301"/>
      <c r="AZ103" s="230"/>
      <c r="BA103" s="300" t="s">
        <v>234</v>
      </c>
      <c r="BB103" s="295"/>
      <c r="BC103" s="228">
        <f t="shared" si="107"/>
        <v>0</v>
      </c>
      <c r="BD103" s="228">
        <f t="shared" si="108"/>
        <v>0</v>
      </c>
      <c r="BE103" s="228">
        <f t="shared" si="79"/>
        <v>1</v>
      </c>
      <c r="BF103" s="228" t="str">
        <f t="shared" si="89"/>
        <v>ALIVE</v>
      </c>
      <c r="BG103" s="208" t="str">
        <f t="shared" si="80"/>
        <v>Aucune</v>
      </c>
      <c r="BH103" s="208" t="str">
        <f t="shared" si="81"/>
        <v>Aucune</v>
      </c>
      <c r="BI103" s="208" t="str">
        <f t="shared" si="82"/>
        <v>Aucune</v>
      </c>
      <c r="BJ103" s="208" t="str">
        <f t="shared" si="100"/>
        <v>NON</v>
      </c>
      <c r="BK103" s="208" t="str">
        <f t="shared" si="83"/>
        <v>NON</v>
      </c>
      <c r="BL103" s="208" t="str">
        <f t="shared" si="101"/>
        <v>Inconnu</v>
      </c>
      <c r="BM103" s="208" t="str">
        <f t="shared" si="109"/>
        <v>Inconnu</v>
      </c>
      <c r="BN103" s="208" t="str">
        <f t="shared" si="110"/>
        <v>Inconnu</v>
      </c>
      <c r="BO103" s="208" t="str">
        <f t="shared" si="102"/>
        <v>Inconnu</v>
      </c>
      <c r="BP103" s="208" t="str">
        <f t="shared" si="111"/>
        <v>Inconnu</v>
      </c>
      <c r="BQ103" s="208" t="str">
        <f t="shared" si="112"/>
        <v>Inconnu</v>
      </c>
      <c r="BR103" s="208" t="str">
        <f t="shared" si="113"/>
        <v>Aucune</v>
      </c>
      <c r="BS103" s="208">
        <f t="shared" si="125"/>
        <v>0</v>
      </c>
      <c r="BT103" s="229" t="e">
        <f>VLOOKUP($I103,Lieu_Activité!$A:$B,2,FALSE)</f>
        <v>#N/A</v>
      </c>
      <c r="BU103" s="208" t="str">
        <f t="shared" si="85"/>
        <v>Aucun</v>
      </c>
      <c r="BV103" s="208" t="str">
        <f t="shared" si="86"/>
        <v>Aucun</v>
      </c>
      <c r="BW103" s="207" t="str">
        <f t="shared" si="103"/>
        <v>NON</v>
      </c>
      <c r="BX103" s="288"/>
    </row>
    <row r="104" spans="1:76" ht="12.95" customHeight="1" x14ac:dyDescent="0.25">
      <c r="A104" s="231" t="s">
        <v>210</v>
      </c>
      <c r="B104" s="234"/>
      <c r="C104" s="227"/>
      <c r="D104" s="257"/>
      <c r="E104" s="278">
        <f t="shared" si="99"/>
        <v>0</v>
      </c>
      <c r="F104" s="278" t="str">
        <f t="shared" si="87"/>
        <v xml:space="preserve"> </v>
      </c>
      <c r="G104" s="256"/>
      <c r="H104" s="256"/>
      <c r="I104" s="256"/>
      <c r="J104" s="256"/>
      <c r="K104" s="256"/>
      <c r="L104" s="257"/>
      <c r="M104" s="243"/>
      <c r="N104" s="232"/>
      <c r="O104" s="232"/>
      <c r="P104" s="265" t="str">
        <f>IFERROR(VLOOKUP(O104,Références!$K$11:$N$19,2)," ")</f>
        <v xml:space="preserve"> </v>
      </c>
      <c r="Q104" s="265" t="str">
        <f>IFERROR(VLOOKUP(O104,Références!$K$11:$N$19,3)," ")</f>
        <v xml:space="preserve"> </v>
      </c>
      <c r="R104" s="265" t="str">
        <f>IFERROR(VLOOKUP(O104,Références!$K$11:$N$19,4)," ")</f>
        <v xml:space="preserve"> </v>
      </c>
      <c r="S104" s="256"/>
      <c r="T104" s="256"/>
      <c r="U104" s="256"/>
      <c r="V104" s="256"/>
      <c r="W104" s="256"/>
      <c r="X104" s="257"/>
      <c r="Y104" s="256"/>
      <c r="Z104" s="256"/>
      <c r="AA104" s="256"/>
      <c r="AB104" s="235"/>
      <c r="AC104" s="235"/>
      <c r="AD104" s="235"/>
      <c r="AE104" s="235"/>
      <c r="AF104" s="235"/>
      <c r="AG104" s="235"/>
      <c r="AH104" s="235"/>
      <c r="AI104" s="235">
        <f t="shared" si="104"/>
        <v>0</v>
      </c>
      <c r="AJ104" s="257"/>
      <c r="AK104" s="256">
        <f t="shared" si="105"/>
        <v>0</v>
      </c>
      <c r="AL104" s="257"/>
      <c r="AM104" s="266">
        <f t="shared" si="106"/>
        <v>0</v>
      </c>
      <c r="AN104" s="256"/>
      <c r="AO104" s="276"/>
      <c r="AP104" s="261" t="str">
        <f t="shared" si="88"/>
        <v xml:space="preserve"> </v>
      </c>
      <c r="AQ104" s="256"/>
      <c r="AR104" s="295"/>
      <c r="AS104" s="295"/>
      <c r="AT104" s="263"/>
      <c r="AU104" s="277"/>
      <c r="AV104" s="263"/>
      <c r="AW104" s="230"/>
      <c r="AX104" s="300"/>
      <c r="AY104" s="301"/>
      <c r="AZ104" s="230"/>
      <c r="BA104" s="300" t="s">
        <v>234</v>
      </c>
      <c r="BB104" s="295"/>
      <c r="BC104" s="228">
        <f>IF(BG104="Aucune",0,1)</f>
        <v>0</v>
      </c>
      <c r="BD104" s="228">
        <f>IF(BH104="Aucune",0,1)</f>
        <v>0</v>
      </c>
      <c r="BE104" s="228">
        <f t="shared" si="79"/>
        <v>1</v>
      </c>
      <c r="BF104" s="228" t="str">
        <f t="shared" si="89"/>
        <v>ALIVE</v>
      </c>
      <c r="BG104" s="208" t="str">
        <f t="shared" si="80"/>
        <v>Aucune</v>
      </c>
      <c r="BH104" s="208" t="str">
        <f t="shared" si="81"/>
        <v>Aucune</v>
      </c>
      <c r="BI104" s="208" t="str">
        <f t="shared" si="82"/>
        <v>Aucune</v>
      </c>
      <c r="BJ104" s="208" t="str">
        <f t="shared" si="100"/>
        <v>NON</v>
      </c>
      <c r="BK104" s="208" t="str">
        <f t="shared" si="83"/>
        <v>NON</v>
      </c>
      <c r="BL104" s="208" t="str">
        <f t="shared" si="101"/>
        <v>Inconnu</v>
      </c>
      <c r="BM104" s="208" t="str">
        <f>IF($O104&lt;&gt;"HTX",IF($O104&lt;&gt;"LVAD",BL104,"Inconnu"),"Inconnu")</f>
        <v>Inconnu</v>
      </c>
      <c r="BN104" s="208" t="str">
        <f>IF($O104="HTX",BL104,IF($O104="LVAD",BL104,"Inconnu"))</f>
        <v>Inconnu</v>
      </c>
      <c r="BO104" s="208" t="str">
        <f t="shared" si="102"/>
        <v>Inconnu</v>
      </c>
      <c r="BP104" s="208" t="str">
        <f>IF($O104&lt;&gt;"HTX",IF($O104&lt;&gt;"LVAD",BO104,"Inconnu"),"Inconnu")</f>
        <v>Inconnu</v>
      </c>
      <c r="BQ104" s="208" t="str">
        <f>IF($O104="HTX",BO104,IF($O104="LVAD",BO104,"Inconnu"))</f>
        <v>Inconnu</v>
      </c>
      <c r="BR104" s="208" t="str">
        <f>IF(BH104="Aucune",IF(BI104="Aucune","Aucune","Transfusé"),"Transfusé")</f>
        <v>Aucune</v>
      </c>
      <c r="BS104" s="208">
        <f t="shared" si="125"/>
        <v>0</v>
      </c>
      <c r="BT104" s="229" t="e">
        <f>VLOOKUP($I104,Lieu_Activité!$A:$B,2,FALSE)</f>
        <v>#N/A</v>
      </c>
      <c r="BU104" s="208" t="str">
        <f t="shared" si="85"/>
        <v>Aucun</v>
      </c>
      <c r="BV104" s="208" t="str">
        <f t="shared" si="86"/>
        <v>Aucun</v>
      </c>
      <c r="BW104" s="207" t="str">
        <f t="shared" si="103"/>
        <v>NON</v>
      </c>
      <c r="BX104" s="288"/>
    </row>
    <row r="105" spans="1:76" ht="12.95" customHeight="1" x14ac:dyDescent="0.25">
      <c r="A105" s="231" t="s">
        <v>210</v>
      </c>
      <c r="B105" s="234"/>
      <c r="C105" s="227"/>
      <c r="D105" s="257"/>
      <c r="E105" s="278">
        <f t="shared" si="99"/>
        <v>0</v>
      </c>
      <c r="F105" s="278" t="str">
        <f t="shared" si="87"/>
        <v xml:space="preserve"> </v>
      </c>
      <c r="G105" s="256"/>
      <c r="H105" s="256"/>
      <c r="I105" s="256"/>
      <c r="J105" s="256"/>
      <c r="K105" s="256"/>
      <c r="L105" s="257"/>
      <c r="M105" s="243"/>
      <c r="N105" s="232"/>
      <c r="O105" s="232"/>
      <c r="P105" s="265" t="str">
        <f>IFERROR(VLOOKUP(O105,Références!$K$11:$N$19,2)," ")</f>
        <v xml:space="preserve"> </v>
      </c>
      <c r="Q105" s="265" t="str">
        <f>IFERROR(VLOOKUP(O105,Références!$K$11:$N$19,3)," ")</f>
        <v xml:space="preserve"> </v>
      </c>
      <c r="R105" s="265" t="str">
        <f>IFERROR(VLOOKUP(O105,Références!$K$11:$N$19,4)," ")</f>
        <v xml:space="preserve"> </v>
      </c>
      <c r="S105" s="256"/>
      <c r="T105" s="256"/>
      <c r="U105" s="256"/>
      <c r="V105" s="256"/>
      <c r="W105" s="256"/>
      <c r="X105" s="257"/>
      <c r="Y105" s="256"/>
      <c r="Z105" s="256"/>
      <c r="AA105" s="256"/>
      <c r="AB105" s="235"/>
      <c r="AC105" s="235"/>
      <c r="AD105" s="235"/>
      <c r="AE105" s="235"/>
      <c r="AF105" s="235"/>
      <c r="AG105" s="235"/>
      <c r="AH105" s="235"/>
      <c r="AI105" s="235">
        <f t="shared" si="104"/>
        <v>0</v>
      </c>
      <c r="AJ105" s="257"/>
      <c r="AK105" s="256">
        <f t="shared" si="105"/>
        <v>0</v>
      </c>
      <c r="AL105" s="257"/>
      <c r="AM105" s="266">
        <f t="shared" si="106"/>
        <v>0</v>
      </c>
      <c r="AN105" s="256"/>
      <c r="AO105" s="276"/>
      <c r="AP105" s="261" t="str">
        <f t="shared" si="88"/>
        <v xml:space="preserve"> </v>
      </c>
      <c r="AQ105" s="256"/>
      <c r="AR105" s="295"/>
      <c r="AS105" s="295"/>
      <c r="AT105" s="263"/>
      <c r="AU105" s="277"/>
      <c r="AV105" s="263"/>
      <c r="AW105" s="230"/>
      <c r="AX105" s="300"/>
      <c r="AY105" s="301"/>
      <c r="AZ105" s="230"/>
      <c r="BA105" s="300" t="s">
        <v>234</v>
      </c>
      <c r="BB105" s="295"/>
      <c r="BC105" s="228">
        <f t="shared" si="107"/>
        <v>0</v>
      </c>
      <c r="BD105" s="228">
        <f t="shared" si="108"/>
        <v>0</v>
      </c>
      <c r="BE105" s="228">
        <f t="shared" si="79"/>
        <v>1</v>
      </c>
      <c r="BF105" s="228" t="str">
        <f t="shared" si="89"/>
        <v>ALIVE</v>
      </c>
      <c r="BG105" s="208" t="str">
        <f t="shared" si="80"/>
        <v>Aucune</v>
      </c>
      <c r="BH105" s="208" t="str">
        <f t="shared" si="81"/>
        <v>Aucune</v>
      </c>
      <c r="BI105" s="208" t="str">
        <f t="shared" si="82"/>
        <v>Aucune</v>
      </c>
      <c r="BJ105" s="208" t="str">
        <f t="shared" si="100"/>
        <v>NON</v>
      </c>
      <c r="BK105" s="208" t="str">
        <f t="shared" si="83"/>
        <v>NON</v>
      </c>
      <c r="BL105" s="208" t="str">
        <f t="shared" si="101"/>
        <v>Inconnu</v>
      </c>
      <c r="BM105" s="208" t="str">
        <f t="shared" si="109"/>
        <v>Inconnu</v>
      </c>
      <c r="BN105" s="208" t="str">
        <f t="shared" si="110"/>
        <v>Inconnu</v>
      </c>
      <c r="BO105" s="208" t="str">
        <f t="shared" si="102"/>
        <v>Inconnu</v>
      </c>
      <c r="BP105" s="208" t="str">
        <f t="shared" si="111"/>
        <v>Inconnu</v>
      </c>
      <c r="BQ105" s="208" t="str">
        <f t="shared" si="112"/>
        <v>Inconnu</v>
      </c>
      <c r="BR105" s="208" t="str">
        <f t="shared" si="113"/>
        <v>Aucune</v>
      </c>
      <c r="BS105" s="208">
        <f t="shared" si="125"/>
        <v>0</v>
      </c>
      <c r="BT105" s="229" t="e">
        <f>VLOOKUP($I105,Lieu_Activité!$A:$B,2,FALSE)</f>
        <v>#N/A</v>
      </c>
      <c r="BU105" s="208" t="str">
        <f t="shared" si="85"/>
        <v>Aucun</v>
      </c>
      <c r="BV105" s="208" t="str">
        <f t="shared" si="86"/>
        <v>Aucun</v>
      </c>
      <c r="BW105" s="207" t="str">
        <f t="shared" si="103"/>
        <v>NON</v>
      </c>
      <c r="BX105" s="288"/>
    </row>
    <row r="106" spans="1:76" ht="12.95" customHeight="1" x14ac:dyDescent="0.25">
      <c r="A106" s="231" t="s">
        <v>210</v>
      </c>
      <c r="B106" s="234"/>
      <c r="C106" s="227"/>
      <c r="D106" s="257"/>
      <c r="E106" s="278">
        <f t="shared" si="99"/>
        <v>0</v>
      </c>
      <c r="F106" s="278" t="str">
        <f t="shared" si="87"/>
        <v xml:space="preserve"> </v>
      </c>
      <c r="G106" s="256"/>
      <c r="H106" s="256"/>
      <c r="I106" s="256"/>
      <c r="J106" s="256"/>
      <c r="K106" s="256"/>
      <c r="L106" s="257"/>
      <c r="M106" s="243"/>
      <c r="N106" s="232"/>
      <c r="O106" s="232"/>
      <c r="P106" s="265" t="str">
        <f>IFERROR(VLOOKUP(O106,Références!$K$11:$N$19,2)," ")</f>
        <v xml:space="preserve"> </v>
      </c>
      <c r="Q106" s="265" t="str">
        <f>IFERROR(VLOOKUP(O106,Références!$K$11:$N$19,3)," ")</f>
        <v xml:space="preserve"> </v>
      </c>
      <c r="R106" s="265" t="str">
        <f>IFERROR(VLOOKUP(O106,Références!$K$11:$N$19,4)," ")</f>
        <v xml:space="preserve"> </v>
      </c>
      <c r="S106" s="256"/>
      <c r="T106" s="256"/>
      <c r="U106" s="256"/>
      <c r="V106" s="256"/>
      <c r="W106" s="256"/>
      <c r="X106" s="257"/>
      <c r="Y106" s="256"/>
      <c r="Z106" s="256"/>
      <c r="AA106" s="256"/>
      <c r="AB106" s="235"/>
      <c r="AC106" s="235"/>
      <c r="AD106" s="235"/>
      <c r="AE106" s="235"/>
      <c r="AF106" s="235"/>
      <c r="AG106" s="235"/>
      <c r="AH106" s="235"/>
      <c r="AI106" s="235">
        <f t="shared" si="104"/>
        <v>0</v>
      </c>
      <c r="AJ106" s="257"/>
      <c r="AK106" s="256">
        <f t="shared" si="105"/>
        <v>0</v>
      </c>
      <c r="AL106" s="257"/>
      <c r="AM106" s="266">
        <f t="shared" si="106"/>
        <v>0</v>
      </c>
      <c r="AN106" s="256"/>
      <c r="AO106" s="276"/>
      <c r="AP106" s="261" t="str">
        <f t="shared" si="88"/>
        <v xml:space="preserve"> </v>
      </c>
      <c r="AQ106" s="256"/>
      <c r="AR106" s="295"/>
      <c r="AS106" s="295"/>
      <c r="AT106" s="263"/>
      <c r="AU106" s="277"/>
      <c r="AV106" s="263"/>
      <c r="AW106" s="230"/>
      <c r="AX106" s="300"/>
      <c r="AY106" s="301"/>
      <c r="AZ106" s="230"/>
      <c r="BA106" s="300" t="s">
        <v>234</v>
      </c>
      <c r="BB106" s="295"/>
      <c r="BC106" s="228">
        <f t="shared" si="107"/>
        <v>0</v>
      </c>
      <c r="BD106" s="228">
        <f t="shared" si="108"/>
        <v>0</v>
      </c>
      <c r="BE106" s="228">
        <f t="shared" si="79"/>
        <v>1</v>
      </c>
      <c r="BF106" s="228" t="str">
        <f t="shared" si="89"/>
        <v>ALIVE</v>
      </c>
      <c r="BG106" s="208" t="str">
        <f t="shared" si="80"/>
        <v>Aucune</v>
      </c>
      <c r="BH106" s="208" t="str">
        <f t="shared" si="81"/>
        <v>Aucune</v>
      </c>
      <c r="BI106" s="208" t="str">
        <f t="shared" si="82"/>
        <v>Aucune</v>
      </c>
      <c r="BJ106" s="208" t="str">
        <f t="shared" si="100"/>
        <v>NON</v>
      </c>
      <c r="BK106" s="208" t="str">
        <f t="shared" si="83"/>
        <v>NON</v>
      </c>
      <c r="BL106" s="208" t="str">
        <f t="shared" si="101"/>
        <v>Inconnu</v>
      </c>
      <c r="BM106" s="208" t="str">
        <f t="shared" si="109"/>
        <v>Inconnu</v>
      </c>
      <c r="BN106" s="208" t="str">
        <f t="shared" si="110"/>
        <v>Inconnu</v>
      </c>
      <c r="BO106" s="208" t="str">
        <f t="shared" si="102"/>
        <v>Inconnu</v>
      </c>
      <c r="BP106" s="208" t="str">
        <f t="shared" si="111"/>
        <v>Inconnu</v>
      </c>
      <c r="BQ106" s="208" t="str">
        <f t="shared" si="112"/>
        <v>Inconnu</v>
      </c>
      <c r="BR106" s="208" t="str">
        <f t="shared" si="113"/>
        <v>Aucune</v>
      </c>
      <c r="BS106" s="208">
        <f t="shared" si="125"/>
        <v>0</v>
      </c>
      <c r="BT106" s="229" t="e">
        <f>VLOOKUP($I106,Lieu_Activité!$A:$B,2,FALSE)</f>
        <v>#N/A</v>
      </c>
      <c r="BU106" s="208" t="str">
        <f t="shared" si="85"/>
        <v>Aucun</v>
      </c>
      <c r="BV106" s="208" t="str">
        <f t="shared" si="86"/>
        <v>Aucun</v>
      </c>
      <c r="BW106" s="207" t="str">
        <f t="shared" si="103"/>
        <v>NON</v>
      </c>
      <c r="BX106" s="288"/>
    </row>
    <row r="107" spans="1:76" ht="12.95" customHeight="1" x14ac:dyDescent="0.25">
      <c r="A107" s="231" t="s">
        <v>210</v>
      </c>
      <c r="B107" s="234"/>
      <c r="C107" s="227"/>
      <c r="D107" s="257"/>
      <c r="E107" s="278">
        <f t="shared" si="99"/>
        <v>0</v>
      </c>
      <c r="F107" s="278" t="str">
        <f t="shared" si="87"/>
        <v xml:space="preserve"> </v>
      </c>
      <c r="G107" s="256"/>
      <c r="H107" s="256"/>
      <c r="I107" s="256"/>
      <c r="J107" s="256"/>
      <c r="K107" s="256"/>
      <c r="L107" s="257"/>
      <c r="M107" s="243"/>
      <c r="N107" s="232"/>
      <c r="O107" s="232"/>
      <c r="P107" s="265" t="str">
        <f>IFERROR(VLOOKUP(O107,Références!$K$11:$N$19,2)," ")</f>
        <v xml:space="preserve"> </v>
      </c>
      <c r="Q107" s="265" t="str">
        <f>IFERROR(VLOOKUP(O107,Références!$K$11:$N$19,3)," ")</f>
        <v xml:space="preserve"> </v>
      </c>
      <c r="R107" s="265" t="str">
        <f>IFERROR(VLOOKUP(O107,Références!$K$11:$N$19,4)," ")</f>
        <v xml:space="preserve"> </v>
      </c>
      <c r="S107" s="256"/>
      <c r="T107" s="256"/>
      <c r="U107" s="256"/>
      <c r="V107" s="256"/>
      <c r="W107" s="256"/>
      <c r="X107" s="257"/>
      <c r="Y107" s="256"/>
      <c r="Z107" s="256"/>
      <c r="AA107" s="256"/>
      <c r="AB107" s="235"/>
      <c r="AC107" s="235"/>
      <c r="AD107" s="235"/>
      <c r="AE107" s="235"/>
      <c r="AF107" s="235"/>
      <c r="AG107" s="235"/>
      <c r="AH107" s="235"/>
      <c r="AI107" s="235">
        <f t="shared" si="104"/>
        <v>0</v>
      </c>
      <c r="AJ107" s="257"/>
      <c r="AK107" s="256">
        <f t="shared" si="105"/>
        <v>0</v>
      </c>
      <c r="AL107" s="257"/>
      <c r="AM107" s="266">
        <f t="shared" si="106"/>
        <v>0</v>
      </c>
      <c r="AN107" s="256"/>
      <c r="AO107" s="276"/>
      <c r="AP107" s="261" t="str">
        <f t="shared" si="88"/>
        <v xml:space="preserve"> </v>
      </c>
      <c r="AQ107" s="256"/>
      <c r="AR107" s="297"/>
      <c r="AS107" s="295"/>
      <c r="AT107" s="263"/>
      <c r="AU107" s="277"/>
      <c r="AV107" s="263"/>
      <c r="AW107" s="230"/>
      <c r="AX107" s="300"/>
      <c r="AY107" s="301"/>
      <c r="AZ107" s="230"/>
      <c r="BA107" s="300" t="s">
        <v>234</v>
      </c>
      <c r="BB107" s="295"/>
      <c r="BC107" s="228">
        <f t="shared" si="107"/>
        <v>0</v>
      </c>
      <c r="BD107" s="228">
        <f t="shared" si="108"/>
        <v>0</v>
      </c>
      <c r="BE107" s="228">
        <f t="shared" si="79"/>
        <v>1</v>
      </c>
      <c r="BF107" s="228" t="str">
        <f t="shared" si="89"/>
        <v>ALIVE</v>
      </c>
      <c r="BG107" s="208" t="str">
        <f t="shared" si="80"/>
        <v>Aucune</v>
      </c>
      <c r="BH107" s="208" t="str">
        <f t="shared" si="81"/>
        <v>Aucune</v>
      </c>
      <c r="BI107" s="208" t="str">
        <f t="shared" si="82"/>
        <v>Aucune</v>
      </c>
      <c r="BJ107" s="208" t="str">
        <f t="shared" si="100"/>
        <v>NON</v>
      </c>
      <c r="BK107" s="208" t="str">
        <f t="shared" si="83"/>
        <v>NON</v>
      </c>
      <c r="BL107" s="208" t="str">
        <f t="shared" si="101"/>
        <v>Inconnu</v>
      </c>
      <c r="BM107" s="208" t="str">
        <f t="shared" si="109"/>
        <v>Inconnu</v>
      </c>
      <c r="BN107" s="208" t="str">
        <f t="shared" si="110"/>
        <v>Inconnu</v>
      </c>
      <c r="BO107" s="208" t="str">
        <f t="shared" si="102"/>
        <v>Inconnu</v>
      </c>
      <c r="BP107" s="208" t="str">
        <f t="shared" si="111"/>
        <v>Inconnu</v>
      </c>
      <c r="BQ107" s="208" t="str">
        <f t="shared" si="112"/>
        <v>Inconnu</v>
      </c>
      <c r="BR107" s="208" t="str">
        <f t="shared" si="113"/>
        <v>Aucune</v>
      </c>
      <c r="BS107" s="208">
        <f t="shared" si="125"/>
        <v>0</v>
      </c>
      <c r="BT107" s="229" t="e">
        <f>VLOOKUP($I107,Lieu_Activité!$A:$B,2,FALSE)</f>
        <v>#N/A</v>
      </c>
      <c r="BU107" s="208" t="str">
        <f t="shared" si="85"/>
        <v>Aucun</v>
      </c>
      <c r="BV107" s="208" t="str">
        <f t="shared" si="86"/>
        <v>Aucun</v>
      </c>
      <c r="BW107" s="207" t="str">
        <f t="shared" si="103"/>
        <v>NON</v>
      </c>
      <c r="BX107" s="288"/>
    </row>
    <row r="108" spans="1:76" ht="12.95" customHeight="1" x14ac:dyDescent="0.25">
      <c r="A108" s="231" t="s">
        <v>210</v>
      </c>
      <c r="B108" s="234"/>
      <c r="C108" s="227"/>
      <c r="D108" s="257"/>
      <c r="E108" s="278">
        <f t="shared" si="99"/>
        <v>0</v>
      </c>
      <c r="F108" s="278" t="str">
        <f t="shared" si="87"/>
        <v xml:space="preserve"> </v>
      </c>
      <c r="G108" s="256"/>
      <c r="H108" s="256"/>
      <c r="I108" s="256"/>
      <c r="J108" s="256"/>
      <c r="K108" s="256"/>
      <c r="L108" s="257"/>
      <c r="M108" s="243"/>
      <c r="N108" s="232"/>
      <c r="O108" s="232"/>
      <c r="P108" s="265" t="str">
        <f>IFERROR(VLOOKUP(O108,Références!$K$11:$N$19,2)," ")</f>
        <v xml:space="preserve"> </v>
      </c>
      <c r="Q108" s="265" t="str">
        <f>IFERROR(VLOOKUP(O108,Références!$K$11:$N$19,3)," ")</f>
        <v xml:space="preserve"> </v>
      </c>
      <c r="R108" s="265" t="str">
        <f>IFERROR(VLOOKUP(O108,Références!$K$11:$N$19,4)," ")</f>
        <v xml:space="preserve"> </v>
      </c>
      <c r="S108" s="256"/>
      <c r="T108" s="256"/>
      <c r="U108" s="256"/>
      <c r="V108" s="256"/>
      <c r="W108" s="256"/>
      <c r="X108" s="257"/>
      <c r="Y108" s="256"/>
      <c r="Z108" s="256"/>
      <c r="AA108" s="256"/>
      <c r="AB108" s="235"/>
      <c r="AC108" s="235"/>
      <c r="AD108" s="235"/>
      <c r="AE108" s="235"/>
      <c r="AF108" s="235"/>
      <c r="AG108" s="235"/>
      <c r="AH108" s="235"/>
      <c r="AI108" s="235">
        <f t="shared" si="104"/>
        <v>0</v>
      </c>
      <c r="AJ108" s="257"/>
      <c r="AK108" s="256">
        <f t="shared" si="105"/>
        <v>0</v>
      </c>
      <c r="AL108" s="257"/>
      <c r="AM108" s="266">
        <f t="shared" si="106"/>
        <v>0</v>
      </c>
      <c r="AN108" s="256"/>
      <c r="AO108" s="276"/>
      <c r="AP108" s="261" t="str">
        <f t="shared" si="88"/>
        <v xml:space="preserve"> </v>
      </c>
      <c r="AQ108" s="256"/>
      <c r="AR108" s="295"/>
      <c r="AS108" s="295"/>
      <c r="AT108" s="263"/>
      <c r="AU108" s="277"/>
      <c r="AV108" s="263"/>
      <c r="AW108" s="230"/>
      <c r="AX108" s="300"/>
      <c r="AY108" s="301"/>
      <c r="AZ108" s="230"/>
      <c r="BA108" s="300" t="s">
        <v>234</v>
      </c>
      <c r="BB108" s="295"/>
      <c r="BC108" s="228">
        <f t="shared" si="107"/>
        <v>0</v>
      </c>
      <c r="BD108" s="228">
        <f t="shared" si="108"/>
        <v>0</v>
      </c>
      <c r="BE108" s="228">
        <f t="shared" si="79"/>
        <v>1</v>
      </c>
      <c r="BF108" s="228" t="str">
        <f t="shared" si="89"/>
        <v>ALIVE</v>
      </c>
      <c r="BG108" s="208" t="str">
        <f t="shared" si="80"/>
        <v>Aucune</v>
      </c>
      <c r="BH108" s="208" t="str">
        <f t="shared" si="81"/>
        <v>Aucune</v>
      </c>
      <c r="BI108" s="208" t="str">
        <f t="shared" si="82"/>
        <v>Aucune</v>
      </c>
      <c r="BJ108" s="208" t="str">
        <f t="shared" si="100"/>
        <v>NON</v>
      </c>
      <c r="BK108" s="208" t="str">
        <f t="shared" si="83"/>
        <v>NON</v>
      </c>
      <c r="BL108" s="208" t="str">
        <f t="shared" si="101"/>
        <v>Inconnu</v>
      </c>
      <c r="BM108" s="208" t="str">
        <f t="shared" si="109"/>
        <v>Inconnu</v>
      </c>
      <c r="BN108" s="208" t="str">
        <f t="shared" si="110"/>
        <v>Inconnu</v>
      </c>
      <c r="BO108" s="208" t="str">
        <f t="shared" si="102"/>
        <v>Inconnu</v>
      </c>
      <c r="BP108" s="208" t="str">
        <f t="shared" si="111"/>
        <v>Inconnu</v>
      </c>
      <c r="BQ108" s="208" t="str">
        <f t="shared" si="112"/>
        <v>Inconnu</v>
      </c>
      <c r="BR108" s="208" t="str">
        <f t="shared" si="113"/>
        <v>Aucune</v>
      </c>
      <c r="BS108" s="208">
        <f t="shared" si="125"/>
        <v>0</v>
      </c>
      <c r="BT108" s="229" t="e">
        <f>VLOOKUP($I108,Lieu_Activité!$A:$B,2,FALSE)</f>
        <v>#N/A</v>
      </c>
      <c r="BU108" s="208" t="str">
        <f t="shared" si="85"/>
        <v>Aucun</v>
      </c>
      <c r="BV108" s="208" t="str">
        <f t="shared" si="86"/>
        <v>Aucun</v>
      </c>
      <c r="BW108" s="207" t="str">
        <f t="shared" si="103"/>
        <v>NON</v>
      </c>
      <c r="BX108" s="288"/>
    </row>
    <row r="109" spans="1:76" ht="12.95" customHeight="1" x14ac:dyDescent="0.25">
      <c r="A109" s="231" t="s">
        <v>210</v>
      </c>
      <c r="B109" s="268"/>
      <c r="C109" s="227"/>
      <c r="D109" s="257"/>
      <c r="E109" s="278">
        <f>(L109-D109)/365</f>
        <v>0</v>
      </c>
      <c r="F109" s="278" t="str">
        <f t="shared" si="87"/>
        <v xml:space="preserve"> </v>
      </c>
      <c r="G109" s="256"/>
      <c r="H109" s="256"/>
      <c r="I109" s="256"/>
      <c r="J109" s="256"/>
      <c r="K109" s="256"/>
      <c r="L109" s="257"/>
      <c r="M109" s="243"/>
      <c r="N109" s="232"/>
      <c r="O109" s="232"/>
      <c r="P109" s="265" t="str">
        <f>IFERROR(VLOOKUP(O109,Références!$K$11:$N$19,2)," ")</f>
        <v xml:space="preserve"> </v>
      </c>
      <c r="Q109" s="265" t="str">
        <f>IFERROR(VLOOKUP(O109,Références!$K$11:$N$19,3)," ")</f>
        <v xml:space="preserve"> </v>
      </c>
      <c r="R109" s="265" t="str">
        <f>IFERROR(VLOOKUP(O109,Références!$K$11:$N$19,4)," ")</f>
        <v xml:space="preserve"> </v>
      </c>
      <c r="S109" s="256"/>
      <c r="T109" s="256"/>
      <c r="U109" s="256"/>
      <c r="V109" s="256"/>
      <c r="W109" s="256"/>
      <c r="X109" s="257"/>
      <c r="Y109" s="256"/>
      <c r="Z109" s="256"/>
      <c r="AA109" s="256"/>
      <c r="AB109" s="235"/>
      <c r="AC109" s="235"/>
      <c r="AD109" s="235"/>
      <c r="AE109" s="235"/>
      <c r="AF109" s="235"/>
      <c r="AG109" s="235"/>
      <c r="AH109" s="235"/>
      <c r="AI109" s="235">
        <f>SUM(AF109,AH109)</f>
        <v>0</v>
      </c>
      <c r="AJ109" s="257"/>
      <c r="AK109" s="256">
        <f>(AJ109-L109)</f>
        <v>0</v>
      </c>
      <c r="AL109" s="257"/>
      <c r="AM109" s="266">
        <f>(AL109-L109)</f>
        <v>0</v>
      </c>
      <c r="AN109" s="256"/>
      <c r="AO109" s="276"/>
      <c r="AP109" s="261" t="str">
        <f t="shared" si="88"/>
        <v xml:space="preserve"> </v>
      </c>
      <c r="AQ109" s="256"/>
      <c r="AR109" s="295"/>
      <c r="AS109" s="295"/>
      <c r="AT109" s="263"/>
      <c r="AU109" s="277"/>
      <c r="AV109" s="263"/>
      <c r="AW109" s="230"/>
      <c r="AX109" s="300"/>
      <c r="AY109" s="301"/>
      <c r="AZ109" s="230"/>
      <c r="BA109" s="302" t="s">
        <v>246</v>
      </c>
      <c r="BB109" s="295"/>
      <c r="BC109" s="228">
        <f>IF(BG109="Aucune",0,1)</f>
        <v>0</v>
      </c>
      <c r="BD109" s="228">
        <f>IF(BH109="Aucune",0,1)</f>
        <v>0</v>
      </c>
      <c r="BE109" s="228">
        <f t="shared" si="79"/>
        <v>1</v>
      </c>
      <c r="BF109" s="228" t="str">
        <f t="shared" si="89"/>
        <v>ALIVE</v>
      </c>
      <c r="BG109" s="208" t="str">
        <f t="shared" si="80"/>
        <v>Aucune</v>
      </c>
      <c r="BH109" s="208" t="str">
        <f t="shared" si="81"/>
        <v>Aucune</v>
      </c>
      <c r="BI109" s="208" t="str">
        <f t="shared" si="82"/>
        <v>Aucune</v>
      </c>
      <c r="BJ109" s="208" t="str">
        <f t="shared" si="100"/>
        <v>NON</v>
      </c>
      <c r="BK109" s="208" t="str">
        <f t="shared" si="83"/>
        <v>NON</v>
      </c>
      <c r="BL109" s="208" t="str">
        <f t="shared" si="101"/>
        <v>Inconnu</v>
      </c>
      <c r="BM109" s="208" t="str">
        <f>IF($O109&lt;&gt;"HTX",IF($O109&lt;&gt;"LVAD",BL109,"Inconnu"),"Inconnu")</f>
        <v>Inconnu</v>
      </c>
      <c r="BN109" s="208" t="str">
        <f>IF($O109="HTX",BL109,IF($O109="LVAD",BL109,"Inconnu"))</f>
        <v>Inconnu</v>
      </c>
      <c r="BO109" s="208" t="str">
        <f t="shared" si="102"/>
        <v>Inconnu</v>
      </c>
      <c r="BP109" s="208" t="str">
        <f>IF($O109&lt;&gt;"HTX",IF($O109&lt;&gt;"LVAD",BO109,"Inconnu"),"Inconnu")</f>
        <v>Inconnu</v>
      </c>
      <c r="BQ109" s="208" t="str">
        <f>IF($O109="HTX",BO109,IF($O109="LVAD",BO109,"Inconnu"))</f>
        <v>Inconnu</v>
      </c>
      <c r="BR109" s="208" t="str">
        <f>IF(BH109="Aucune",IF(BI109="Aucune","Aucune","Transfusé"),"Transfusé")</f>
        <v>Aucune</v>
      </c>
      <c r="BS109" s="208">
        <f t="shared" si="125"/>
        <v>0</v>
      </c>
      <c r="BT109" s="229" t="e">
        <f>VLOOKUP($I109,Lieu_Activité!$A:$B,2,FALSE)</f>
        <v>#N/A</v>
      </c>
      <c r="BU109" s="208" t="str">
        <f t="shared" si="85"/>
        <v>Aucun</v>
      </c>
      <c r="BV109" s="208" t="str">
        <f t="shared" si="86"/>
        <v>Aucun</v>
      </c>
      <c r="BW109" s="207" t="str">
        <f t="shared" si="103"/>
        <v>NON</v>
      </c>
      <c r="BX109" s="288"/>
    </row>
    <row r="110" spans="1:76" ht="12.95" customHeight="1" x14ac:dyDescent="0.25">
      <c r="A110" s="231" t="s">
        <v>210</v>
      </c>
      <c r="B110" s="234"/>
      <c r="C110" s="227"/>
      <c r="D110" s="257"/>
      <c r="E110" s="278">
        <f t="shared" si="99"/>
        <v>0</v>
      </c>
      <c r="F110" s="278" t="str">
        <f t="shared" si="87"/>
        <v xml:space="preserve"> </v>
      </c>
      <c r="G110" s="256"/>
      <c r="H110" s="256"/>
      <c r="I110" s="256"/>
      <c r="J110" s="256"/>
      <c r="K110" s="256"/>
      <c r="L110" s="257"/>
      <c r="M110" s="243"/>
      <c r="N110" s="232"/>
      <c r="O110" s="232"/>
      <c r="P110" s="265" t="str">
        <f>IFERROR(VLOOKUP(O110,Références!$K$11:$N$19,2)," ")</f>
        <v xml:space="preserve"> </v>
      </c>
      <c r="Q110" s="265" t="str">
        <f>IFERROR(VLOOKUP(O110,Références!$K$11:$N$19,3)," ")</f>
        <v xml:space="preserve"> </v>
      </c>
      <c r="R110" s="265" t="str">
        <f>IFERROR(VLOOKUP(O110,Références!$K$11:$N$19,4)," ")</f>
        <v xml:space="preserve"> </v>
      </c>
      <c r="S110" s="256"/>
      <c r="T110" s="256"/>
      <c r="U110" s="256"/>
      <c r="V110" s="256"/>
      <c r="W110" s="256"/>
      <c r="X110" s="257"/>
      <c r="Y110" s="256"/>
      <c r="Z110" s="256"/>
      <c r="AA110" s="256"/>
      <c r="AB110" s="235"/>
      <c r="AC110" s="235"/>
      <c r="AD110" s="235"/>
      <c r="AE110" s="235"/>
      <c r="AF110" s="235"/>
      <c r="AG110" s="235"/>
      <c r="AH110" s="235"/>
      <c r="AI110" s="235">
        <f t="shared" si="104"/>
        <v>0</v>
      </c>
      <c r="AJ110" s="257"/>
      <c r="AK110" s="256">
        <f t="shared" si="105"/>
        <v>0</v>
      </c>
      <c r="AL110" s="257"/>
      <c r="AM110" s="266">
        <f>(AL110-L110)</f>
        <v>0</v>
      </c>
      <c r="AN110" s="256"/>
      <c r="AO110" s="276"/>
      <c r="AP110" s="261" t="str">
        <f t="shared" si="88"/>
        <v xml:space="preserve"> </v>
      </c>
      <c r="AQ110" s="256"/>
      <c r="AR110" s="295"/>
      <c r="AS110" s="295"/>
      <c r="AT110" s="263"/>
      <c r="AU110" s="277"/>
      <c r="AV110" s="263"/>
      <c r="AW110" s="230"/>
      <c r="AX110" s="300"/>
      <c r="AY110" s="301"/>
      <c r="AZ110" s="230"/>
      <c r="BA110" s="300" t="s">
        <v>234</v>
      </c>
      <c r="BB110" s="295"/>
      <c r="BC110" s="228">
        <f t="shared" si="107"/>
        <v>0</v>
      </c>
      <c r="BD110" s="228">
        <f t="shared" si="108"/>
        <v>0</v>
      </c>
      <c r="BE110" s="228">
        <f t="shared" si="79"/>
        <v>1</v>
      </c>
      <c r="BF110" s="228" t="str">
        <f t="shared" si="89"/>
        <v>ALIVE</v>
      </c>
      <c r="BG110" s="208" t="str">
        <f t="shared" si="80"/>
        <v>Aucune</v>
      </c>
      <c r="BH110" s="208" t="str">
        <f t="shared" si="81"/>
        <v>Aucune</v>
      </c>
      <c r="BI110" s="208" t="str">
        <f t="shared" si="82"/>
        <v>Aucune</v>
      </c>
      <c r="BJ110" s="208" t="str">
        <f t="shared" si="100"/>
        <v>NON</v>
      </c>
      <c r="BK110" s="208" t="str">
        <f t="shared" si="83"/>
        <v>NON</v>
      </c>
      <c r="BL110" s="208" t="str">
        <f t="shared" si="101"/>
        <v>Inconnu</v>
      </c>
      <c r="BM110" s="208" t="str">
        <f t="shared" si="109"/>
        <v>Inconnu</v>
      </c>
      <c r="BN110" s="208" t="str">
        <f t="shared" si="110"/>
        <v>Inconnu</v>
      </c>
      <c r="BO110" s="208" t="str">
        <f t="shared" si="102"/>
        <v>Inconnu</v>
      </c>
      <c r="BP110" s="208" t="str">
        <f t="shared" si="111"/>
        <v>Inconnu</v>
      </c>
      <c r="BQ110" s="208" t="str">
        <f t="shared" si="112"/>
        <v>Inconnu</v>
      </c>
      <c r="BR110" s="208" t="str">
        <f t="shared" si="113"/>
        <v>Aucune</v>
      </c>
      <c r="BS110" s="208">
        <f t="shared" si="125"/>
        <v>0</v>
      </c>
      <c r="BT110" s="229" t="e">
        <f>VLOOKUP($I110,Lieu_Activité!$A:$B,2,FALSE)</f>
        <v>#N/A</v>
      </c>
      <c r="BU110" s="208" t="str">
        <f t="shared" si="85"/>
        <v>Aucun</v>
      </c>
      <c r="BV110" s="208" t="str">
        <f t="shared" si="86"/>
        <v>Aucun</v>
      </c>
      <c r="BW110" s="207" t="str">
        <f t="shared" si="103"/>
        <v>NON</v>
      </c>
      <c r="BX110" s="288"/>
    </row>
    <row r="111" spans="1:76" ht="12.95" customHeight="1" x14ac:dyDescent="0.25">
      <c r="A111" s="231" t="s">
        <v>210</v>
      </c>
      <c r="B111" s="268"/>
      <c r="C111" s="227"/>
      <c r="D111" s="257"/>
      <c r="E111" s="278">
        <f t="shared" si="99"/>
        <v>0</v>
      </c>
      <c r="F111" s="278" t="str">
        <f t="shared" si="87"/>
        <v xml:space="preserve"> </v>
      </c>
      <c r="G111" s="256"/>
      <c r="H111" s="256"/>
      <c r="I111" s="256"/>
      <c r="J111" s="256"/>
      <c r="K111" s="256"/>
      <c r="L111" s="257"/>
      <c r="M111" s="243"/>
      <c r="N111" s="232"/>
      <c r="O111" s="232"/>
      <c r="P111" s="265" t="str">
        <f>IFERROR(VLOOKUP(O111,Références!$K$11:$N$19,2)," ")</f>
        <v xml:space="preserve"> </v>
      </c>
      <c r="Q111" s="265" t="str">
        <f>IFERROR(VLOOKUP(O111,Références!$K$11:$N$19,3)," ")</f>
        <v xml:space="preserve"> </v>
      </c>
      <c r="R111" s="265" t="str">
        <f>IFERROR(VLOOKUP(O111,Références!$K$11:$N$19,4)," ")</f>
        <v xml:space="preserve"> </v>
      </c>
      <c r="S111" s="256"/>
      <c r="T111" s="256"/>
      <c r="U111" s="256"/>
      <c r="V111" s="256"/>
      <c r="W111" s="256"/>
      <c r="X111" s="257"/>
      <c r="Y111" s="256"/>
      <c r="Z111" s="256"/>
      <c r="AA111" s="256"/>
      <c r="AB111" s="235"/>
      <c r="AC111" s="235"/>
      <c r="AD111" s="235"/>
      <c r="AE111" s="235"/>
      <c r="AF111" s="235"/>
      <c r="AG111" s="235"/>
      <c r="AH111" s="235"/>
      <c r="AI111" s="235">
        <f t="shared" si="104"/>
        <v>0</v>
      </c>
      <c r="AJ111" s="257"/>
      <c r="AK111" s="256">
        <f t="shared" si="105"/>
        <v>0</v>
      </c>
      <c r="AL111" s="257"/>
      <c r="AM111" s="266">
        <f t="shared" si="106"/>
        <v>0</v>
      </c>
      <c r="AN111" s="256"/>
      <c r="AO111" s="276"/>
      <c r="AP111" s="261" t="str">
        <f t="shared" si="88"/>
        <v xml:space="preserve"> </v>
      </c>
      <c r="AQ111" s="256"/>
      <c r="AR111" s="295"/>
      <c r="AS111" s="295"/>
      <c r="AT111" s="263"/>
      <c r="AU111" s="277"/>
      <c r="AV111" s="263"/>
      <c r="AW111" s="230"/>
      <c r="AX111" s="300"/>
      <c r="AY111" s="301"/>
      <c r="AZ111" s="230"/>
      <c r="BA111" s="302" t="s">
        <v>246</v>
      </c>
      <c r="BB111" s="295"/>
      <c r="BC111" s="228">
        <f t="shared" si="107"/>
        <v>0</v>
      </c>
      <c r="BD111" s="228">
        <f t="shared" si="108"/>
        <v>0</v>
      </c>
      <c r="BE111" s="228">
        <f t="shared" si="79"/>
        <v>1</v>
      </c>
      <c r="BF111" s="228" t="str">
        <f t="shared" si="89"/>
        <v>ALIVE</v>
      </c>
      <c r="BG111" s="208" t="str">
        <f t="shared" si="80"/>
        <v>Aucune</v>
      </c>
      <c r="BH111" s="208" t="str">
        <f t="shared" si="81"/>
        <v>Aucune</v>
      </c>
      <c r="BI111" s="208" t="str">
        <f t="shared" si="82"/>
        <v>Aucune</v>
      </c>
      <c r="BJ111" s="208" t="str">
        <f t="shared" si="100"/>
        <v>NON</v>
      </c>
      <c r="BK111" s="208" t="str">
        <f t="shared" si="83"/>
        <v>NON</v>
      </c>
      <c r="BL111" s="208" t="str">
        <f t="shared" si="101"/>
        <v>Inconnu</v>
      </c>
      <c r="BM111" s="208" t="str">
        <f t="shared" si="109"/>
        <v>Inconnu</v>
      </c>
      <c r="BN111" s="208" t="str">
        <f t="shared" si="110"/>
        <v>Inconnu</v>
      </c>
      <c r="BO111" s="208" t="str">
        <f t="shared" si="102"/>
        <v>Inconnu</v>
      </c>
      <c r="BP111" s="208" t="str">
        <f t="shared" si="111"/>
        <v>Inconnu</v>
      </c>
      <c r="BQ111" s="208" t="str">
        <f t="shared" si="112"/>
        <v>Inconnu</v>
      </c>
      <c r="BR111" s="208" t="str">
        <f t="shared" si="113"/>
        <v>Aucune</v>
      </c>
      <c r="BS111" s="208">
        <f t="shared" si="125"/>
        <v>0</v>
      </c>
      <c r="BT111" s="229" t="e">
        <f>VLOOKUP($I111,Lieu_Activité!$A:$B,2,FALSE)</f>
        <v>#N/A</v>
      </c>
      <c r="BU111" s="208" t="str">
        <f t="shared" si="85"/>
        <v>Aucun</v>
      </c>
      <c r="BV111" s="208" t="str">
        <f t="shared" si="86"/>
        <v>Aucun</v>
      </c>
      <c r="BW111" s="207" t="str">
        <f t="shared" si="103"/>
        <v>NON</v>
      </c>
      <c r="BX111" s="288"/>
    </row>
    <row r="112" spans="1:76" ht="12.95" customHeight="1" x14ac:dyDescent="0.25">
      <c r="A112" s="231" t="s">
        <v>210</v>
      </c>
      <c r="B112" s="234"/>
      <c r="C112" s="227"/>
      <c r="D112" s="257"/>
      <c r="E112" s="278">
        <f t="shared" si="99"/>
        <v>0</v>
      </c>
      <c r="F112" s="278" t="str">
        <f t="shared" si="87"/>
        <v xml:space="preserve"> </v>
      </c>
      <c r="G112" s="256"/>
      <c r="H112" s="256"/>
      <c r="I112" s="256"/>
      <c r="J112" s="256"/>
      <c r="K112" s="256"/>
      <c r="L112" s="257"/>
      <c r="M112" s="243"/>
      <c r="N112" s="232"/>
      <c r="O112" s="232"/>
      <c r="P112" s="265" t="str">
        <f>IFERROR(VLOOKUP(O112,Références!$K$11:$N$19,2)," ")</f>
        <v xml:space="preserve"> </v>
      </c>
      <c r="Q112" s="265" t="str">
        <f>IFERROR(VLOOKUP(O112,Références!$K$11:$N$19,3)," ")</f>
        <v xml:space="preserve"> </v>
      </c>
      <c r="R112" s="265" t="str">
        <f>IFERROR(VLOOKUP(O112,Références!$K$11:$N$19,4)," ")</f>
        <v xml:space="preserve"> </v>
      </c>
      <c r="S112" s="256"/>
      <c r="T112" s="256"/>
      <c r="U112" s="256"/>
      <c r="V112" s="256"/>
      <c r="W112" s="256"/>
      <c r="X112" s="257"/>
      <c r="Y112" s="256"/>
      <c r="Z112" s="256"/>
      <c r="AA112" s="256"/>
      <c r="AB112" s="235"/>
      <c r="AC112" s="235"/>
      <c r="AD112" s="235"/>
      <c r="AE112" s="235"/>
      <c r="AF112" s="235"/>
      <c r="AG112" s="235"/>
      <c r="AH112" s="235"/>
      <c r="AI112" s="235">
        <f t="shared" si="104"/>
        <v>0</v>
      </c>
      <c r="AJ112" s="257"/>
      <c r="AK112" s="256">
        <f t="shared" si="105"/>
        <v>0</v>
      </c>
      <c r="AL112" s="257"/>
      <c r="AM112" s="266">
        <f t="shared" si="106"/>
        <v>0</v>
      </c>
      <c r="AN112" s="256"/>
      <c r="AO112" s="276"/>
      <c r="AP112" s="261" t="str">
        <f t="shared" si="88"/>
        <v xml:space="preserve"> </v>
      </c>
      <c r="AQ112" s="256"/>
      <c r="AR112" s="295"/>
      <c r="AS112" s="295"/>
      <c r="AT112" s="263"/>
      <c r="AU112" s="277"/>
      <c r="AV112" s="263"/>
      <c r="AW112" s="230"/>
      <c r="AX112" s="300"/>
      <c r="AY112" s="301"/>
      <c r="AZ112" s="230"/>
      <c r="BA112" s="300" t="s">
        <v>234</v>
      </c>
      <c r="BB112" s="295"/>
      <c r="BC112" s="228">
        <f t="shared" si="107"/>
        <v>0</v>
      </c>
      <c r="BD112" s="228">
        <f t="shared" si="108"/>
        <v>0</v>
      </c>
      <c r="BE112" s="228">
        <f t="shared" si="79"/>
        <v>1</v>
      </c>
      <c r="BF112" s="228" t="str">
        <f t="shared" si="89"/>
        <v>ALIVE</v>
      </c>
      <c r="BG112" s="208" t="str">
        <f t="shared" si="80"/>
        <v>Aucune</v>
      </c>
      <c r="BH112" s="208" t="str">
        <f t="shared" si="81"/>
        <v>Aucune</v>
      </c>
      <c r="BI112" s="208" t="str">
        <f t="shared" si="82"/>
        <v>Aucune</v>
      </c>
      <c r="BJ112" s="208" t="str">
        <f t="shared" si="100"/>
        <v>NON</v>
      </c>
      <c r="BK112" s="208" t="str">
        <f t="shared" si="83"/>
        <v>NON</v>
      </c>
      <c r="BL112" s="208" t="str">
        <f t="shared" si="101"/>
        <v>Inconnu</v>
      </c>
      <c r="BM112" s="208" t="str">
        <f t="shared" si="109"/>
        <v>Inconnu</v>
      </c>
      <c r="BN112" s="208" t="str">
        <f t="shared" si="110"/>
        <v>Inconnu</v>
      </c>
      <c r="BO112" s="208" t="str">
        <f t="shared" si="102"/>
        <v>Inconnu</v>
      </c>
      <c r="BP112" s="208" t="str">
        <f t="shared" si="111"/>
        <v>Inconnu</v>
      </c>
      <c r="BQ112" s="208" t="str">
        <f t="shared" si="112"/>
        <v>Inconnu</v>
      </c>
      <c r="BR112" s="208" t="str">
        <f t="shared" si="113"/>
        <v>Aucune</v>
      </c>
      <c r="BS112" s="208">
        <f t="shared" si="125"/>
        <v>0</v>
      </c>
      <c r="BT112" s="229" t="e">
        <f>VLOOKUP($I112,Lieu_Activité!$A:$B,2,FALSE)</f>
        <v>#N/A</v>
      </c>
      <c r="BU112" s="208" t="str">
        <f t="shared" si="85"/>
        <v>Aucun</v>
      </c>
      <c r="BV112" s="208" t="str">
        <f t="shared" si="86"/>
        <v>Aucun</v>
      </c>
      <c r="BW112" s="207" t="str">
        <f t="shared" si="103"/>
        <v>NON</v>
      </c>
      <c r="BX112" s="288"/>
    </row>
    <row r="113" spans="1:76" ht="12.95" customHeight="1" x14ac:dyDescent="0.25">
      <c r="A113" s="231" t="s">
        <v>210</v>
      </c>
      <c r="B113" s="234"/>
      <c r="C113" s="227"/>
      <c r="D113" s="257"/>
      <c r="E113" s="278">
        <f t="shared" si="99"/>
        <v>0</v>
      </c>
      <c r="F113" s="278" t="str">
        <f t="shared" si="87"/>
        <v xml:space="preserve"> </v>
      </c>
      <c r="G113" s="256"/>
      <c r="H113" s="256"/>
      <c r="I113" s="256"/>
      <c r="J113" s="256"/>
      <c r="K113" s="256"/>
      <c r="L113" s="257"/>
      <c r="M113" s="243"/>
      <c r="N113" s="232"/>
      <c r="O113" s="232"/>
      <c r="P113" s="265" t="str">
        <f>IFERROR(VLOOKUP(O113,Références!$K$11:$N$19,2)," ")</f>
        <v xml:space="preserve"> </v>
      </c>
      <c r="Q113" s="265" t="str">
        <f>IFERROR(VLOOKUP(O113,Références!$K$11:$N$19,3)," ")</f>
        <v xml:space="preserve"> </v>
      </c>
      <c r="R113" s="265" t="str">
        <f>IFERROR(VLOOKUP(O113,Références!$K$11:$N$19,4)," ")</f>
        <v xml:space="preserve"> </v>
      </c>
      <c r="S113" s="256"/>
      <c r="T113" s="256"/>
      <c r="U113" s="256"/>
      <c r="V113" s="256"/>
      <c r="W113" s="256"/>
      <c r="X113" s="257"/>
      <c r="Y113" s="256"/>
      <c r="Z113" s="256"/>
      <c r="AA113" s="256"/>
      <c r="AB113" s="235"/>
      <c r="AC113" s="235"/>
      <c r="AD113" s="274"/>
      <c r="AE113" s="235"/>
      <c r="AF113" s="235"/>
      <c r="AG113" s="235"/>
      <c r="AH113" s="235"/>
      <c r="AI113" s="235">
        <f t="shared" si="104"/>
        <v>0</v>
      </c>
      <c r="AJ113" s="257"/>
      <c r="AK113" s="256">
        <f t="shared" ref="AK113:AK124" si="126">(AJ113-L113)</f>
        <v>0</v>
      </c>
      <c r="AL113" s="257"/>
      <c r="AM113" s="266">
        <f t="shared" ref="AM113:AM124" si="127">(AL113-L113)</f>
        <v>0</v>
      </c>
      <c r="AN113" s="256"/>
      <c r="AO113" s="276"/>
      <c r="AP113" s="261" t="str">
        <f t="shared" si="88"/>
        <v xml:space="preserve"> </v>
      </c>
      <c r="AQ113" s="256"/>
      <c r="AR113" s="295"/>
      <c r="AS113" s="295"/>
      <c r="AT113" s="263"/>
      <c r="AU113" s="277"/>
      <c r="AV113" s="263"/>
      <c r="AW113" s="230"/>
      <c r="AX113" s="300"/>
      <c r="AY113" s="301"/>
      <c r="AZ113" s="230"/>
      <c r="BA113" s="300" t="s">
        <v>234</v>
      </c>
      <c r="BB113" s="295"/>
      <c r="BC113" s="228">
        <f t="shared" ref="BC113:BC124" si="128">IF(BG113="Aucune",0,1)</f>
        <v>0</v>
      </c>
      <c r="BD113" s="228">
        <f t="shared" ref="BD113:BD124" si="129">IF(BH113="Aucune",0,1)</f>
        <v>0</v>
      </c>
      <c r="BE113" s="228">
        <f t="shared" si="79"/>
        <v>1</v>
      </c>
      <c r="BF113" s="228" t="str">
        <f t="shared" si="89"/>
        <v>ALIVE</v>
      </c>
      <c r="BG113" s="208" t="str">
        <f t="shared" si="80"/>
        <v>Aucune</v>
      </c>
      <c r="BH113" s="208" t="str">
        <f t="shared" si="81"/>
        <v>Aucune</v>
      </c>
      <c r="BI113" s="208" t="str">
        <f t="shared" si="82"/>
        <v>Aucune</v>
      </c>
      <c r="BJ113" s="208" t="str">
        <f t="shared" si="100"/>
        <v>NON</v>
      </c>
      <c r="BK113" s="208" t="str">
        <f t="shared" si="83"/>
        <v>NON</v>
      </c>
      <c r="BL113" s="208" t="str">
        <f t="shared" si="101"/>
        <v>Inconnu</v>
      </c>
      <c r="BM113" s="208" t="str">
        <f t="shared" ref="BM113:BM124" si="130">IF($O113&lt;&gt;"HTX",IF($O113&lt;&gt;"LVAD",BL113,"Inconnu"),"Inconnu")</f>
        <v>Inconnu</v>
      </c>
      <c r="BN113" s="208" t="str">
        <f t="shared" ref="BN113:BN124" si="131">IF($O113="HTX",BL113,IF($O113="LVAD",BL113,"Inconnu"))</f>
        <v>Inconnu</v>
      </c>
      <c r="BO113" s="208" t="str">
        <f t="shared" si="102"/>
        <v>Inconnu</v>
      </c>
      <c r="BP113" s="208" t="str">
        <f t="shared" ref="BP113:BP124" si="132">IF($O113&lt;&gt;"HTX",IF($O113&lt;&gt;"LVAD",BO113,"Inconnu"),"Inconnu")</f>
        <v>Inconnu</v>
      </c>
      <c r="BQ113" s="208" t="str">
        <f t="shared" ref="BQ113:BQ124" si="133">IF($O113="HTX",BO113,IF($O113="LVAD",BO113,"Inconnu"))</f>
        <v>Inconnu</v>
      </c>
      <c r="BR113" s="208" t="str">
        <f t="shared" ref="BR113:BR124" si="134">IF(BH113="Aucune",IF(BI113="Aucune","Aucune","Transfusé"),"Transfusé")</f>
        <v>Aucune</v>
      </c>
      <c r="BS113" s="208">
        <f t="shared" si="125"/>
        <v>0</v>
      </c>
      <c r="BT113" s="229" t="e">
        <f>VLOOKUP($I113,Lieu_Activité!$A:$B,2,FALSE)</f>
        <v>#N/A</v>
      </c>
      <c r="BU113" s="208" t="str">
        <f t="shared" si="85"/>
        <v>Aucun</v>
      </c>
      <c r="BV113" s="208" t="str">
        <f t="shared" si="86"/>
        <v>Aucun</v>
      </c>
      <c r="BW113" s="207" t="str">
        <f t="shared" si="103"/>
        <v>NON</v>
      </c>
      <c r="BX113" s="288"/>
    </row>
    <row r="114" spans="1:76" ht="12.95" customHeight="1" x14ac:dyDescent="0.25">
      <c r="A114" s="231" t="s">
        <v>210</v>
      </c>
      <c r="B114" s="234"/>
      <c r="C114" s="227"/>
      <c r="D114" s="257"/>
      <c r="E114" s="278">
        <f>(L114-D114)/365</f>
        <v>0</v>
      </c>
      <c r="F114" s="278" t="str">
        <f t="shared" si="87"/>
        <v xml:space="preserve"> </v>
      </c>
      <c r="G114" s="256"/>
      <c r="H114" s="256"/>
      <c r="I114" s="256"/>
      <c r="J114" s="256"/>
      <c r="K114" s="256"/>
      <c r="L114" s="257"/>
      <c r="M114" s="243"/>
      <c r="N114" s="232"/>
      <c r="O114" s="232"/>
      <c r="P114" s="265" t="str">
        <f>IFERROR(VLOOKUP(O114,Références!$K$11:$N$19,2)," ")</f>
        <v xml:space="preserve"> </v>
      </c>
      <c r="Q114" s="265" t="str">
        <f>IFERROR(VLOOKUP(O114,Références!$K$11:$N$19,3)," ")</f>
        <v xml:space="preserve"> </v>
      </c>
      <c r="R114" s="265" t="str">
        <f>IFERROR(VLOOKUP(O114,Références!$K$11:$N$19,4)," ")</f>
        <v xml:space="preserve"> </v>
      </c>
      <c r="S114" s="256"/>
      <c r="T114" s="256"/>
      <c r="U114" s="256"/>
      <c r="V114" s="256"/>
      <c r="W114" s="256"/>
      <c r="X114" s="257"/>
      <c r="Y114" s="256"/>
      <c r="Z114" s="256"/>
      <c r="AA114" s="256"/>
      <c r="AB114" s="235"/>
      <c r="AC114" s="235"/>
      <c r="AD114" s="274"/>
      <c r="AE114" s="235"/>
      <c r="AF114" s="235"/>
      <c r="AG114" s="235"/>
      <c r="AH114" s="235"/>
      <c r="AI114" s="235">
        <f t="shared" ref="AI114:AI133" si="135">SUM(AF114,AH114)</f>
        <v>0</v>
      </c>
      <c r="AJ114" s="257"/>
      <c r="AK114" s="256">
        <f t="shared" si="126"/>
        <v>0</v>
      </c>
      <c r="AL114" s="257"/>
      <c r="AM114" s="266">
        <f t="shared" si="127"/>
        <v>0</v>
      </c>
      <c r="AN114" s="256"/>
      <c r="AO114" s="276"/>
      <c r="AP114" s="261" t="str">
        <f t="shared" si="88"/>
        <v xml:space="preserve"> </v>
      </c>
      <c r="AQ114" s="256"/>
      <c r="AR114" s="295"/>
      <c r="AS114" s="295"/>
      <c r="AT114" s="263"/>
      <c r="AU114" s="277"/>
      <c r="AV114" s="263"/>
      <c r="AW114" s="230"/>
      <c r="AX114" s="300"/>
      <c r="AY114" s="301"/>
      <c r="AZ114" s="230"/>
      <c r="BA114" s="300" t="s">
        <v>234</v>
      </c>
      <c r="BB114" s="295"/>
      <c r="BC114" s="228">
        <f t="shared" si="128"/>
        <v>0</v>
      </c>
      <c r="BD114" s="228">
        <f t="shared" si="129"/>
        <v>0</v>
      </c>
      <c r="BE114" s="228">
        <f t="shared" si="79"/>
        <v>1</v>
      </c>
      <c r="BF114" s="228" t="str">
        <f t="shared" si="89"/>
        <v>ALIVE</v>
      </c>
      <c r="BG114" s="208" t="str">
        <f t="shared" si="80"/>
        <v>Aucune</v>
      </c>
      <c r="BH114" s="208" t="str">
        <f t="shared" si="81"/>
        <v>Aucune</v>
      </c>
      <c r="BI114" s="208" t="str">
        <f t="shared" si="82"/>
        <v>Aucune</v>
      </c>
      <c r="BJ114" s="208" t="str">
        <f t="shared" si="100"/>
        <v>NON</v>
      </c>
      <c r="BK114" s="208" t="str">
        <f t="shared" si="83"/>
        <v>NON</v>
      </c>
      <c r="BL114" s="208" t="str">
        <f t="shared" si="101"/>
        <v>Inconnu</v>
      </c>
      <c r="BM114" s="208" t="str">
        <f t="shared" si="130"/>
        <v>Inconnu</v>
      </c>
      <c r="BN114" s="208" t="str">
        <f t="shared" si="131"/>
        <v>Inconnu</v>
      </c>
      <c r="BO114" s="208" t="str">
        <f t="shared" si="102"/>
        <v>Inconnu</v>
      </c>
      <c r="BP114" s="208" t="str">
        <f t="shared" si="132"/>
        <v>Inconnu</v>
      </c>
      <c r="BQ114" s="208" t="str">
        <f t="shared" si="133"/>
        <v>Inconnu</v>
      </c>
      <c r="BR114" s="208" t="str">
        <f t="shared" si="134"/>
        <v>Aucune</v>
      </c>
      <c r="BS114" s="208">
        <f t="shared" si="125"/>
        <v>0</v>
      </c>
      <c r="BT114" s="229" t="e">
        <f>VLOOKUP($I114,Lieu_Activité!$A:$B,2,FALSE)</f>
        <v>#N/A</v>
      </c>
      <c r="BU114" s="208" t="str">
        <f t="shared" si="85"/>
        <v>Aucun</v>
      </c>
      <c r="BV114" s="208" t="str">
        <f t="shared" si="86"/>
        <v>Aucun</v>
      </c>
      <c r="BW114" s="207" t="str">
        <f t="shared" si="103"/>
        <v>NON</v>
      </c>
      <c r="BX114" s="288"/>
    </row>
    <row r="115" spans="1:76" ht="12.95" customHeight="1" x14ac:dyDescent="0.25">
      <c r="A115" s="231" t="s">
        <v>210</v>
      </c>
      <c r="B115" s="234"/>
      <c r="C115" s="227"/>
      <c r="D115" s="257"/>
      <c r="E115" s="278">
        <f>(L115-D115)/365</f>
        <v>0</v>
      </c>
      <c r="F115" s="278" t="str">
        <f t="shared" si="87"/>
        <v xml:space="preserve"> </v>
      </c>
      <c r="G115" s="256"/>
      <c r="H115" s="256"/>
      <c r="I115" s="256"/>
      <c r="J115" s="256"/>
      <c r="K115" s="256"/>
      <c r="L115" s="257"/>
      <c r="M115" s="243"/>
      <c r="N115" s="232"/>
      <c r="O115" s="232"/>
      <c r="P115" s="265" t="str">
        <f>IFERROR(VLOOKUP(O115,Références!$K$11:$N$19,2)," ")</f>
        <v xml:space="preserve"> </v>
      </c>
      <c r="Q115" s="265" t="str">
        <f>IFERROR(VLOOKUP(O115,Références!$K$11:$N$19,3)," ")</f>
        <v xml:space="preserve"> </v>
      </c>
      <c r="R115" s="265" t="str">
        <f>IFERROR(VLOOKUP(O115,Références!$K$11:$N$19,4)," ")</f>
        <v xml:space="preserve"> </v>
      </c>
      <c r="S115" s="256"/>
      <c r="T115" s="256"/>
      <c r="U115" s="256"/>
      <c r="V115" s="256"/>
      <c r="W115" s="256"/>
      <c r="X115" s="257"/>
      <c r="Y115" s="256"/>
      <c r="Z115" s="256"/>
      <c r="AA115" s="256"/>
      <c r="AB115" s="235"/>
      <c r="AC115" s="235"/>
      <c r="AD115" s="235"/>
      <c r="AE115" s="235"/>
      <c r="AF115" s="235"/>
      <c r="AG115" s="275"/>
      <c r="AH115" s="235"/>
      <c r="AI115" s="235">
        <f t="shared" si="135"/>
        <v>0</v>
      </c>
      <c r="AJ115" s="257"/>
      <c r="AK115" s="256">
        <f t="shared" si="126"/>
        <v>0</v>
      </c>
      <c r="AL115" s="257"/>
      <c r="AM115" s="266">
        <f t="shared" si="127"/>
        <v>0</v>
      </c>
      <c r="AN115" s="256"/>
      <c r="AO115" s="276"/>
      <c r="AP115" s="261" t="str">
        <f t="shared" si="88"/>
        <v xml:space="preserve"> </v>
      </c>
      <c r="AQ115" s="256"/>
      <c r="AR115" s="295"/>
      <c r="AS115" s="295"/>
      <c r="AT115" s="263"/>
      <c r="AU115" s="277"/>
      <c r="AV115" s="263"/>
      <c r="AW115" s="230"/>
      <c r="AX115" s="300"/>
      <c r="AY115" s="301"/>
      <c r="AZ115" s="230"/>
      <c r="BA115" s="300" t="s">
        <v>234</v>
      </c>
      <c r="BB115" s="295"/>
      <c r="BC115" s="228">
        <f t="shared" si="128"/>
        <v>0</v>
      </c>
      <c r="BD115" s="228">
        <f t="shared" si="129"/>
        <v>0</v>
      </c>
      <c r="BE115" s="228">
        <f t="shared" si="79"/>
        <v>1</v>
      </c>
      <c r="BF115" s="228" t="str">
        <f t="shared" si="89"/>
        <v>ALIVE</v>
      </c>
      <c r="BG115" s="208" t="str">
        <f t="shared" si="80"/>
        <v>Aucune</v>
      </c>
      <c r="BH115" s="208" t="str">
        <f t="shared" si="81"/>
        <v>Aucune</v>
      </c>
      <c r="BI115" s="208" t="str">
        <f t="shared" si="82"/>
        <v>Aucune</v>
      </c>
      <c r="BJ115" s="208" t="str">
        <f t="shared" si="100"/>
        <v>NON</v>
      </c>
      <c r="BK115" s="208" t="str">
        <f t="shared" si="83"/>
        <v>NON</v>
      </c>
      <c r="BL115" s="208" t="str">
        <f t="shared" si="101"/>
        <v>Inconnu</v>
      </c>
      <c r="BM115" s="208" t="str">
        <f t="shared" si="130"/>
        <v>Inconnu</v>
      </c>
      <c r="BN115" s="208" t="str">
        <f t="shared" si="131"/>
        <v>Inconnu</v>
      </c>
      <c r="BO115" s="208" t="str">
        <f t="shared" si="102"/>
        <v>Inconnu</v>
      </c>
      <c r="BP115" s="208" t="str">
        <f t="shared" si="132"/>
        <v>Inconnu</v>
      </c>
      <c r="BQ115" s="208" t="str">
        <f t="shared" si="133"/>
        <v>Inconnu</v>
      </c>
      <c r="BR115" s="208" t="str">
        <f t="shared" si="134"/>
        <v>Aucune</v>
      </c>
      <c r="BS115" s="208">
        <f t="shared" si="125"/>
        <v>0</v>
      </c>
      <c r="BT115" s="229" t="e">
        <f>VLOOKUP($I115,Lieu_Activité!$A:$B,2,FALSE)</f>
        <v>#N/A</v>
      </c>
      <c r="BU115" s="208" t="str">
        <f t="shared" si="85"/>
        <v>Aucun</v>
      </c>
      <c r="BV115" s="208" t="str">
        <f t="shared" si="86"/>
        <v>Aucun</v>
      </c>
      <c r="BW115" s="207" t="str">
        <f t="shared" si="103"/>
        <v>NON</v>
      </c>
      <c r="BX115" s="288"/>
    </row>
    <row r="116" spans="1:76" ht="12.95" customHeight="1" x14ac:dyDescent="0.25">
      <c r="A116" s="231" t="s">
        <v>210</v>
      </c>
      <c r="B116" s="234"/>
      <c r="C116" s="227"/>
      <c r="D116" s="257"/>
      <c r="E116" s="278">
        <f>(L116-D116)/365</f>
        <v>0</v>
      </c>
      <c r="F116" s="278" t="str">
        <f t="shared" si="87"/>
        <v xml:space="preserve"> </v>
      </c>
      <c r="G116" s="256"/>
      <c r="H116" s="256"/>
      <c r="I116" s="256"/>
      <c r="J116" s="256"/>
      <c r="K116" s="256"/>
      <c r="L116" s="257"/>
      <c r="M116" s="243"/>
      <c r="N116" s="232"/>
      <c r="O116" s="232"/>
      <c r="P116" s="265" t="str">
        <f>IFERROR(VLOOKUP(O116,Références!$K$11:$N$19,2)," ")</f>
        <v xml:space="preserve"> </v>
      </c>
      <c r="Q116" s="265" t="str">
        <f>IFERROR(VLOOKUP(O116,Références!$K$11:$N$19,3)," ")</f>
        <v xml:space="preserve"> </v>
      </c>
      <c r="R116" s="265" t="str">
        <f>IFERROR(VLOOKUP(O116,Références!$K$11:$N$19,4)," ")</f>
        <v xml:space="preserve"> </v>
      </c>
      <c r="S116" s="256"/>
      <c r="T116" s="256"/>
      <c r="U116" s="256"/>
      <c r="V116" s="256"/>
      <c r="W116" s="256"/>
      <c r="X116" s="257"/>
      <c r="Y116" s="256"/>
      <c r="Z116" s="256"/>
      <c r="AA116" s="256"/>
      <c r="AB116" s="235"/>
      <c r="AC116" s="235"/>
      <c r="AD116" s="235"/>
      <c r="AE116" s="235"/>
      <c r="AF116" s="235"/>
      <c r="AG116" s="235"/>
      <c r="AH116" s="235"/>
      <c r="AI116" s="235">
        <f t="shared" si="135"/>
        <v>0</v>
      </c>
      <c r="AJ116" s="257"/>
      <c r="AK116" s="256">
        <f t="shared" si="126"/>
        <v>0</v>
      </c>
      <c r="AL116" s="257"/>
      <c r="AM116" s="266">
        <f t="shared" si="127"/>
        <v>0</v>
      </c>
      <c r="AN116" s="256"/>
      <c r="AO116" s="276"/>
      <c r="AP116" s="261" t="str">
        <f t="shared" si="88"/>
        <v xml:space="preserve"> </v>
      </c>
      <c r="AQ116" s="256"/>
      <c r="AR116" s="295"/>
      <c r="AS116" s="295"/>
      <c r="AT116" s="263"/>
      <c r="AU116" s="277"/>
      <c r="AV116" s="263"/>
      <c r="AW116" s="230"/>
      <c r="AX116" s="300"/>
      <c r="AY116" s="301"/>
      <c r="AZ116" s="230"/>
      <c r="BA116" s="300" t="s">
        <v>234</v>
      </c>
      <c r="BB116" s="295"/>
      <c r="BC116" s="228">
        <f t="shared" si="128"/>
        <v>0</v>
      </c>
      <c r="BD116" s="228">
        <f t="shared" si="129"/>
        <v>0</v>
      </c>
      <c r="BE116" s="228">
        <f t="shared" si="79"/>
        <v>1</v>
      </c>
      <c r="BF116" s="228" t="str">
        <f t="shared" si="89"/>
        <v>ALIVE</v>
      </c>
      <c r="BG116" s="208" t="str">
        <f t="shared" si="80"/>
        <v>Aucune</v>
      </c>
      <c r="BH116" s="208" t="str">
        <f t="shared" si="81"/>
        <v>Aucune</v>
      </c>
      <c r="BI116" s="208" t="str">
        <f t="shared" si="82"/>
        <v>Aucune</v>
      </c>
      <c r="BJ116" s="208" t="str">
        <f t="shared" si="100"/>
        <v>NON</v>
      </c>
      <c r="BK116" s="208" t="str">
        <f t="shared" si="83"/>
        <v>NON</v>
      </c>
      <c r="BL116" s="208" t="str">
        <f t="shared" si="101"/>
        <v>Inconnu</v>
      </c>
      <c r="BM116" s="208" t="str">
        <f t="shared" si="130"/>
        <v>Inconnu</v>
      </c>
      <c r="BN116" s="208" t="str">
        <f t="shared" si="131"/>
        <v>Inconnu</v>
      </c>
      <c r="BO116" s="208" t="str">
        <f t="shared" si="102"/>
        <v>Inconnu</v>
      </c>
      <c r="BP116" s="208" t="str">
        <f t="shared" si="132"/>
        <v>Inconnu</v>
      </c>
      <c r="BQ116" s="208" t="str">
        <f t="shared" si="133"/>
        <v>Inconnu</v>
      </c>
      <c r="BR116" s="208" t="str">
        <f t="shared" si="134"/>
        <v>Aucune</v>
      </c>
      <c r="BS116" s="208">
        <f t="shared" si="125"/>
        <v>0</v>
      </c>
      <c r="BT116" s="229" t="e">
        <f>VLOOKUP($I116,Lieu_Activité!$A:$B,2,FALSE)</f>
        <v>#N/A</v>
      </c>
      <c r="BU116" s="208" t="str">
        <f t="shared" si="85"/>
        <v>Aucun</v>
      </c>
      <c r="BV116" s="208" t="str">
        <f t="shared" si="86"/>
        <v>Aucun</v>
      </c>
      <c r="BW116" s="207" t="str">
        <f t="shared" si="103"/>
        <v>NON</v>
      </c>
      <c r="BX116" s="288"/>
    </row>
    <row r="117" spans="1:76" ht="12.75" customHeight="1" x14ac:dyDescent="0.25">
      <c r="A117" s="226" t="s">
        <v>211</v>
      </c>
      <c r="B117" s="234"/>
      <c r="C117" s="227"/>
      <c r="D117" s="257"/>
      <c r="E117" s="278">
        <f t="shared" ref="E117:E156" si="136">(L117-D117)/365</f>
        <v>0</v>
      </c>
      <c r="F117" s="278" t="str">
        <f t="shared" si="87"/>
        <v xml:space="preserve"> </v>
      </c>
      <c r="G117" s="256"/>
      <c r="H117" s="256"/>
      <c r="I117" s="256"/>
      <c r="J117" s="256"/>
      <c r="K117" s="256"/>
      <c r="L117" s="257"/>
      <c r="M117" s="243"/>
      <c r="N117" s="232"/>
      <c r="O117" s="232"/>
      <c r="P117" s="265" t="str">
        <f>IFERROR(VLOOKUP(O117,Références!$K$11:$N$19,2)," ")</f>
        <v xml:space="preserve"> </v>
      </c>
      <c r="Q117" s="265" t="str">
        <f>IFERROR(VLOOKUP(O117,Références!$K$11:$N$19,3)," ")</f>
        <v xml:space="preserve"> </v>
      </c>
      <c r="R117" s="265" t="str">
        <f>IFERROR(VLOOKUP(O117,Références!$K$11:$N$19,4)," ")</f>
        <v xml:space="preserve"> </v>
      </c>
      <c r="S117" s="256"/>
      <c r="T117" s="256"/>
      <c r="U117" s="256"/>
      <c r="V117" s="256"/>
      <c r="W117" s="256"/>
      <c r="X117" s="257"/>
      <c r="Y117" s="256"/>
      <c r="Z117" s="256"/>
      <c r="AA117" s="256"/>
      <c r="AB117" s="235"/>
      <c r="AC117" s="235"/>
      <c r="AD117" s="235"/>
      <c r="AE117" s="235"/>
      <c r="AF117" s="235"/>
      <c r="AG117" s="235"/>
      <c r="AH117" s="235"/>
      <c r="AI117" s="235">
        <f t="shared" si="135"/>
        <v>0</v>
      </c>
      <c r="AJ117" s="257"/>
      <c r="AK117" s="256">
        <f t="shared" si="126"/>
        <v>0</v>
      </c>
      <c r="AL117" s="257"/>
      <c r="AM117" s="266">
        <f t="shared" si="127"/>
        <v>0</v>
      </c>
      <c r="AN117" s="256"/>
      <c r="AO117" s="276"/>
      <c r="AP117" s="261" t="str">
        <f t="shared" si="88"/>
        <v xml:space="preserve"> </v>
      </c>
      <c r="AQ117" s="256"/>
      <c r="AR117" s="295"/>
      <c r="AS117" s="295"/>
      <c r="AT117" s="263"/>
      <c r="AU117" s="277"/>
      <c r="AV117" s="263"/>
      <c r="AW117" s="230"/>
      <c r="AX117" s="300"/>
      <c r="AY117" s="301"/>
      <c r="AZ117" s="230"/>
      <c r="BA117" s="300" t="s">
        <v>234</v>
      </c>
      <c r="BB117" s="295"/>
      <c r="BC117" s="228">
        <f t="shared" si="128"/>
        <v>0</v>
      </c>
      <c r="BD117" s="228">
        <f t="shared" si="129"/>
        <v>0</v>
      </c>
      <c r="BE117" s="228">
        <f t="shared" si="79"/>
        <v>1</v>
      </c>
      <c r="BF117" s="228" t="str">
        <f t="shared" si="89"/>
        <v>ALIVE</v>
      </c>
      <c r="BG117" s="208" t="str">
        <f t="shared" si="80"/>
        <v>Aucune</v>
      </c>
      <c r="BH117" s="208" t="str">
        <f t="shared" si="81"/>
        <v>Aucune</v>
      </c>
      <c r="BI117" s="208" t="str">
        <f t="shared" si="82"/>
        <v>Aucune</v>
      </c>
      <c r="BJ117" s="208" t="str">
        <f t="shared" si="100"/>
        <v>NON</v>
      </c>
      <c r="BK117" s="208" t="str">
        <f t="shared" si="83"/>
        <v>NON</v>
      </c>
      <c r="BL117" s="208" t="str">
        <f t="shared" si="101"/>
        <v>Inconnu</v>
      </c>
      <c r="BM117" s="208" t="str">
        <f t="shared" si="130"/>
        <v>Inconnu</v>
      </c>
      <c r="BN117" s="208" t="str">
        <f t="shared" si="131"/>
        <v>Inconnu</v>
      </c>
      <c r="BO117" s="208" t="str">
        <f t="shared" si="102"/>
        <v>Inconnu</v>
      </c>
      <c r="BP117" s="208" t="str">
        <f t="shared" si="132"/>
        <v>Inconnu</v>
      </c>
      <c r="BQ117" s="208" t="str">
        <f t="shared" si="133"/>
        <v>Inconnu</v>
      </c>
      <c r="BR117" s="208" t="str">
        <f t="shared" si="134"/>
        <v>Aucune</v>
      </c>
      <c r="BS117" s="208">
        <f t="shared" si="125"/>
        <v>0</v>
      </c>
      <c r="BT117" s="229" t="e">
        <f>VLOOKUP($I117,Lieu_Activité!$A:$B,2,FALSE)</f>
        <v>#N/A</v>
      </c>
      <c r="BU117" s="208" t="str">
        <f t="shared" si="85"/>
        <v>Aucun</v>
      </c>
      <c r="BV117" s="208" t="str">
        <f t="shared" si="86"/>
        <v>Aucun</v>
      </c>
      <c r="BW117" s="207" t="str">
        <f t="shared" si="103"/>
        <v>NON</v>
      </c>
      <c r="BX117" s="288"/>
    </row>
    <row r="118" spans="1:76" ht="12" customHeight="1" x14ac:dyDescent="0.25">
      <c r="A118" s="226" t="s">
        <v>211</v>
      </c>
      <c r="B118" s="234"/>
      <c r="C118" s="227"/>
      <c r="D118" s="257"/>
      <c r="E118" s="278">
        <f t="shared" si="136"/>
        <v>0</v>
      </c>
      <c r="F118" s="278" t="str">
        <f t="shared" si="87"/>
        <v xml:space="preserve"> </v>
      </c>
      <c r="G118" s="256"/>
      <c r="H118" s="256"/>
      <c r="I118" s="256"/>
      <c r="J118" s="256"/>
      <c r="K118" s="256"/>
      <c r="L118" s="257"/>
      <c r="M118" s="243"/>
      <c r="N118" s="232"/>
      <c r="O118" s="232"/>
      <c r="P118" s="265" t="str">
        <f>IFERROR(VLOOKUP(O118,Références!$K$11:$N$19,2)," ")</f>
        <v xml:space="preserve"> </v>
      </c>
      <c r="Q118" s="265" t="str">
        <f>IFERROR(VLOOKUP(O118,Références!$K$11:$N$19,3)," ")</f>
        <v xml:space="preserve"> </v>
      </c>
      <c r="R118" s="265" t="str">
        <f>IFERROR(VLOOKUP(O118,Références!$K$11:$N$19,4)," ")</f>
        <v xml:space="preserve"> </v>
      </c>
      <c r="S118" s="256"/>
      <c r="T118" s="256"/>
      <c r="U118" s="256"/>
      <c r="V118" s="256"/>
      <c r="W118" s="256"/>
      <c r="X118" s="257"/>
      <c r="Y118" s="256"/>
      <c r="Z118" s="256"/>
      <c r="AA118" s="256"/>
      <c r="AB118" s="235"/>
      <c r="AC118" s="235"/>
      <c r="AD118" s="235"/>
      <c r="AE118" s="235"/>
      <c r="AF118" s="235"/>
      <c r="AG118" s="235"/>
      <c r="AH118" s="235"/>
      <c r="AI118" s="235">
        <f t="shared" si="135"/>
        <v>0</v>
      </c>
      <c r="AJ118" s="257"/>
      <c r="AK118" s="256">
        <f t="shared" si="126"/>
        <v>0</v>
      </c>
      <c r="AL118" s="257"/>
      <c r="AM118" s="266">
        <f t="shared" si="127"/>
        <v>0</v>
      </c>
      <c r="AN118" s="256"/>
      <c r="AO118" s="276"/>
      <c r="AP118" s="261" t="str">
        <f t="shared" si="88"/>
        <v xml:space="preserve"> </v>
      </c>
      <c r="AQ118" s="256"/>
      <c r="AR118" s="295"/>
      <c r="AS118" s="295"/>
      <c r="AT118" s="263"/>
      <c r="AU118" s="277"/>
      <c r="AV118" s="263"/>
      <c r="AW118" s="230"/>
      <c r="AX118" s="300"/>
      <c r="AY118" s="301"/>
      <c r="AZ118" s="230"/>
      <c r="BA118" s="300" t="s">
        <v>234</v>
      </c>
      <c r="BB118" s="295"/>
      <c r="BC118" s="228">
        <f t="shared" si="128"/>
        <v>0</v>
      </c>
      <c r="BD118" s="228">
        <f t="shared" si="129"/>
        <v>0</v>
      </c>
      <c r="BE118" s="228">
        <f t="shared" si="79"/>
        <v>1</v>
      </c>
      <c r="BF118" s="228" t="str">
        <f t="shared" si="89"/>
        <v>ALIVE</v>
      </c>
      <c r="BG118" s="208" t="str">
        <f t="shared" si="80"/>
        <v>Aucune</v>
      </c>
      <c r="BH118" s="208" t="str">
        <f t="shared" si="81"/>
        <v>Aucune</v>
      </c>
      <c r="BI118" s="208" t="str">
        <f t="shared" si="82"/>
        <v>Aucune</v>
      </c>
      <c r="BJ118" s="208" t="str">
        <f t="shared" si="100"/>
        <v>NON</v>
      </c>
      <c r="BK118" s="208" t="str">
        <f t="shared" si="83"/>
        <v>NON</v>
      </c>
      <c r="BL118" s="208" t="str">
        <f t="shared" si="101"/>
        <v>Inconnu</v>
      </c>
      <c r="BM118" s="208" t="str">
        <f t="shared" si="130"/>
        <v>Inconnu</v>
      </c>
      <c r="BN118" s="208" t="str">
        <f t="shared" si="131"/>
        <v>Inconnu</v>
      </c>
      <c r="BO118" s="208" t="str">
        <f t="shared" si="102"/>
        <v>Inconnu</v>
      </c>
      <c r="BP118" s="208" t="str">
        <f t="shared" si="132"/>
        <v>Inconnu</v>
      </c>
      <c r="BQ118" s="208" t="str">
        <f t="shared" si="133"/>
        <v>Inconnu</v>
      </c>
      <c r="BR118" s="208" t="str">
        <f t="shared" si="134"/>
        <v>Aucune</v>
      </c>
      <c r="BS118" s="208">
        <f t="shared" si="125"/>
        <v>0</v>
      </c>
      <c r="BT118" s="229" t="e">
        <f>VLOOKUP($I118,Lieu_Activité!$A:$B,2,FALSE)</f>
        <v>#N/A</v>
      </c>
      <c r="BU118" s="208" t="str">
        <f t="shared" si="85"/>
        <v>Aucun</v>
      </c>
      <c r="BV118" s="208" t="str">
        <f t="shared" si="86"/>
        <v>Aucun</v>
      </c>
      <c r="BW118" s="207" t="str">
        <f t="shared" si="103"/>
        <v>NON</v>
      </c>
      <c r="BX118" s="288"/>
    </row>
    <row r="119" spans="1:76" ht="12" customHeight="1" x14ac:dyDescent="0.25">
      <c r="A119" s="226" t="s">
        <v>211</v>
      </c>
      <c r="B119" s="234"/>
      <c r="C119" s="227"/>
      <c r="D119" s="257"/>
      <c r="E119" s="278">
        <f t="shared" si="136"/>
        <v>0</v>
      </c>
      <c r="F119" s="278" t="str">
        <f t="shared" si="87"/>
        <v xml:space="preserve"> </v>
      </c>
      <c r="G119" s="256"/>
      <c r="H119" s="256"/>
      <c r="I119" s="256"/>
      <c r="J119" s="256"/>
      <c r="K119" s="256"/>
      <c r="L119" s="257"/>
      <c r="M119" s="243"/>
      <c r="N119" s="232"/>
      <c r="O119" s="232"/>
      <c r="P119" s="265" t="str">
        <f>IFERROR(VLOOKUP(O119,Références!$K$11:$N$19,2)," ")</f>
        <v xml:space="preserve"> </v>
      </c>
      <c r="Q119" s="265" t="str">
        <f>IFERROR(VLOOKUP(O119,Références!$K$11:$N$19,3)," ")</f>
        <v xml:space="preserve"> </v>
      </c>
      <c r="R119" s="265" t="str">
        <f>IFERROR(VLOOKUP(O119,Références!$K$11:$N$19,4)," ")</f>
        <v xml:space="preserve"> </v>
      </c>
      <c r="S119" s="256"/>
      <c r="T119" s="256"/>
      <c r="U119" s="256"/>
      <c r="V119" s="256"/>
      <c r="W119" s="256"/>
      <c r="X119" s="257"/>
      <c r="Y119" s="256"/>
      <c r="Z119" s="256"/>
      <c r="AA119" s="256"/>
      <c r="AB119" s="235"/>
      <c r="AC119" s="235"/>
      <c r="AD119" s="235"/>
      <c r="AE119" s="235"/>
      <c r="AF119" s="235"/>
      <c r="AG119" s="235"/>
      <c r="AH119" s="235"/>
      <c r="AI119" s="235">
        <f t="shared" si="135"/>
        <v>0</v>
      </c>
      <c r="AJ119" s="257"/>
      <c r="AK119" s="256">
        <f t="shared" si="126"/>
        <v>0</v>
      </c>
      <c r="AL119" s="257"/>
      <c r="AM119" s="266">
        <f t="shared" si="127"/>
        <v>0</v>
      </c>
      <c r="AN119" s="256"/>
      <c r="AO119" s="276"/>
      <c r="AP119" s="261" t="str">
        <f t="shared" si="88"/>
        <v xml:space="preserve"> </v>
      </c>
      <c r="AQ119" s="256"/>
      <c r="AR119" s="295"/>
      <c r="AS119" s="295"/>
      <c r="AT119" s="263"/>
      <c r="AU119" s="277"/>
      <c r="AV119" s="263"/>
      <c r="AW119" s="230"/>
      <c r="AX119" s="300"/>
      <c r="AY119" s="301"/>
      <c r="AZ119" s="230"/>
      <c r="BA119" s="300" t="s">
        <v>234</v>
      </c>
      <c r="BB119" s="295"/>
      <c r="BC119" s="228">
        <f t="shared" si="128"/>
        <v>0</v>
      </c>
      <c r="BD119" s="228">
        <f t="shared" si="129"/>
        <v>0</v>
      </c>
      <c r="BE119" s="228">
        <f t="shared" si="79"/>
        <v>1</v>
      </c>
      <c r="BF119" s="228" t="str">
        <f t="shared" si="89"/>
        <v>ALIVE</v>
      </c>
      <c r="BG119" s="208" t="str">
        <f t="shared" si="80"/>
        <v>Aucune</v>
      </c>
      <c r="BH119" s="208" t="str">
        <f t="shared" si="81"/>
        <v>Aucune</v>
      </c>
      <c r="BI119" s="208" t="str">
        <f t="shared" si="82"/>
        <v>Aucune</v>
      </c>
      <c r="BJ119" s="208" t="str">
        <f t="shared" si="100"/>
        <v>NON</v>
      </c>
      <c r="BK119" s="208" t="str">
        <f t="shared" si="83"/>
        <v>NON</v>
      </c>
      <c r="BL119" s="208" t="str">
        <f t="shared" si="101"/>
        <v>Inconnu</v>
      </c>
      <c r="BM119" s="208" t="str">
        <f t="shared" si="130"/>
        <v>Inconnu</v>
      </c>
      <c r="BN119" s="208" t="str">
        <f t="shared" si="131"/>
        <v>Inconnu</v>
      </c>
      <c r="BO119" s="208" t="str">
        <f t="shared" si="102"/>
        <v>Inconnu</v>
      </c>
      <c r="BP119" s="208" t="str">
        <f t="shared" si="132"/>
        <v>Inconnu</v>
      </c>
      <c r="BQ119" s="208" t="str">
        <f t="shared" si="133"/>
        <v>Inconnu</v>
      </c>
      <c r="BR119" s="208" t="str">
        <f t="shared" si="134"/>
        <v>Aucune</v>
      </c>
      <c r="BS119" s="208">
        <f t="shared" si="125"/>
        <v>0</v>
      </c>
      <c r="BT119" s="229" t="e">
        <f>VLOOKUP($I119,Lieu_Activité!$A:$B,2,FALSE)</f>
        <v>#N/A</v>
      </c>
      <c r="BU119" s="208" t="str">
        <f t="shared" si="85"/>
        <v>Aucun</v>
      </c>
      <c r="BV119" s="208" t="str">
        <f t="shared" si="86"/>
        <v>Aucun</v>
      </c>
      <c r="BW119" s="207" t="str">
        <f t="shared" si="103"/>
        <v>NON</v>
      </c>
      <c r="BX119" s="288"/>
    </row>
    <row r="120" spans="1:76" ht="12" customHeight="1" x14ac:dyDescent="0.25">
      <c r="A120" s="226" t="s">
        <v>211</v>
      </c>
      <c r="B120" s="234"/>
      <c r="C120" s="227"/>
      <c r="D120" s="257"/>
      <c r="E120" s="278">
        <f t="shared" si="136"/>
        <v>0</v>
      </c>
      <c r="F120" s="278" t="str">
        <f t="shared" si="87"/>
        <v xml:space="preserve"> </v>
      </c>
      <c r="G120" s="256"/>
      <c r="H120" s="256"/>
      <c r="I120" s="256"/>
      <c r="J120" s="256"/>
      <c r="K120" s="256"/>
      <c r="L120" s="257"/>
      <c r="M120" s="243"/>
      <c r="N120" s="232"/>
      <c r="O120" s="232"/>
      <c r="P120" s="265" t="str">
        <f>IFERROR(VLOOKUP(O120,Références!$K$11:$N$19,2)," ")</f>
        <v xml:space="preserve"> </v>
      </c>
      <c r="Q120" s="265" t="str">
        <f>IFERROR(VLOOKUP(O120,Références!$K$11:$N$19,3)," ")</f>
        <v xml:space="preserve"> </v>
      </c>
      <c r="R120" s="265" t="str">
        <f>IFERROR(VLOOKUP(O120,Références!$K$11:$N$19,4)," ")</f>
        <v xml:space="preserve"> </v>
      </c>
      <c r="S120" s="256"/>
      <c r="T120" s="256"/>
      <c r="U120" s="256"/>
      <c r="V120" s="256"/>
      <c r="W120" s="256"/>
      <c r="X120" s="257"/>
      <c r="Y120" s="256"/>
      <c r="Z120" s="256"/>
      <c r="AA120" s="256"/>
      <c r="AB120" s="235"/>
      <c r="AC120" s="235"/>
      <c r="AD120" s="235"/>
      <c r="AE120" s="235"/>
      <c r="AF120" s="235"/>
      <c r="AG120" s="235"/>
      <c r="AH120" s="235"/>
      <c r="AI120" s="235">
        <f t="shared" si="135"/>
        <v>0</v>
      </c>
      <c r="AJ120" s="257"/>
      <c r="AK120" s="256">
        <f t="shared" si="126"/>
        <v>0</v>
      </c>
      <c r="AL120" s="257"/>
      <c r="AM120" s="266">
        <f t="shared" si="127"/>
        <v>0</v>
      </c>
      <c r="AN120" s="256"/>
      <c r="AO120" s="276"/>
      <c r="AP120" s="261" t="str">
        <f t="shared" si="88"/>
        <v xml:space="preserve"> </v>
      </c>
      <c r="AQ120" s="256"/>
      <c r="AR120" s="295"/>
      <c r="AS120" s="295"/>
      <c r="AT120" s="263"/>
      <c r="AU120" s="277"/>
      <c r="AV120" s="263"/>
      <c r="AW120" s="230"/>
      <c r="AX120" s="300"/>
      <c r="AY120" s="301"/>
      <c r="AZ120" s="230"/>
      <c r="BA120" s="300" t="s">
        <v>234</v>
      </c>
      <c r="BB120" s="295"/>
      <c r="BC120" s="228">
        <f t="shared" si="128"/>
        <v>0</v>
      </c>
      <c r="BD120" s="228">
        <f t="shared" si="129"/>
        <v>0</v>
      </c>
      <c r="BE120" s="228">
        <f t="shared" si="79"/>
        <v>1</v>
      </c>
      <c r="BF120" s="228" t="str">
        <f t="shared" si="89"/>
        <v>ALIVE</v>
      </c>
      <c r="BG120" s="208" t="str">
        <f t="shared" si="80"/>
        <v>Aucune</v>
      </c>
      <c r="BH120" s="208" t="str">
        <f t="shared" si="81"/>
        <v>Aucune</v>
      </c>
      <c r="BI120" s="208" t="str">
        <f t="shared" si="82"/>
        <v>Aucune</v>
      </c>
      <c r="BJ120" s="208" t="str">
        <f t="shared" ref="BJ120:BJ125" si="137">IF(X120&lt;&gt;"",IF(X120-L120&lt;2,"OUI","NON"),"NON")</f>
        <v>NON</v>
      </c>
      <c r="BK120" s="208" t="str">
        <f t="shared" si="83"/>
        <v>NON</v>
      </c>
      <c r="BL120" s="208" t="str">
        <f t="shared" ref="BL120:BL125" si="138">IF(AL120-L120&gt;0,AL120-L120,"Inconnu")</f>
        <v>Inconnu</v>
      </c>
      <c r="BM120" s="208" t="str">
        <f t="shared" si="130"/>
        <v>Inconnu</v>
      </c>
      <c r="BN120" s="208" t="str">
        <f t="shared" si="131"/>
        <v>Inconnu</v>
      </c>
      <c r="BO120" s="208" t="str">
        <f t="shared" ref="BO120:BO125" si="139">IF(AJ120-L120&gt;0,AJ120-L120,"Inconnu")</f>
        <v>Inconnu</v>
      </c>
      <c r="BP120" s="208" t="str">
        <f t="shared" si="132"/>
        <v>Inconnu</v>
      </c>
      <c r="BQ120" s="208" t="str">
        <f t="shared" si="133"/>
        <v>Inconnu</v>
      </c>
      <c r="BR120" s="208" t="str">
        <f t="shared" si="134"/>
        <v>Aucune</v>
      </c>
      <c r="BS120" s="208">
        <f t="shared" si="125"/>
        <v>0</v>
      </c>
      <c r="BT120" s="229" t="e">
        <f>VLOOKUP($I120,Lieu_Activité!$A:$B,2,FALSE)</f>
        <v>#N/A</v>
      </c>
      <c r="BU120" s="208" t="str">
        <f t="shared" si="85"/>
        <v>Aucun</v>
      </c>
      <c r="BV120" s="208" t="str">
        <f t="shared" si="86"/>
        <v>Aucun</v>
      </c>
      <c r="BW120" s="207" t="str">
        <f t="shared" ref="BW120:BW151" si="140">IF(M120="","NON","OUI")</f>
        <v>NON</v>
      </c>
      <c r="BX120" s="288"/>
    </row>
    <row r="121" spans="1:76" ht="12.75" customHeight="1" x14ac:dyDescent="0.25">
      <c r="A121" s="226" t="s">
        <v>211</v>
      </c>
      <c r="B121" s="234"/>
      <c r="C121" s="227"/>
      <c r="D121" s="257"/>
      <c r="E121" s="278">
        <f>(L121-D121)/365</f>
        <v>0</v>
      </c>
      <c r="F121" s="278" t="str">
        <f t="shared" si="87"/>
        <v xml:space="preserve"> </v>
      </c>
      <c r="G121" s="256"/>
      <c r="H121" s="256"/>
      <c r="I121" s="256"/>
      <c r="J121" s="256"/>
      <c r="K121" s="256"/>
      <c r="L121" s="257"/>
      <c r="M121" s="243"/>
      <c r="N121" s="232"/>
      <c r="O121" s="232"/>
      <c r="P121" s="265" t="str">
        <f>IFERROR(VLOOKUP(O121,Références!$K$11:$N$19,2)," ")</f>
        <v xml:space="preserve"> </v>
      </c>
      <c r="Q121" s="265" t="str">
        <f>IFERROR(VLOOKUP(O121,Références!$K$11:$N$19,3)," ")</f>
        <v xml:space="preserve"> </v>
      </c>
      <c r="R121" s="265" t="str">
        <f>IFERROR(VLOOKUP(O121,Références!$K$11:$N$19,4)," ")</f>
        <v xml:space="preserve"> </v>
      </c>
      <c r="S121" s="256"/>
      <c r="T121" s="256"/>
      <c r="U121" s="256"/>
      <c r="V121" s="256"/>
      <c r="W121" s="256"/>
      <c r="X121" s="257"/>
      <c r="Y121" s="256"/>
      <c r="Z121" s="256"/>
      <c r="AA121" s="256"/>
      <c r="AB121" s="235"/>
      <c r="AC121" s="235"/>
      <c r="AD121" s="235"/>
      <c r="AE121" s="235"/>
      <c r="AF121" s="235"/>
      <c r="AG121" s="235"/>
      <c r="AH121" s="235"/>
      <c r="AI121" s="235">
        <f t="shared" si="135"/>
        <v>0</v>
      </c>
      <c r="AJ121" s="257"/>
      <c r="AK121" s="256">
        <f t="shared" si="126"/>
        <v>0</v>
      </c>
      <c r="AL121" s="257"/>
      <c r="AM121" s="266">
        <f t="shared" si="127"/>
        <v>0</v>
      </c>
      <c r="AN121" s="256"/>
      <c r="AO121" s="276"/>
      <c r="AP121" s="261" t="str">
        <f t="shared" si="88"/>
        <v xml:space="preserve"> </v>
      </c>
      <c r="AQ121" s="256"/>
      <c r="AR121" s="295"/>
      <c r="AS121" s="295"/>
      <c r="AT121" s="263"/>
      <c r="AU121" s="277"/>
      <c r="AV121" s="263"/>
      <c r="AW121" s="230"/>
      <c r="AX121" s="300"/>
      <c r="AY121" s="301"/>
      <c r="AZ121" s="230"/>
      <c r="BA121" s="300" t="s">
        <v>234</v>
      </c>
      <c r="BB121" s="295"/>
      <c r="BC121" s="228">
        <f t="shared" si="128"/>
        <v>0</v>
      </c>
      <c r="BD121" s="228">
        <f t="shared" si="129"/>
        <v>0</v>
      </c>
      <c r="BE121" s="228">
        <f t="shared" si="79"/>
        <v>1</v>
      </c>
      <c r="BF121" s="228" t="str">
        <f t="shared" si="89"/>
        <v>ALIVE</v>
      </c>
      <c r="BG121" s="208" t="str">
        <f t="shared" si="80"/>
        <v>Aucune</v>
      </c>
      <c r="BH121" s="208" t="str">
        <f t="shared" si="81"/>
        <v>Aucune</v>
      </c>
      <c r="BI121" s="208" t="str">
        <f t="shared" si="82"/>
        <v>Aucune</v>
      </c>
      <c r="BJ121" s="208" t="str">
        <f t="shared" si="137"/>
        <v>NON</v>
      </c>
      <c r="BK121" s="208" t="str">
        <f t="shared" si="83"/>
        <v>NON</v>
      </c>
      <c r="BL121" s="208" t="str">
        <f t="shared" si="138"/>
        <v>Inconnu</v>
      </c>
      <c r="BM121" s="208" t="str">
        <f t="shared" si="130"/>
        <v>Inconnu</v>
      </c>
      <c r="BN121" s="208" t="str">
        <f t="shared" si="131"/>
        <v>Inconnu</v>
      </c>
      <c r="BO121" s="208" t="str">
        <f t="shared" si="139"/>
        <v>Inconnu</v>
      </c>
      <c r="BP121" s="208" t="str">
        <f t="shared" si="132"/>
        <v>Inconnu</v>
      </c>
      <c r="BQ121" s="208" t="str">
        <f t="shared" si="133"/>
        <v>Inconnu</v>
      </c>
      <c r="BR121" s="208" t="str">
        <f t="shared" si="134"/>
        <v>Aucune</v>
      </c>
      <c r="BS121" s="208">
        <f t="shared" si="125"/>
        <v>0</v>
      </c>
      <c r="BT121" s="229" t="e">
        <f>VLOOKUP($I121,Lieu_Activité!$A:$B,2,FALSE)</f>
        <v>#N/A</v>
      </c>
      <c r="BU121" s="208" t="str">
        <f t="shared" si="85"/>
        <v>Aucun</v>
      </c>
      <c r="BV121" s="208" t="str">
        <f t="shared" si="86"/>
        <v>Aucun</v>
      </c>
      <c r="BW121" s="207" t="str">
        <f t="shared" si="140"/>
        <v>NON</v>
      </c>
      <c r="BX121" s="288"/>
    </row>
    <row r="122" spans="1:76" ht="12" customHeight="1" x14ac:dyDescent="0.25">
      <c r="A122" s="226" t="s">
        <v>211</v>
      </c>
      <c r="B122" s="234"/>
      <c r="C122" s="227"/>
      <c r="D122" s="257"/>
      <c r="E122" s="278">
        <f>(L122-D122)/365</f>
        <v>0</v>
      </c>
      <c r="F122" s="278" t="str">
        <f t="shared" si="87"/>
        <v xml:space="preserve"> </v>
      </c>
      <c r="G122" s="256"/>
      <c r="H122" s="256"/>
      <c r="I122" s="256"/>
      <c r="J122" s="256"/>
      <c r="K122" s="256"/>
      <c r="L122" s="257"/>
      <c r="M122" s="243"/>
      <c r="N122" s="232"/>
      <c r="O122" s="232"/>
      <c r="P122" s="265" t="str">
        <f>IFERROR(VLOOKUP(O122,Références!$K$11:$N$19,2)," ")</f>
        <v xml:space="preserve"> </v>
      </c>
      <c r="Q122" s="265" t="str">
        <f>IFERROR(VLOOKUP(O122,Références!$K$11:$N$19,3)," ")</f>
        <v xml:space="preserve"> </v>
      </c>
      <c r="R122" s="265" t="str">
        <f>IFERROR(VLOOKUP(O122,Références!$K$11:$N$19,4)," ")</f>
        <v xml:space="preserve"> </v>
      </c>
      <c r="S122" s="256"/>
      <c r="T122" s="256"/>
      <c r="U122" s="256"/>
      <c r="V122" s="256"/>
      <c r="W122" s="256"/>
      <c r="X122" s="257"/>
      <c r="Y122" s="256"/>
      <c r="Z122" s="256"/>
      <c r="AA122" s="256"/>
      <c r="AB122" s="235"/>
      <c r="AC122" s="235"/>
      <c r="AD122" s="235"/>
      <c r="AE122" s="235"/>
      <c r="AF122" s="235"/>
      <c r="AG122" s="235"/>
      <c r="AH122" s="235"/>
      <c r="AI122" s="235">
        <f t="shared" si="135"/>
        <v>0</v>
      </c>
      <c r="AJ122" s="257"/>
      <c r="AK122" s="256">
        <f t="shared" si="126"/>
        <v>0</v>
      </c>
      <c r="AL122" s="257"/>
      <c r="AM122" s="266">
        <f t="shared" si="127"/>
        <v>0</v>
      </c>
      <c r="AN122" s="256"/>
      <c r="AO122" s="276"/>
      <c r="AP122" s="261" t="str">
        <f t="shared" si="88"/>
        <v xml:space="preserve"> </v>
      </c>
      <c r="AQ122" s="256"/>
      <c r="AR122" s="295"/>
      <c r="AS122" s="295"/>
      <c r="AT122" s="263"/>
      <c r="AU122" s="277"/>
      <c r="AV122" s="263"/>
      <c r="AW122" s="230"/>
      <c r="AX122" s="300"/>
      <c r="AY122" s="301"/>
      <c r="AZ122" s="230"/>
      <c r="BA122" s="300" t="s">
        <v>234</v>
      </c>
      <c r="BB122" s="295"/>
      <c r="BC122" s="228">
        <f t="shared" si="128"/>
        <v>0</v>
      </c>
      <c r="BD122" s="228">
        <f t="shared" si="129"/>
        <v>0</v>
      </c>
      <c r="BE122" s="228">
        <f t="shared" si="79"/>
        <v>1</v>
      </c>
      <c r="BF122" s="228" t="str">
        <f t="shared" si="89"/>
        <v>ALIVE</v>
      </c>
      <c r="BG122" s="208" t="str">
        <f t="shared" si="80"/>
        <v>Aucune</v>
      </c>
      <c r="BH122" s="208" t="str">
        <f t="shared" si="81"/>
        <v>Aucune</v>
      </c>
      <c r="BI122" s="208" t="str">
        <f t="shared" si="82"/>
        <v>Aucune</v>
      </c>
      <c r="BJ122" s="208" t="str">
        <f t="shared" si="137"/>
        <v>NON</v>
      </c>
      <c r="BK122" s="208" t="str">
        <f t="shared" si="83"/>
        <v>NON</v>
      </c>
      <c r="BL122" s="208" t="str">
        <f t="shared" si="138"/>
        <v>Inconnu</v>
      </c>
      <c r="BM122" s="208" t="str">
        <f t="shared" si="130"/>
        <v>Inconnu</v>
      </c>
      <c r="BN122" s="208" t="str">
        <f t="shared" si="131"/>
        <v>Inconnu</v>
      </c>
      <c r="BO122" s="208" t="str">
        <f t="shared" si="139"/>
        <v>Inconnu</v>
      </c>
      <c r="BP122" s="208" t="str">
        <f t="shared" si="132"/>
        <v>Inconnu</v>
      </c>
      <c r="BQ122" s="208" t="str">
        <f t="shared" si="133"/>
        <v>Inconnu</v>
      </c>
      <c r="BR122" s="208" t="str">
        <f t="shared" si="134"/>
        <v>Aucune</v>
      </c>
      <c r="BS122" s="208" t="e">
        <f>#REF!+AH122</f>
        <v>#REF!</v>
      </c>
      <c r="BT122" s="229" t="e">
        <f>VLOOKUP($I122,Lieu_Activité!$A:$B,2,FALSE)</f>
        <v>#N/A</v>
      </c>
      <c r="BU122" s="208" t="str">
        <f t="shared" si="85"/>
        <v>Aucun</v>
      </c>
      <c r="BV122" s="208" t="str">
        <f t="shared" si="86"/>
        <v>Aucun</v>
      </c>
      <c r="BW122" s="207" t="str">
        <f t="shared" si="140"/>
        <v>NON</v>
      </c>
      <c r="BX122" s="288"/>
    </row>
    <row r="123" spans="1:76" ht="12" customHeight="1" x14ac:dyDescent="0.25">
      <c r="A123" s="226" t="s">
        <v>211</v>
      </c>
      <c r="B123" s="234"/>
      <c r="C123" s="227"/>
      <c r="D123" s="257"/>
      <c r="E123" s="278">
        <f>(L123-D123)/365</f>
        <v>0</v>
      </c>
      <c r="F123" s="278" t="str">
        <f t="shared" si="87"/>
        <v xml:space="preserve"> </v>
      </c>
      <c r="G123" s="256"/>
      <c r="H123" s="256"/>
      <c r="I123" s="256"/>
      <c r="J123" s="256"/>
      <c r="K123" s="256"/>
      <c r="L123" s="257"/>
      <c r="M123" s="243"/>
      <c r="N123" s="232"/>
      <c r="O123" s="232"/>
      <c r="P123" s="265" t="str">
        <f>IFERROR(VLOOKUP(O123,Références!$K$11:$N$19,2)," ")</f>
        <v xml:space="preserve"> </v>
      </c>
      <c r="Q123" s="265" t="str">
        <f>IFERROR(VLOOKUP(O123,Références!$K$11:$N$19,3)," ")</f>
        <v xml:space="preserve"> </v>
      </c>
      <c r="R123" s="265" t="str">
        <f>IFERROR(VLOOKUP(O123,Références!$K$11:$N$19,4)," ")</f>
        <v xml:space="preserve"> </v>
      </c>
      <c r="S123" s="256"/>
      <c r="T123" s="256"/>
      <c r="U123" s="256"/>
      <c r="V123" s="256"/>
      <c r="W123" s="256"/>
      <c r="X123" s="257"/>
      <c r="Y123" s="256"/>
      <c r="Z123" s="256"/>
      <c r="AA123" s="256"/>
      <c r="AB123" s="235"/>
      <c r="AC123" s="235"/>
      <c r="AD123" s="235"/>
      <c r="AE123" s="235"/>
      <c r="AF123" s="235"/>
      <c r="AG123" s="235"/>
      <c r="AH123" s="235"/>
      <c r="AI123" s="235">
        <f t="shared" si="135"/>
        <v>0</v>
      </c>
      <c r="AJ123" s="257"/>
      <c r="AK123" s="256">
        <f t="shared" si="126"/>
        <v>0</v>
      </c>
      <c r="AL123" s="257"/>
      <c r="AM123" s="266">
        <f t="shared" si="127"/>
        <v>0</v>
      </c>
      <c r="AN123" s="256"/>
      <c r="AO123" s="276"/>
      <c r="AP123" s="261" t="str">
        <f t="shared" si="88"/>
        <v xml:space="preserve"> </v>
      </c>
      <c r="AQ123" s="256"/>
      <c r="AR123" s="295"/>
      <c r="AS123" s="295"/>
      <c r="AT123" s="263"/>
      <c r="AU123" s="277"/>
      <c r="AV123" s="263"/>
      <c r="AW123" s="230"/>
      <c r="AX123" s="300"/>
      <c r="AY123" s="301"/>
      <c r="AZ123" s="230"/>
      <c r="BA123" s="300" t="s">
        <v>234</v>
      </c>
      <c r="BB123" s="295"/>
      <c r="BC123" s="228">
        <f t="shared" si="128"/>
        <v>0</v>
      </c>
      <c r="BD123" s="228">
        <f t="shared" si="129"/>
        <v>0</v>
      </c>
      <c r="BE123" s="228">
        <f t="shared" si="79"/>
        <v>1</v>
      </c>
      <c r="BF123" s="228" t="str">
        <f t="shared" si="89"/>
        <v>ALIVE</v>
      </c>
      <c r="BG123" s="208" t="str">
        <f t="shared" si="80"/>
        <v>Aucune</v>
      </c>
      <c r="BH123" s="208" t="str">
        <f t="shared" si="81"/>
        <v>Aucune</v>
      </c>
      <c r="BI123" s="208" t="str">
        <f t="shared" si="82"/>
        <v>Aucune</v>
      </c>
      <c r="BJ123" s="208" t="str">
        <f t="shared" si="137"/>
        <v>NON</v>
      </c>
      <c r="BK123" s="208" t="str">
        <f t="shared" si="83"/>
        <v>NON</v>
      </c>
      <c r="BL123" s="208" t="str">
        <f t="shared" si="138"/>
        <v>Inconnu</v>
      </c>
      <c r="BM123" s="208" t="str">
        <f t="shared" si="130"/>
        <v>Inconnu</v>
      </c>
      <c r="BN123" s="208" t="str">
        <f t="shared" si="131"/>
        <v>Inconnu</v>
      </c>
      <c r="BO123" s="208" t="str">
        <f t="shared" si="139"/>
        <v>Inconnu</v>
      </c>
      <c r="BP123" s="208" t="str">
        <f t="shared" si="132"/>
        <v>Inconnu</v>
      </c>
      <c r="BQ123" s="208" t="str">
        <f t="shared" si="133"/>
        <v>Inconnu</v>
      </c>
      <c r="BR123" s="208" t="str">
        <f t="shared" si="134"/>
        <v>Aucune</v>
      </c>
      <c r="BS123" s="208">
        <f>AF122+AH123</f>
        <v>0</v>
      </c>
      <c r="BT123" s="229" t="e">
        <f>VLOOKUP($I123,Lieu_Activité!$A:$B,2,FALSE)</f>
        <v>#N/A</v>
      </c>
      <c r="BU123" s="208" t="str">
        <f t="shared" si="85"/>
        <v>Aucun</v>
      </c>
      <c r="BV123" s="208" t="str">
        <f t="shared" si="86"/>
        <v>Aucun</v>
      </c>
      <c r="BW123" s="207" t="str">
        <f t="shared" si="140"/>
        <v>NON</v>
      </c>
      <c r="BX123" s="288"/>
    </row>
    <row r="124" spans="1:76" ht="12" customHeight="1" x14ac:dyDescent="0.25">
      <c r="A124" s="226" t="s">
        <v>211</v>
      </c>
      <c r="B124" s="234"/>
      <c r="C124" s="227"/>
      <c r="D124" s="257"/>
      <c r="E124" s="278">
        <f>(L124-D124)/365</f>
        <v>0</v>
      </c>
      <c r="F124" s="278" t="str">
        <f t="shared" si="87"/>
        <v xml:space="preserve"> </v>
      </c>
      <c r="G124" s="256"/>
      <c r="H124" s="256"/>
      <c r="I124" s="256"/>
      <c r="J124" s="256"/>
      <c r="K124" s="256"/>
      <c r="L124" s="257"/>
      <c r="M124" s="243"/>
      <c r="N124" s="232"/>
      <c r="O124" s="232"/>
      <c r="P124" s="265" t="str">
        <f>IFERROR(VLOOKUP(O124,Références!$K$11:$N$19,2)," ")</f>
        <v xml:space="preserve"> </v>
      </c>
      <c r="Q124" s="265" t="str">
        <f>IFERROR(VLOOKUP(O124,Références!$K$11:$N$19,3)," ")</f>
        <v xml:space="preserve"> </v>
      </c>
      <c r="R124" s="265" t="str">
        <f>IFERROR(VLOOKUP(O124,Références!$K$11:$N$19,4)," ")</f>
        <v xml:space="preserve"> </v>
      </c>
      <c r="S124" s="256"/>
      <c r="T124" s="256"/>
      <c r="U124" s="256"/>
      <c r="V124" s="256"/>
      <c r="W124" s="256"/>
      <c r="X124" s="257"/>
      <c r="Y124" s="256"/>
      <c r="Z124" s="256"/>
      <c r="AA124" s="256"/>
      <c r="AB124" s="235"/>
      <c r="AC124" s="235"/>
      <c r="AD124" s="235"/>
      <c r="AE124" s="235"/>
      <c r="AF124" s="235"/>
      <c r="AG124" s="235"/>
      <c r="AH124" s="235"/>
      <c r="AI124" s="235">
        <f t="shared" si="135"/>
        <v>0</v>
      </c>
      <c r="AJ124" s="257"/>
      <c r="AK124" s="256">
        <f t="shared" si="126"/>
        <v>0</v>
      </c>
      <c r="AL124" s="257"/>
      <c r="AM124" s="266">
        <f t="shared" si="127"/>
        <v>0</v>
      </c>
      <c r="AN124" s="256"/>
      <c r="AO124" s="276"/>
      <c r="AP124" s="261" t="str">
        <f t="shared" si="88"/>
        <v xml:space="preserve"> </v>
      </c>
      <c r="AQ124" s="256"/>
      <c r="AR124" s="295"/>
      <c r="AS124" s="295"/>
      <c r="AT124" s="263"/>
      <c r="AU124" s="277"/>
      <c r="AV124" s="263"/>
      <c r="AW124" s="230"/>
      <c r="AX124" s="300"/>
      <c r="AY124" s="301"/>
      <c r="AZ124" s="230"/>
      <c r="BA124" s="300" t="s">
        <v>234</v>
      </c>
      <c r="BB124" s="295"/>
      <c r="BC124" s="228">
        <f t="shared" si="128"/>
        <v>0</v>
      </c>
      <c r="BD124" s="228">
        <f t="shared" si="129"/>
        <v>0</v>
      </c>
      <c r="BE124" s="228">
        <f t="shared" si="79"/>
        <v>1</v>
      </c>
      <c r="BF124" s="228" t="str">
        <f t="shared" si="89"/>
        <v>ALIVE</v>
      </c>
      <c r="BG124" s="208" t="str">
        <f t="shared" si="80"/>
        <v>Aucune</v>
      </c>
      <c r="BH124" s="208" t="str">
        <f t="shared" si="81"/>
        <v>Aucune</v>
      </c>
      <c r="BI124" s="208" t="str">
        <f t="shared" si="82"/>
        <v>Aucune</v>
      </c>
      <c r="BJ124" s="208" t="str">
        <f t="shared" si="137"/>
        <v>NON</v>
      </c>
      <c r="BK124" s="208" t="str">
        <f t="shared" si="83"/>
        <v>NON</v>
      </c>
      <c r="BL124" s="208" t="str">
        <f t="shared" si="138"/>
        <v>Inconnu</v>
      </c>
      <c r="BM124" s="208" t="str">
        <f t="shared" si="130"/>
        <v>Inconnu</v>
      </c>
      <c r="BN124" s="208" t="str">
        <f t="shared" si="131"/>
        <v>Inconnu</v>
      </c>
      <c r="BO124" s="208" t="str">
        <f t="shared" si="139"/>
        <v>Inconnu</v>
      </c>
      <c r="BP124" s="208" t="str">
        <f t="shared" si="132"/>
        <v>Inconnu</v>
      </c>
      <c r="BQ124" s="208" t="str">
        <f t="shared" si="133"/>
        <v>Inconnu</v>
      </c>
      <c r="BR124" s="208" t="str">
        <f t="shared" si="134"/>
        <v>Aucune</v>
      </c>
      <c r="BS124" s="208">
        <f t="shared" ref="BS124:BS155" si="141">AF124+AH124</f>
        <v>0</v>
      </c>
      <c r="BT124" s="229" t="e">
        <f>VLOOKUP($I124,Lieu_Activité!$A:$B,2,FALSE)</f>
        <v>#N/A</v>
      </c>
      <c r="BU124" s="208" t="str">
        <f t="shared" si="85"/>
        <v>Aucun</v>
      </c>
      <c r="BV124" s="208" t="str">
        <f t="shared" si="86"/>
        <v>Aucun</v>
      </c>
      <c r="BW124" s="207" t="str">
        <f t="shared" si="140"/>
        <v>NON</v>
      </c>
      <c r="BX124" s="288"/>
    </row>
    <row r="125" spans="1:76" ht="12.75" customHeight="1" x14ac:dyDescent="0.25">
      <c r="A125" s="226" t="s">
        <v>211</v>
      </c>
      <c r="B125" s="234"/>
      <c r="C125" s="227"/>
      <c r="D125" s="257"/>
      <c r="E125" s="278">
        <f t="shared" ref="E125:E136" si="142">(L125-D125)/365</f>
        <v>0</v>
      </c>
      <c r="F125" s="278" t="str">
        <f t="shared" si="87"/>
        <v xml:space="preserve"> </v>
      </c>
      <c r="G125" s="256"/>
      <c r="H125" s="256"/>
      <c r="I125" s="256"/>
      <c r="J125" s="256"/>
      <c r="K125" s="256"/>
      <c r="L125" s="257"/>
      <c r="M125" s="243"/>
      <c r="N125" s="232"/>
      <c r="O125" s="265"/>
      <c r="P125" s="265" t="str">
        <f>IFERROR(VLOOKUP(O125,Références!$K$11:$N$19,2)," ")</f>
        <v xml:space="preserve"> </v>
      </c>
      <c r="Q125" s="265" t="str">
        <f>IFERROR(VLOOKUP(O125,Références!$K$11:$N$19,3)," ")</f>
        <v xml:space="preserve"> </v>
      </c>
      <c r="R125" s="265" t="str">
        <f>IFERROR(VLOOKUP(O125,Références!$K$11:$N$19,4)," ")</f>
        <v xml:space="preserve"> </v>
      </c>
      <c r="S125" s="256"/>
      <c r="T125" s="256"/>
      <c r="U125" s="256"/>
      <c r="V125" s="256"/>
      <c r="W125" s="256"/>
      <c r="X125" s="257"/>
      <c r="Y125" s="256"/>
      <c r="Z125" s="256"/>
      <c r="AA125" s="256"/>
      <c r="AB125" s="235"/>
      <c r="AC125" s="235"/>
      <c r="AD125" s="235"/>
      <c r="AE125" s="235"/>
      <c r="AF125" s="235"/>
      <c r="AG125" s="235"/>
      <c r="AH125" s="235"/>
      <c r="AI125" s="235">
        <f t="shared" si="135"/>
        <v>0</v>
      </c>
      <c r="AJ125" s="257"/>
      <c r="AK125" s="256">
        <f t="shared" ref="AK125:AK136" si="143">(AJ125-L125)</f>
        <v>0</v>
      </c>
      <c r="AL125" s="257"/>
      <c r="AM125" s="266">
        <f t="shared" ref="AM125:AM136" si="144">(AL125-L125)</f>
        <v>0</v>
      </c>
      <c r="AN125" s="256"/>
      <c r="AO125" s="276"/>
      <c r="AP125" s="261" t="str">
        <f t="shared" si="88"/>
        <v xml:space="preserve"> </v>
      </c>
      <c r="AQ125" s="256"/>
      <c r="AR125" s="295"/>
      <c r="AS125" s="295"/>
      <c r="AT125" s="263"/>
      <c r="AU125" s="277"/>
      <c r="AV125" s="263"/>
      <c r="AW125" s="230"/>
      <c r="AX125" s="300"/>
      <c r="AY125" s="301"/>
      <c r="AZ125" s="230"/>
      <c r="BA125" s="300" t="s">
        <v>234</v>
      </c>
      <c r="BB125" s="295"/>
      <c r="BC125" s="228">
        <f t="shared" ref="BC125:BC136" si="145">IF(BG125="Aucune",0,1)</f>
        <v>0</v>
      </c>
      <c r="BD125" s="228">
        <f>IF(BH125="Aucune",0,1)</f>
        <v>0</v>
      </c>
      <c r="BE125" s="228">
        <f t="shared" si="79"/>
        <v>1</v>
      </c>
      <c r="BF125" s="228" t="str">
        <f t="shared" si="89"/>
        <v>ALIVE</v>
      </c>
      <c r="BG125" s="208" t="str">
        <f t="shared" si="80"/>
        <v>Aucune</v>
      </c>
      <c r="BH125" s="208" t="str">
        <f t="shared" si="81"/>
        <v>Aucune</v>
      </c>
      <c r="BI125" s="208" t="str">
        <f t="shared" si="82"/>
        <v>Aucune</v>
      </c>
      <c r="BJ125" s="208" t="str">
        <f t="shared" si="137"/>
        <v>NON</v>
      </c>
      <c r="BK125" s="208" t="str">
        <f t="shared" si="83"/>
        <v>NON</v>
      </c>
      <c r="BL125" s="208" t="str">
        <f t="shared" si="138"/>
        <v>Inconnu</v>
      </c>
      <c r="BM125" s="208" t="str">
        <f t="shared" ref="BM125:BM136" si="146">IF($O125&lt;&gt;"HTX",IF($O125&lt;&gt;"LVAD",BL125,"Inconnu"),"Inconnu")</f>
        <v>Inconnu</v>
      </c>
      <c r="BN125" s="208" t="str">
        <f t="shared" ref="BN125:BN136" si="147">IF($O125="HTX",BL125,IF($O125="LVAD",BL125,"Inconnu"))</f>
        <v>Inconnu</v>
      </c>
      <c r="BO125" s="208" t="str">
        <f t="shared" si="139"/>
        <v>Inconnu</v>
      </c>
      <c r="BP125" s="208" t="str">
        <f t="shared" ref="BP125:BP136" si="148">IF($O125&lt;&gt;"HTX",IF($O125&lt;&gt;"LVAD",BO125,"Inconnu"),"Inconnu")</f>
        <v>Inconnu</v>
      </c>
      <c r="BQ125" s="208" t="str">
        <f t="shared" ref="BQ125:BQ136" si="149">IF($O125="HTX",BO125,IF($O125="LVAD",BO125,"Inconnu"))</f>
        <v>Inconnu</v>
      </c>
      <c r="BR125" s="208" t="str">
        <f t="shared" ref="BR125:BR136" si="150">IF(BH125="Aucune",IF(BI125="Aucune","Aucune","Transfusé"),"Transfusé")</f>
        <v>Aucune</v>
      </c>
      <c r="BS125" s="208">
        <f t="shared" si="141"/>
        <v>0</v>
      </c>
      <c r="BT125" s="229" t="e">
        <f>VLOOKUP($I125,Lieu_Activité!$A:$B,2,FALSE)</f>
        <v>#N/A</v>
      </c>
      <c r="BU125" s="208" t="str">
        <f t="shared" si="85"/>
        <v>Aucun</v>
      </c>
      <c r="BV125" s="208" t="str">
        <f t="shared" si="86"/>
        <v>Aucun</v>
      </c>
      <c r="BW125" s="207" t="str">
        <f t="shared" si="140"/>
        <v>NON</v>
      </c>
      <c r="BX125" s="288"/>
    </row>
    <row r="126" spans="1:76" ht="12" customHeight="1" x14ac:dyDescent="0.25">
      <c r="A126" s="226" t="s">
        <v>211</v>
      </c>
      <c r="B126" s="234"/>
      <c r="C126" s="227"/>
      <c r="D126" s="257"/>
      <c r="E126" s="278">
        <f t="shared" si="142"/>
        <v>0</v>
      </c>
      <c r="F126" s="278" t="str">
        <f t="shared" si="87"/>
        <v xml:space="preserve"> </v>
      </c>
      <c r="G126" s="256"/>
      <c r="H126" s="256"/>
      <c r="I126" s="256"/>
      <c r="J126" s="256"/>
      <c r="K126" s="256"/>
      <c r="L126" s="257"/>
      <c r="M126" s="269"/>
      <c r="N126" s="232"/>
      <c r="O126" s="232"/>
      <c r="P126" s="265" t="str">
        <f>IFERROR(VLOOKUP(O126,Références!$K$11:$N$19,2)," ")</f>
        <v xml:space="preserve"> </v>
      </c>
      <c r="Q126" s="265" t="str">
        <f>IFERROR(VLOOKUP(O126,Références!$K$11:$N$19,3)," ")</f>
        <v xml:space="preserve"> </v>
      </c>
      <c r="R126" s="265" t="str">
        <f>IFERROR(VLOOKUP(O126,Références!$K$11:$N$19,4)," ")</f>
        <v xml:space="preserve"> </v>
      </c>
      <c r="S126" s="256"/>
      <c r="T126" s="256"/>
      <c r="U126" s="256"/>
      <c r="V126" s="256"/>
      <c r="W126" s="256"/>
      <c r="X126" s="257"/>
      <c r="Y126" s="256"/>
      <c r="Z126" s="256"/>
      <c r="AA126" s="256"/>
      <c r="AB126" s="235"/>
      <c r="AC126" s="235"/>
      <c r="AD126" s="235"/>
      <c r="AE126" s="235"/>
      <c r="AF126" s="235"/>
      <c r="AG126" s="235"/>
      <c r="AH126" s="235"/>
      <c r="AI126" s="235">
        <f t="shared" si="135"/>
        <v>0</v>
      </c>
      <c r="AJ126" s="257"/>
      <c r="AK126" s="256">
        <f t="shared" si="143"/>
        <v>0</v>
      </c>
      <c r="AL126" s="257"/>
      <c r="AM126" s="266">
        <f t="shared" si="144"/>
        <v>0</v>
      </c>
      <c r="AN126" s="256"/>
      <c r="AO126" s="276"/>
      <c r="AP126" s="261" t="str">
        <f t="shared" si="88"/>
        <v xml:space="preserve"> </v>
      </c>
      <c r="AQ126" s="256"/>
      <c r="AR126" s="295"/>
      <c r="AS126" s="295"/>
      <c r="AT126" s="263"/>
      <c r="AU126" s="277"/>
      <c r="AV126" s="263"/>
      <c r="AW126" s="230"/>
      <c r="AX126" s="300"/>
      <c r="AY126" s="301"/>
      <c r="AZ126" s="230"/>
      <c r="BA126" s="300" t="s">
        <v>234</v>
      </c>
      <c r="BB126" s="295"/>
      <c r="BC126" s="228">
        <f t="shared" si="145"/>
        <v>0</v>
      </c>
      <c r="BD126" s="228">
        <f>IF(BH126="Aucune",0,1)</f>
        <v>0</v>
      </c>
      <c r="BE126" s="228">
        <f t="shared" si="79"/>
        <v>1</v>
      </c>
      <c r="BF126" s="228" t="str">
        <f t="shared" si="89"/>
        <v>ALIVE</v>
      </c>
      <c r="BG126" s="208" t="str">
        <f t="shared" si="80"/>
        <v>Aucune</v>
      </c>
      <c r="BH126" s="208" t="str">
        <f t="shared" si="81"/>
        <v>Aucune</v>
      </c>
      <c r="BI126" s="208" t="str">
        <f t="shared" si="82"/>
        <v>Aucune</v>
      </c>
      <c r="BJ126" s="208" t="str">
        <f>IF(X126&lt;&gt;"",IF(X126-M126&lt;2,"OUI","NON"),"NON")</f>
        <v>NON</v>
      </c>
      <c r="BK126" s="208" t="str">
        <f t="shared" si="83"/>
        <v>NON</v>
      </c>
      <c r="BL126" s="208" t="str">
        <f>IF(AL126-M126&gt;0,AL126-M126,"Inconnu")</f>
        <v>Inconnu</v>
      </c>
      <c r="BM126" s="208" t="str">
        <f t="shared" si="146"/>
        <v>Inconnu</v>
      </c>
      <c r="BN126" s="208" t="str">
        <f t="shared" si="147"/>
        <v>Inconnu</v>
      </c>
      <c r="BO126" s="208" t="str">
        <f>IF(AJ126-M126&gt;0,AJ126-M126,"Inconnu")</f>
        <v>Inconnu</v>
      </c>
      <c r="BP126" s="208" t="str">
        <f t="shared" si="148"/>
        <v>Inconnu</v>
      </c>
      <c r="BQ126" s="208" t="str">
        <f t="shared" si="149"/>
        <v>Inconnu</v>
      </c>
      <c r="BR126" s="208" t="str">
        <f t="shared" si="150"/>
        <v>Aucune</v>
      </c>
      <c r="BS126" s="208">
        <f t="shared" si="141"/>
        <v>0</v>
      </c>
      <c r="BT126" s="229" t="e">
        <f>VLOOKUP($I126,Lieu_Activité!$A:$B,2,FALSE)</f>
        <v>#N/A</v>
      </c>
      <c r="BU126" s="208" t="str">
        <f t="shared" si="85"/>
        <v>Aucun</v>
      </c>
      <c r="BV126" s="208" t="str">
        <f t="shared" si="86"/>
        <v>Aucun</v>
      </c>
      <c r="BW126" s="207" t="str">
        <f t="shared" si="140"/>
        <v>NON</v>
      </c>
      <c r="BX126" s="288"/>
    </row>
    <row r="127" spans="1:76" ht="12" customHeight="1" x14ac:dyDescent="0.25">
      <c r="A127" s="226" t="s">
        <v>211</v>
      </c>
      <c r="B127" s="234"/>
      <c r="C127" s="227"/>
      <c r="D127" s="257"/>
      <c r="E127" s="278">
        <f t="shared" si="142"/>
        <v>0</v>
      </c>
      <c r="F127" s="278" t="str">
        <f t="shared" si="87"/>
        <v xml:space="preserve"> </v>
      </c>
      <c r="G127" s="256"/>
      <c r="H127" s="256"/>
      <c r="I127" s="256"/>
      <c r="J127" s="256"/>
      <c r="K127" s="256"/>
      <c r="L127" s="257"/>
      <c r="M127" s="243"/>
      <c r="N127" s="232"/>
      <c r="O127" s="232"/>
      <c r="P127" s="265" t="str">
        <f>IFERROR(VLOOKUP(O127,Références!$K$11:$N$19,2)," ")</f>
        <v xml:space="preserve"> </v>
      </c>
      <c r="Q127" s="265" t="str">
        <f>IFERROR(VLOOKUP(O127,Références!$K$11:$N$19,3)," ")</f>
        <v xml:space="preserve"> </v>
      </c>
      <c r="R127" s="265" t="str">
        <f>IFERROR(VLOOKUP(O127,Références!$K$11:$N$19,4)," ")</f>
        <v xml:space="preserve"> </v>
      </c>
      <c r="S127" s="256"/>
      <c r="T127" s="256"/>
      <c r="U127" s="256"/>
      <c r="V127" s="256"/>
      <c r="W127" s="256"/>
      <c r="X127" s="257"/>
      <c r="Y127" s="256"/>
      <c r="Z127" s="256"/>
      <c r="AA127" s="256"/>
      <c r="AB127" s="235"/>
      <c r="AC127" s="235"/>
      <c r="AD127" s="235"/>
      <c r="AE127" s="235"/>
      <c r="AF127" s="235"/>
      <c r="AG127" s="235"/>
      <c r="AH127" s="235"/>
      <c r="AI127" s="235">
        <f t="shared" si="135"/>
        <v>0</v>
      </c>
      <c r="AJ127" s="257"/>
      <c r="AK127" s="256">
        <f t="shared" si="143"/>
        <v>0</v>
      </c>
      <c r="AL127" s="257"/>
      <c r="AM127" s="266">
        <f t="shared" si="144"/>
        <v>0</v>
      </c>
      <c r="AN127" s="256"/>
      <c r="AO127" s="276"/>
      <c r="AP127" s="261" t="str">
        <f t="shared" si="88"/>
        <v xml:space="preserve"> </v>
      </c>
      <c r="AQ127" s="256"/>
      <c r="AR127" s="295"/>
      <c r="AS127" s="295"/>
      <c r="AT127" s="263"/>
      <c r="AU127" s="277"/>
      <c r="AV127" s="263"/>
      <c r="AW127" s="230"/>
      <c r="AX127" s="300"/>
      <c r="AY127" s="301"/>
      <c r="AZ127" s="230"/>
      <c r="BA127" s="300" t="s">
        <v>234</v>
      </c>
      <c r="BB127" s="295"/>
      <c r="BC127" s="228">
        <f t="shared" si="145"/>
        <v>0</v>
      </c>
      <c r="BD127" s="228">
        <f>IF(BH127="Aucune",0,1)</f>
        <v>0</v>
      </c>
      <c r="BE127" s="228">
        <f t="shared" si="79"/>
        <v>1</v>
      </c>
      <c r="BF127" s="228" t="str">
        <f t="shared" si="89"/>
        <v>ALIVE</v>
      </c>
      <c r="BG127" s="208" t="str">
        <f t="shared" si="80"/>
        <v>Aucune</v>
      </c>
      <c r="BH127" s="208" t="str">
        <f t="shared" si="81"/>
        <v>Aucune</v>
      </c>
      <c r="BI127" s="208" t="str">
        <f t="shared" si="82"/>
        <v>Aucune</v>
      </c>
      <c r="BJ127" s="208" t="str">
        <f t="shared" ref="BJ127:BJ158" si="151">IF(X127&lt;&gt;"",IF(X127-L127&lt;2,"OUI","NON"),"NON")</f>
        <v>NON</v>
      </c>
      <c r="BK127" s="208" t="str">
        <f t="shared" si="83"/>
        <v>NON</v>
      </c>
      <c r="BL127" s="208" t="str">
        <f t="shared" ref="BL127:BL158" si="152">IF(AL127-L127&gt;0,AL127-L127,"Inconnu")</f>
        <v>Inconnu</v>
      </c>
      <c r="BM127" s="208" t="str">
        <f t="shared" si="146"/>
        <v>Inconnu</v>
      </c>
      <c r="BN127" s="208" t="str">
        <f t="shared" si="147"/>
        <v>Inconnu</v>
      </c>
      <c r="BO127" s="208" t="str">
        <f t="shared" ref="BO127:BO158" si="153">IF(AJ127-L127&gt;0,AJ127-L127,"Inconnu")</f>
        <v>Inconnu</v>
      </c>
      <c r="BP127" s="208" t="str">
        <f t="shared" si="148"/>
        <v>Inconnu</v>
      </c>
      <c r="BQ127" s="208" t="str">
        <f t="shared" si="149"/>
        <v>Inconnu</v>
      </c>
      <c r="BR127" s="208" t="str">
        <f t="shared" si="150"/>
        <v>Aucune</v>
      </c>
      <c r="BS127" s="208">
        <f t="shared" si="141"/>
        <v>0</v>
      </c>
      <c r="BT127" s="229" t="e">
        <f>VLOOKUP($I127,Lieu_Activité!$A:$B,2,FALSE)</f>
        <v>#N/A</v>
      </c>
      <c r="BU127" s="208" t="str">
        <f t="shared" si="85"/>
        <v>Aucun</v>
      </c>
      <c r="BV127" s="208" t="str">
        <f t="shared" si="86"/>
        <v>Aucun</v>
      </c>
      <c r="BW127" s="207" t="str">
        <f t="shared" si="140"/>
        <v>NON</v>
      </c>
      <c r="BX127" s="288"/>
    </row>
    <row r="128" spans="1:76" ht="12" customHeight="1" x14ac:dyDescent="0.25">
      <c r="A128" s="226" t="s">
        <v>211</v>
      </c>
      <c r="B128" s="234"/>
      <c r="C128" s="227"/>
      <c r="D128" s="257"/>
      <c r="E128" s="278">
        <f t="shared" si="142"/>
        <v>0</v>
      </c>
      <c r="F128" s="278" t="str">
        <f t="shared" si="87"/>
        <v xml:space="preserve"> </v>
      </c>
      <c r="G128" s="256"/>
      <c r="H128" s="256"/>
      <c r="I128" s="256"/>
      <c r="J128" s="256"/>
      <c r="K128" s="256"/>
      <c r="L128" s="257"/>
      <c r="M128" s="243"/>
      <c r="N128" s="232"/>
      <c r="O128" s="232"/>
      <c r="P128" s="265" t="str">
        <f>IFERROR(VLOOKUP(O128,Références!$K$11:$N$19,2)," ")</f>
        <v xml:space="preserve"> </v>
      </c>
      <c r="Q128" s="265" t="str">
        <f>IFERROR(VLOOKUP(O128,Références!$K$11:$N$19,3)," ")</f>
        <v xml:space="preserve"> </v>
      </c>
      <c r="R128" s="265" t="str">
        <f>IFERROR(VLOOKUP(O128,Références!$K$11:$N$19,4)," ")</f>
        <v xml:space="preserve"> </v>
      </c>
      <c r="S128" s="256"/>
      <c r="T128" s="256"/>
      <c r="U128" s="256"/>
      <c r="V128" s="256"/>
      <c r="W128" s="256"/>
      <c r="X128" s="257"/>
      <c r="Y128" s="256"/>
      <c r="Z128" s="256"/>
      <c r="AA128" s="256"/>
      <c r="AB128" s="235"/>
      <c r="AC128" s="235"/>
      <c r="AD128" s="235"/>
      <c r="AE128" s="235"/>
      <c r="AF128" s="235"/>
      <c r="AG128" s="235"/>
      <c r="AH128" s="235"/>
      <c r="AI128" s="235">
        <f t="shared" si="135"/>
        <v>0</v>
      </c>
      <c r="AJ128" s="257"/>
      <c r="AK128" s="256">
        <f t="shared" si="143"/>
        <v>0</v>
      </c>
      <c r="AL128" s="257"/>
      <c r="AM128" s="266">
        <f t="shared" si="144"/>
        <v>0</v>
      </c>
      <c r="AN128" s="256"/>
      <c r="AO128" s="276"/>
      <c r="AP128" s="261" t="str">
        <f t="shared" si="88"/>
        <v xml:space="preserve"> </v>
      </c>
      <c r="AQ128" s="256"/>
      <c r="AR128" s="295"/>
      <c r="AS128" s="295"/>
      <c r="AT128" s="263"/>
      <c r="AU128" s="277"/>
      <c r="AV128" s="263"/>
      <c r="AW128" s="230"/>
      <c r="AX128" s="300"/>
      <c r="AY128" s="301"/>
      <c r="AZ128" s="230"/>
      <c r="BA128" s="300" t="s">
        <v>234</v>
      </c>
      <c r="BB128" s="295"/>
      <c r="BC128" s="228">
        <f t="shared" si="145"/>
        <v>0</v>
      </c>
      <c r="BD128" s="228">
        <f t="shared" ref="BD128:BD136" si="154">IF(BH128="Aucune",0,1)</f>
        <v>0</v>
      </c>
      <c r="BE128" s="228">
        <f t="shared" si="79"/>
        <v>1</v>
      </c>
      <c r="BF128" s="228" t="str">
        <f t="shared" si="89"/>
        <v>ALIVE</v>
      </c>
      <c r="BG128" s="208" t="str">
        <f t="shared" si="80"/>
        <v>Aucune</v>
      </c>
      <c r="BH128" s="208" t="str">
        <f t="shared" si="81"/>
        <v>Aucune</v>
      </c>
      <c r="BI128" s="208" t="str">
        <f t="shared" si="82"/>
        <v>Aucune</v>
      </c>
      <c r="BJ128" s="208" t="str">
        <f t="shared" si="151"/>
        <v>NON</v>
      </c>
      <c r="BK128" s="208" t="str">
        <f t="shared" si="83"/>
        <v>NON</v>
      </c>
      <c r="BL128" s="208" t="str">
        <f t="shared" si="152"/>
        <v>Inconnu</v>
      </c>
      <c r="BM128" s="208" t="str">
        <f t="shared" si="146"/>
        <v>Inconnu</v>
      </c>
      <c r="BN128" s="208" t="str">
        <f t="shared" si="147"/>
        <v>Inconnu</v>
      </c>
      <c r="BO128" s="208" t="str">
        <f t="shared" si="153"/>
        <v>Inconnu</v>
      </c>
      <c r="BP128" s="208" t="str">
        <f t="shared" si="148"/>
        <v>Inconnu</v>
      </c>
      <c r="BQ128" s="208" t="str">
        <f t="shared" si="149"/>
        <v>Inconnu</v>
      </c>
      <c r="BR128" s="208" t="str">
        <f t="shared" si="150"/>
        <v>Aucune</v>
      </c>
      <c r="BS128" s="208">
        <f t="shared" si="141"/>
        <v>0</v>
      </c>
      <c r="BT128" s="229" t="e">
        <f>VLOOKUP($I128,Lieu_Activité!$A:$B,2,FALSE)</f>
        <v>#N/A</v>
      </c>
      <c r="BU128" s="208" t="str">
        <f t="shared" si="85"/>
        <v>Aucun</v>
      </c>
      <c r="BV128" s="208" t="str">
        <f t="shared" si="86"/>
        <v>Aucun</v>
      </c>
      <c r="BW128" s="207" t="str">
        <f t="shared" si="140"/>
        <v>NON</v>
      </c>
      <c r="BX128" s="288"/>
    </row>
    <row r="129" spans="1:76" ht="12" customHeight="1" x14ac:dyDescent="0.25">
      <c r="A129" s="226" t="s">
        <v>211</v>
      </c>
      <c r="B129" s="234"/>
      <c r="C129" s="227"/>
      <c r="D129" s="257"/>
      <c r="E129" s="278">
        <f t="shared" si="142"/>
        <v>0</v>
      </c>
      <c r="F129" s="278" t="str">
        <f t="shared" si="87"/>
        <v xml:space="preserve"> </v>
      </c>
      <c r="G129" s="256"/>
      <c r="H129" s="256"/>
      <c r="I129" s="256"/>
      <c r="J129" s="256"/>
      <c r="K129" s="256"/>
      <c r="L129" s="257"/>
      <c r="M129" s="243"/>
      <c r="N129" s="232"/>
      <c r="O129" s="232"/>
      <c r="P129" s="265" t="str">
        <f>IFERROR(VLOOKUP(O129,Références!$K$11:$N$19,2)," ")</f>
        <v xml:space="preserve"> </v>
      </c>
      <c r="Q129" s="265" t="str">
        <f>IFERROR(VLOOKUP(O129,Références!$K$11:$N$19,3)," ")</f>
        <v xml:space="preserve"> </v>
      </c>
      <c r="R129" s="265" t="str">
        <f>IFERROR(VLOOKUP(O129,Références!$K$11:$N$19,4)," ")</f>
        <v xml:space="preserve"> </v>
      </c>
      <c r="S129" s="256"/>
      <c r="T129" s="256"/>
      <c r="U129" s="256"/>
      <c r="V129" s="256"/>
      <c r="W129" s="256"/>
      <c r="X129" s="257"/>
      <c r="Y129" s="256"/>
      <c r="Z129" s="256"/>
      <c r="AA129" s="256"/>
      <c r="AB129" s="235"/>
      <c r="AC129" s="235"/>
      <c r="AD129" s="235"/>
      <c r="AE129" s="235"/>
      <c r="AF129" s="235"/>
      <c r="AG129" s="235"/>
      <c r="AH129" s="235"/>
      <c r="AI129" s="235">
        <f t="shared" si="135"/>
        <v>0</v>
      </c>
      <c r="AJ129" s="257"/>
      <c r="AK129" s="256">
        <f t="shared" si="143"/>
        <v>0</v>
      </c>
      <c r="AL129" s="257"/>
      <c r="AM129" s="266">
        <f t="shared" si="144"/>
        <v>0</v>
      </c>
      <c r="AN129" s="256"/>
      <c r="AO129" s="276"/>
      <c r="AP129" s="261" t="str">
        <f t="shared" si="88"/>
        <v xml:space="preserve"> </v>
      </c>
      <c r="AQ129" s="256"/>
      <c r="AR129" s="295"/>
      <c r="AS129" s="295"/>
      <c r="AT129" s="263"/>
      <c r="AU129" s="277"/>
      <c r="AV129" s="263"/>
      <c r="AW129" s="230"/>
      <c r="AX129" s="300"/>
      <c r="AY129" s="301"/>
      <c r="AZ129" s="230"/>
      <c r="BA129" s="300" t="s">
        <v>234</v>
      </c>
      <c r="BB129" s="295"/>
      <c r="BC129" s="228">
        <f t="shared" si="145"/>
        <v>0</v>
      </c>
      <c r="BD129" s="228">
        <f t="shared" si="154"/>
        <v>0</v>
      </c>
      <c r="BE129" s="228">
        <f t="shared" si="79"/>
        <v>1</v>
      </c>
      <c r="BF129" s="228" t="str">
        <f t="shared" si="89"/>
        <v>ALIVE</v>
      </c>
      <c r="BG129" s="208" t="str">
        <f t="shared" si="80"/>
        <v>Aucune</v>
      </c>
      <c r="BH129" s="208" t="str">
        <f t="shared" si="81"/>
        <v>Aucune</v>
      </c>
      <c r="BI129" s="208" t="str">
        <f t="shared" si="82"/>
        <v>Aucune</v>
      </c>
      <c r="BJ129" s="208" t="str">
        <f t="shared" si="151"/>
        <v>NON</v>
      </c>
      <c r="BK129" s="208" t="str">
        <f t="shared" si="83"/>
        <v>NON</v>
      </c>
      <c r="BL129" s="208" t="str">
        <f t="shared" si="152"/>
        <v>Inconnu</v>
      </c>
      <c r="BM129" s="208" t="str">
        <f t="shared" si="146"/>
        <v>Inconnu</v>
      </c>
      <c r="BN129" s="208" t="str">
        <f t="shared" si="147"/>
        <v>Inconnu</v>
      </c>
      <c r="BO129" s="208" t="str">
        <f t="shared" si="153"/>
        <v>Inconnu</v>
      </c>
      <c r="BP129" s="208" t="str">
        <f t="shared" si="148"/>
        <v>Inconnu</v>
      </c>
      <c r="BQ129" s="208" t="str">
        <f t="shared" si="149"/>
        <v>Inconnu</v>
      </c>
      <c r="BR129" s="208" t="str">
        <f t="shared" si="150"/>
        <v>Aucune</v>
      </c>
      <c r="BS129" s="208">
        <f t="shared" si="141"/>
        <v>0</v>
      </c>
      <c r="BT129" s="229" t="e">
        <f>VLOOKUP($I129,Lieu_Activité!$A:$B,2,FALSE)</f>
        <v>#N/A</v>
      </c>
      <c r="BU129" s="208" t="str">
        <f t="shared" si="85"/>
        <v>Aucun</v>
      </c>
      <c r="BV129" s="208" t="str">
        <f t="shared" si="86"/>
        <v>Aucun</v>
      </c>
      <c r="BW129" s="207" t="str">
        <f t="shared" si="140"/>
        <v>NON</v>
      </c>
      <c r="BX129" s="288"/>
    </row>
    <row r="130" spans="1:76" ht="12" customHeight="1" x14ac:dyDescent="0.25">
      <c r="A130" s="226" t="s">
        <v>211</v>
      </c>
      <c r="B130" s="234"/>
      <c r="C130" s="227"/>
      <c r="D130" s="257"/>
      <c r="E130" s="278">
        <f t="shared" si="142"/>
        <v>0</v>
      </c>
      <c r="F130" s="278" t="str">
        <f t="shared" si="87"/>
        <v xml:space="preserve"> </v>
      </c>
      <c r="G130" s="256"/>
      <c r="H130" s="256"/>
      <c r="I130" s="256"/>
      <c r="J130" s="256"/>
      <c r="K130" s="256"/>
      <c r="L130" s="257"/>
      <c r="M130" s="243"/>
      <c r="N130" s="232"/>
      <c r="O130" s="232"/>
      <c r="P130" s="265" t="str">
        <f>IFERROR(VLOOKUP(O130,Références!$K$11:$N$19,2)," ")</f>
        <v xml:space="preserve"> </v>
      </c>
      <c r="Q130" s="265" t="str">
        <f>IFERROR(VLOOKUP(O130,Références!$K$11:$N$19,3)," ")</f>
        <v xml:space="preserve"> </v>
      </c>
      <c r="R130" s="265" t="str">
        <f>IFERROR(VLOOKUP(O130,Références!$K$11:$N$19,4)," ")</f>
        <v xml:space="preserve"> </v>
      </c>
      <c r="S130" s="256"/>
      <c r="T130" s="256"/>
      <c r="U130" s="256"/>
      <c r="V130" s="256"/>
      <c r="W130" s="256"/>
      <c r="X130" s="257"/>
      <c r="Y130" s="256"/>
      <c r="Z130" s="256"/>
      <c r="AA130" s="256"/>
      <c r="AB130" s="235"/>
      <c r="AC130" s="235"/>
      <c r="AD130" s="235"/>
      <c r="AE130" s="235"/>
      <c r="AF130" s="235"/>
      <c r="AG130" s="235"/>
      <c r="AH130" s="235"/>
      <c r="AI130" s="235">
        <f t="shared" si="135"/>
        <v>0</v>
      </c>
      <c r="AJ130" s="257"/>
      <c r="AK130" s="256">
        <f t="shared" si="143"/>
        <v>0</v>
      </c>
      <c r="AL130" s="257"/>
      <c r="AM130" s="266">
        <f t="shared" si="144"/>
        <v>0</v>
      </c>
      <c r="AN130" s="256"/>
      <c r="AO130" s="276"/>
      <c r="AP130" s="261" t="str">
        <f t="shared" si="88"/>
        <v xml:space="preserve"> </v>
      </c>
      <c r="AQ130" s="256"/>
      <c r="AR130" s="295"/>
      <c r="AS130" s="295"/>
      <c r="AT130" s="263"/>
      <c r="AU130" s="277"/>
      <c r="AV130" s="263"/>
      <c r="AW130" s="230"/>
      <c r="AX130" s="300"/>
      <c r="AY130" s="301"/>
      <c r="AZ130" s="230"/>
      <c r="BA130" s="300" t="s">
        <v>234</v>
      </c>
      <c r="BB130" s="295"/>
      <c r="BC130" s="228">
        <f t="shared" si="145"/>
        <v>0</v>
      </c>
      <c r="BD130" s="228">
        <f t="shared" si="154"/>
        <v>0</v>
      </c>
      <c r="BE130" s="228">
        <f t="shared" ref="BE130:BE193" si="155">IF(AG130="Aucune",0,1)</f>
        <v>1</v>
      </c>
      <c r="BF130" s="228" t="str">
        <f t="shared" si="89"/>
        <v>ALIVE</v>
      </c>
      <c r="BG130" s="208" t="str">
        <f t="shared" ref="BG130:BG193" si="156">IF(AD130="","Aucune","Infection")</f>
        <v>Aucune</v>
      </c>
      <c r="BH130" s="208" t="str">
        <f t="shared" ref="BH130:BH193" si="157">IF(AI130&gt;0,"Transfusion","Aucune")</f>
        <v>Aucune</v>
      </c>
      <c r="BI130" s="208" t="str">
        <f t="shared" ref="BI130:BI193" si="158">IF(AG130="","Aucune","Transfusé")</f>
        <v>Aucune</v>
      </c>
      <c r="BJ130" s="208" t="str">
        <f t="shared" si="151"/>
        <v>NON</v>
      </c>
      <c r="BK130" s="208" t="str">
        <f t="shared" ref="BK130:BK193" si="159">IF(AS130="","NON","OUI")</f>
        <v>NON</v>
      </c>
      <c r="BL130" s="208" t="str">
        <f t="shared" si="152"/>
        <v>Inconnu</v>
      </c>
      <c r="BM130" s="208" t="str">
        <f t="shared" si="146"/>
        <v>Inconnu</v>
      </c>
      <c r="BN130" s="208" t="str">
        <f t="shared" si="147"/>
        <v>Inconnu</v>
      </c>
      <c r="BO130" s="208" t="str">
        <f t="shared" si="153"/>
        <v>Inconnu</v>
      </c>
      <c r="BP130" s="208" t="str">
        <f t="shared" si="148"/>
        <v>Inconnu</v>
      </c>
      <c r="BQ130" s="208" t="str">
        <f t="shared" si="149"/>
        <v>Inconnu</v>
      </c>
      <c r="BR130" s="208" t="str">
        <f t="shared" si="150"/>
        <v>Aucune</v>
      </c>
      <c r="BS130" s="208">
        <f t="shared" si="141"/>
        <v>0</v>
      </c>
      <c r="BT130" s="229" t="e">
        <f>VLOOKUP($I130,Lieu_Activité!$A:$B,2,FALSE)</f>
        <v>#N/A</v>
      </c>
      <c r="BU130" s="208" t="str">
        <f t="shared" ref="BU130:BU193" si="160">IF(AB130="","Aucun","AVC")</f>
        <v>Aucun</v>
      </c>
      <c r="BV130" s="208" t="str">
        <f t="shared" ref="BV130:BV193" si="161">IF(AC130="","Aucun","IM")</f>
        <v>Aucun</v>
      </c>
      <c r="BW130" s="207" t="str">
        <f t="shared" si="140"/>
        <v>NON</v>
      </c>
      <c r="BX130" s="288"/>
    </row>
    <row r="131" spans="1:76" ht="12" customHeight="1" x14ac:dyDescent="0.25">
      <c r="A131" s="226" t="s">
        <v>211</v>
      </c>
      <c r="B131" s="234"/>
      <c r="C131" s="227"/>
      <c r="D131" s="257"/>
      <c r="E131" s="278">
        <f t="shared" si="142"/>
        <v>0</v>
      </c>
      <c r="F131" s="278" t="str">
        <f t="shared" ref="F131:F194" si="162">IF(E131&lt;80," ","1")</f>
        <v xml:space="preserve"> </v>
      </c>
      <c r="G131" s="256"/>
      <c r="H131" s="256"/>
      <c r="I131" s="256"/>
      <c r="J131" s="256"/>
      <c r="K131" s="256"/>
      <c r="L131" s="257"/>
      <c r="M131" s="243"/>
      <c r="N131" s="232"/>
      <c r="O131" s="232"/>
      <c r="P131" s="265" t="str">
        <f>IFERROR(VLOOKUP(O131,Références!$K$11:$N$19,2)," ")</f>
        <v xml:space="preserve"> </v>
      </c>
      <c r="Q131" s="265" t="str">
        <f>IFERROR(VLOOKUP(O131,Références!$K$11:$N$19,3)," ")</f>
        <v xml:space="preserve"> </v>
      </c>
      <c r="R131" s="265" t="str">
        <f>IFERROR(VLOOKUP(O131,Références!$K$11:$N$19,4)," ")</f>
        <v xml:space="preserve"> </v>
      </c>
      <c r="S131" s="256"/>
      <c r="T131" s="256"/>
      <c r="U131" s="256"/>
      <c r="V131" s="256"/>
      <c r="W131" s="256"/>
      <c r="X131" s="257"/>
      <c r="Y131" s="256"/>
      <c r="Z131" s="256"/>
      <c r="AA131" s="256"/>
      <c r="AB131" s="235"/>
      <c r="AC131" s="235"/>
      <c r="AD131" s="235"/>
      <c r="AE131" s="235"/>
      <c r="AF131" s="235"/>
      <c r="AG131" s="235"/>
      <c r="AH131" s="235"/>
      <c r="AI131" s="235">
        <f t="shared" si="135"/>
        <v>0</v>
      </c>
      <c r="AJ131" s="257"/>
      <c r="AK131" s="256">
        <f t="shared" si="143"/>
        <v>0</v>
      </c>
      <c r="AL131" s="257"/>
      <c r="AM131" s="266">
        <f t="shared" si="144"/>
        <v>0</v>
      </c>
      <c r="AN131" s="256"/>
      <c r="AO131" s="276"/>
      <c r="AP131" s="261" t="str">
        <f t="shared" ref="AP131:AP194" si="163">IF(AO131=1,"ELECTIVE",IF(AO131=2,"URGENCY",IF(AO131=3,"EMERGENCY",IF(AO131=4,"SALVAGE"," "))))</f>
        <v xml:space="preserve"> </v>
      </c>
      <c r="AQ131" s="256"/>
      <c r="AR131" s="295"/>
      <c r="AS131" s="295"/>
      <c r="AT131" s="263"/>
      <c r="AU131" s="277"/>
      <c r="AV131" s="263"/>
      <c r="AW131" s="230"/>
      <c r="AX131" s="300"/>
      <c r="AY131" s="301"/>
      <c r="AZ131" s="230"/>
      <c r="BA131" s="300" t="s">
        <v>234</v>
      </c>
      <c r="BB131" s="295"/>
      <c r="BC131" s="228">
        <f t="shared" si="145"/>
        <v>0</v>
      </c>
      <c r="BD131" s="228">
        <f t="shared" si="154"/>
        <v>0</v>
      </c>
      <c r="BE131" s="228">
        <f t="shared" si="155"/>
        <v>1</v>
      </c>
      <c r="BF131" s="228" t="str">
        <f t="shared" ref="BF131:BF194" si="164">IF(AO131=1,"ELECTIVE",IF(AO131=2,"URGENCY",IF(AO131=3,"EMERGENCY",IF(AO131=4,"SALVAGE","ALIVE"))))</f>
        <v>ALIVE</v>
      </c>
      <c r="BG131" s="208" t="str">
        <f t="shared" si="156"/>
        <v>Aucune</v>
      </c>
      <c r="BH131" s="208" t="str">
        <f t="shared" si="157"/>
        <v>Aucune</v>
      </c>
      <c r="BI131" s="208" t="str">
        <f t="shared" si="158"/>
        <v>Aucune</v>
      </c>
      <c r="BJ131" s="208" t="str">
        <f t="shared" si="151"/>
        <v>NON</v>
      </c>
      <c r="BK131" s="208" t="str">
        <f t="shared" si="159"/>
        <v>NON</v>
      </c>
      <c r="BL131" s="208" t="str">
        <f t="shared" si="152"/>
        <v>Inconnu</v>
      </c>
      <c r="BM131" s="208" t="str">
        <f t="shared" si="146"/>
        <v>Inconnu</v>
      </c>
      <c r="BN131" s="208" t="str">
        <f t="shared" si="147"/>
        <v>Inconnu</v>
      </c>
      <c r="BO131" s="208" t="str">
        <f t="shared" si="153"/>
        <v>Inconnu</v>
      </c>
      <c r="BP131" s="208" t="str">
        <f t="shared" si="148"/>
        <v>Inconnu</v>
      </c>
      <c r="BQ131" s="208" t="str">
        <f t="shared" si="149"/>
        <v>Inconnu</v>
      </c>
      <c r="BR131" s="208" t="str">
        <f t="shared" si="150"/>
        <v>Aucune</v>
      </c>
      <c r="BS131" s="208">
        <f t="shared" si="141"/>
        <v>0</v>
      </c>
      <c r="BT131" s="229" t="e">
        <f>VLOOKUP($I131,Lieu_Activité!$A:$B,2,FALSE)</f>
        <v>#N/A</v>
      </c>
      <c r="BU131" s="208" t="str">
        <f t="shared" si="160"/>
        <v>Aucun</v>
      </c>
      <c r="BV131" s="208" t="str">
        <f t="shared" si="161"/>
        <v>Aucun</v>
      </c>
      <c r="BW131" s="207" t="str">
        <f t="shared" si="140"/>
        <v>NON</v>
      </c>
      <c r="BX131" s="288"/>
    </row>
    <row r="132" spans="1:76" ht="12" customHeight="1" x14ac:dyDescent="0.25">
      <c r="A132" s="226" t="s">
        <v>211</v>
      </c>
      <c r="B132" s="268"/>
      <c r="C132" s="227"/>
      <c r="D132" s="257"/>
      <c r="E132" s="278">
        <f>(L132-D132)/365</f>
        <v>0</v>
      </c>
      <c r="F132" s="278" t="str">
        <f t="shared" si="162"/>
        <v xml:space="preserve"> </v>
      </c>
      <c r="G132" s="256"/>
      <c r="H132" s="256"/>
      <c r="I132" s="256"/>
      <c r="J132" s="256"/>
      <c r="K132" s="256"/>
      <c r="L132" s="257"/>
      <c r="M132" s="243"/>
      <c r="N132" s="232"/>
      <c r="O132" s="232"/>
      <c r="P132" s="265" t="str">
        <f>IFERROR(VLOOKUP(O132,Références!$K$11:$N$19,2)," ")</f>
        <v xml:space="preserve"> </v>
      </c>
      <c r="Q132" s="265" t="str">
        <f>IFERROR(VLOOKUP(O132,Références!$K$11:$N$19,3)," ")</f>
        <v xml:space="preserve"> </v>
      </c>
      <c r="R132" s="265" t="str">
        <f>IFERROR(VLOOKUP(O132,Références!$K$11:$N$19,4)," ")</f>
        <v xml:space="preserve"> </v>
      </c>
      <c r="S132" s="256"/>
      <c r="T132" s="256"/>
      <c r="U132" s="256"/>
      <c r="V132" s="256"/>
      <c r="W132" s="256"/>
      <c r="X132" s="257"/>
      <c r="Y132" s="256"/>
      <c r="Z132" s="256"/>
      <c r="AA132" s="256"/>
      <c r="AB132" s="235"/>
      <c r="AC132" s="235"/>
      <c r="AD132" s="235"/>
      <c r="AE132" s="235"/>
      <c r="AF132" s="235"/>
      <c r="AG132" s="235"/>
      <c r="AH132" s="235"/>
      <c r="AI132" s="235">
        <f t="shared" si="135"/>
        <v>0</v>
      </c>
      <c r="AJ132" s="257"/>
      <c r="AK132" s="256">
        <f>(AJ132-L132)</f>
        <v>0</v>
      </c>
      <c r="AL132" s="257"/>
      <c r="AM132" s="266">
        <f>(AL132-L132)</f>
        <v>0</v>
      </c>
      <c r="AN132" s="256"/>
      <c r="AO132" s="276"/>
      <c r="AP132" s="261" t="str">
        <f t="shared" si="163"/>
        <v xml:space="preserve"> </v>
      </c>
      <c r="AQ132" s="256"/>
      <c r="AR132" s="295"/>
      <c r="AS132" s="295"/>
      <c r="AT132" s="263"/>
      <c r="AU132" s="277"/>
      <c r="AV132" s="263"/>
      <c r="AW132" s="230"/>
      <c r="AX132" s="300"/>
      <c r="AY132" s="301"/>
      <c r="AZ132" s="300"/>
      <c r="BA132" s="302" t="s">
        <v>246</v>
      </c>
      <c r="BB132" s="295"/>
      <c r="BC132" s="228">
        <f>IF(BG132="Aucune",0,1)</f>
        <v>0</v>
      </c>
      <c r="BD132" s="228">
        <f>IF(BH132="Aucune",0,1)</f>
        <v>0</v>
      </c>
      <c r="BE132" s="228">
        <f t="shared" si="155"/>
        <v>1</v>
      </c>
      <c r="BF132" s="228" t="str">
        <f t="shared" si="164"/>
        <v>ALIVE</v>
      </c>
      <c r="BG132" s="208" t="str">
        <f t="shared" si="156"/>
        <v>Aucune</v>
      </c>
      <c r="BH132" s="208" t="str">
        <f t="shared" si="157"/>
        <v>Aucune</v>
      </c>
      <c r="BI132" s="208" t="str">
        <f t="shared" si="158"/>
        <v>Aucune</v>
      </c>
      <c r="BJ132" s="208" t="str">
        <f t="shared" si="151"/>
        <v>NON</v>
      </c>
      <c r="BK132" s="208" t="str">
        <f t="shared" si="159"/>
        <v>NON</v>
      </c>
      <c r="BL132" s="208" t="str">
        <f t="shared" si="152"/>
        <v>Inconnu</v>
      </c>
      <c r="BM132" s="208" t="str">
        <f>IF($O132&lt;&gt;"HTX",IF($O132&lt;&gt;"LVAD",BL132,"Inconnu"),"Inconnu")</f>
        <v>Inconnu</v>
      </c>
      <c r="BN132" s="208" t="str">
        <f>IF($O132="HTX",BL132,IF($O132="LVAD",BL132,"Inconnu"))</f>
        <v>Inconnu</v>
      </c>
      <c r="BO132" s="208" t="str">
        <f t="shared" si="153"/>
        <v>Inconnu</v>
      </c>
      <c r="BP132" s="208" t="str">
        <f>IF($O132&lt;&gt;"HTX",IF($O132&lt;&gt;"LVAD",BO132,"Inconnu"),"Inconnu")</f>
        <v>Inconnu</v>
      </c>
      <c r="BQ132" s="208" t="str">
        <f>IF($O132="HTX",BO132,IF($O132="LVAD",BO132,"Inconnu"))</f>
        <v>Inconnu</v>
      </c>
      <c r="BR132" s="208" t="str">
        <f>IF(BH132="Aucune",IF(BI132="Aucune","Aucune","Transfusé"),"Transfusé")</f>
        <v>Aucune</v>
      </c>
      <c r="BS132" s="208">
        <f t="shared" si="141"/>
        <v>0</v>
      </c>
      <c r="BT132" s="229" t="e">
        <f>VLOOKUP($I132,Lieu_Activité!$A:$B,2,FALSE)</f>
        <v>#N/A</v>
      </c>
      <c r="BU132" s="208" t="str">
        <f t="shared" si="160"/>
        <v>Aucun</v>
      </c>
      <c r="BV132" s="208" t="str">
        <f t="shared" si="161"/>
        <v>Aucun</v>
      </c>
      <c r="BW132" s="207" t="str">
        <f t="shared" si="140"/>
        <v>NON</v>
      </c>
      <c r="BX132" s="288"/>
    </row>
    <row r="133" spans="1:76" ht="12.75" customHeight="1" x14ac:dyDescent="0.25">
      <c r="A133" s="226" t="s">
        <v>211</v>
      </c>
      <c r="B133" s="234"/>
      <c r="C133" s="227"/>
      <c r="D133" s="257"/>
      <c r="E133" s="278">
        <f>(L133-D133)/365</f>
        <v>0</v>
      </c>
      <c r="F133" s="278" t="str">
        <f t="shared" si="162"/>
        <v xml:space="preserve"> </v>
      </c>
      <c r="G133" s="256"/>
      <c r="H133" s="256"/>
      <c r="I133" s="256"/>
      <c r="J133" s="256"/>
      <c r="K133" s="256"/>
      <c r="L133" s="257"/>
      <c r="M133" s="243"/>
      <c r="N133" s="232"/>
      <c r="O133" s="265"/>
      <c r="P133" s="265" t="str">
        <f>IFERROR(VLOOKUP(O133,Références!$K$11:$N$19,2)," ")</f>
        <v xml:space="preserve"> </v>
      </c>
      <c r="Q133" s="265" t="str">
        <f>IFERROR(VLOOKUP(O133,Références!$K$11:$N$19,3)," ")</f>
        <v xml:space="preserve"> </v>
      </c>
      <c r="R133" s="265" t="str">
        <f>IFERROR(VLOOKUP(O133,Références!$K$11:$N$19,4)," ")</f>
        <v xml:space="preserve"> </v>
      </c>
      <c r="S133" s="256"/>
      <c r="T133" s="256"/>
      <c r="U133" s="256"/>
      <c r="V133" s="256"/>
      <c r="W133" s="256"/>
      <c r="X133" s="257"/>
      <c r="Y133" s="256"/>
      <c r="Z133" s="256"/>
      <c r="AA133" s="256"/>
      <c r="AB133" s="235"/>
      <c r="AC133" s="235"/>
      <c r="AD133" s="235"/>
      <c r="AE133" s="235"/>
      <c r="AF133" s="235"/>
      <c r="AG133" s="235"/>
      <c r="AH133" s="235"/>
      <c r="AI133" s="235">
        <f t="shared" si="135"/>
        <v>0</v>
      </c>
      <c r="AJ133" s="257"/>
      <c r="AK133" s="256">
        <f t="shared" si="143"/>
        <v>0</v>
      </c>
      <c r="AL133" s="257"/>
      <c r="AM133" s="266">
        <f t="shared" si="144"/>
        <v>0</v>
      </c>
      <c r="AN133" s="256"/>
      <c r="AO133" s="276"/>
      <c r="AP133" s="261" t="str">
        <f t="shared" si="163"/>
        <v xml:space="preserve"> </v>
      </c>
      <c r="AQ133" s="256"/>
      <c r="AR133" s="295"/>
      <c r="AS133" s="295"/>
      <c r="AT133" s="263"/>
      <c r="AU133" s="277"/>
      <c r="AV133" s="263"/>
      <c r="AW133" s="230"/>
      <c r="AX133" s="300"/>
      <c r="AY133" s="301"/>
      <c r="AZ133" s="230"/>
      <c r="BA133" s="300" t="s">
        <v>234</v>
      </c>
      <c r="BB133" s="295"/>
      <c r="BC133" s="228">
        <f t="shared" si="145"/>
        <v>0</v>
      </c>
      <c r="BD133" s="228">
        <f t="shared" si="154"/>
        <v>0</v>
      </c>
      <c r="BE133" s="228">
        <f t="shared" si="155"/>
        <v>1</v>
      </c>
      <c r="BF133" s="228" t="str">
        <f t="shared" si="164"/>
        <v>ALIVE</v>
      </c>
      <c r="BG133" s="208" t="str">
        <f t="shared" si="156"/>
        <v>Aucune</v>
      </c>
      <c r="BH133" s="208" t="str">
        <f t="shared" si="157"/>
        <v>Aucune</v>
      </c>
      <c r="BI133" s="208" t="str">
        <f t="shared" si="158"/>
        <v>Aucune</v>
      </c>
      <c r="BJ133" s="208" t="str">
        <f t="shared" si="151"/>
        <v>NON</v>
      </c>
      <c r="BK133" s="208" t="str">
        <f t="shared" si="159"/>
        <v>NON</v>
      </c>
      <c r="BL133" s="208" t="str">
        <f t="shared" si="152"/>
        <v>Inconnu</v>
      </c>
      <c r="BM133" s="208" t="str">
        <f t="shared" si="146"/>
        <v>Inconnu</v>
      </c>
      <c r="BN133" s="208" t="str">
        <f t="shared" si="147"/>
        <v>Inconnu</v>
      </c>
      <c r="BO133" s="208" t="str">
        <f t="shared" si="153"/>
        <v>Inconnu</v>
      </c>
      <c r="BP133" s="208" t="str">
        <f t="shared" si="148"/>
        <v>Inconnu</v>
      </c>
      <c r="BQ133" s="208" t="str">
        <f t="shared" si="149"/>
        <v>Inconnu</v>
      </c>
      <c r="BR133" s="208" t="str">
        <f t="shared" si="150"/>
        <v>Aucune</v>
      </c>
      <c r="BS133" s="208">
        <f t="shared" si="141"/>
        <v>0</v>
      </c>
      <c r="BT133" s="229" t="e">
        <f>VLOOKUP($I133,Lieu_Activité!$A:$B,2,FALSE)</f>
        <v>#N/A</v>
      </c>
      <c r="BU133" s="208" t="str">
        <f t="shared" si="160"/>
        <v>Aucun</v>
      </c>
      <c r="BV133" s="208" t="str">
        <f t="shared" si="161"/>
        <v>Aucun</v>
      </c>
      <c r="BW133" s="207" t="str">
        <f t="shared" si="140"/>
        <v>NON</v>
      </c>
      <c r="BX133" s="288"/>
    </row>
    <row r="134" spans="1:76" ht="12" customHeight="1" x14ac:dyDescent="0.25">
      <c r="A134" s="226" t="s">
        <v>211</v>
      </c>
      <c r="B134" s="234"/>
      <c r="C134" s="227"/>
      <c r="D134" s="257"/>
      <c r="E134" s="278">
        <f t="shared" si="142"/>
        <v>0</v>
      </c>
      <c r="F134" s="278" t="str">
        <f t="shared" si="162"/>
        <v xml:space="preserve"> </v>
      </c>
      <c r="G134" s="256"/>
      <c r="H134" s="256"/>
      <c r="I134" s="256"/>
      <c r="J134" s="256"/>
      <c r="K134" s="256"/>
      <c r="L134" s="257"/>
      <c r="M134" s="243"/>
      <c r="N134" s="232"/>
      <c r="O134" s="232"/>
      <c r="P134" s="265" t="str">
        <f>IFERROR(VLOOKUP(O134,Références!$K$11:$N$19,2)," ")</f>
        <v xml:space="preserve"> </v>
      </c>
      <c r="Q134" s="265" t="str">
        <f>IFERROR(VLOOKUP(O134,Références!$K$11:$N$19,3)," ")</f>
        <v xml:space="preserve"> </v>
      </c>
      <c r="R134" s="265" t="str">
        <f>IFERROR(VLOOKUP(O134,Références!$K$11:$N$19,4)," ")</f>
        <v xml:space="preserve"> </v>
      </c>
      <c r="S134" s="256"/>
      <c r="T134" s="256"/>
      <c r="U134" s="256"/>
      <c r="V134" s="256"/>
      <c r="W134" s="256"/>
      <c r="X134" s="257"/>
      <c r="Y134" s="256"/>
      <c r="Z134" s="256"/>
      <c r="AA134" s="256"/>
      <c r="AB134" s="235"/>
      <c r="AC134" s="235"/>
      <c r="AD134" s="235"/>
      <c r="AE134" s="235"/>
      <c r="AF134" s="235"/>
      <c r="AG134" s="235"/>
      <c r="AH134" s="235"/>
      <c r="AI134" s="235">
        <f t="shared" ref="AI134:AI148" si="165">SUM(AF134,AH134)</f>
        <v>0</v>
      </c>
      <c r="AJ134" s="257"/>
      <c r="AK134" s="256">
        <f t="shared" si="143"/>
        <v>0</v>
      </c>
      <c r="AL134" s="257"/>
      <c r="AM134" s="266">
        <f t="shared" si="144"/>
        <v>0</v>
      </c>
      <c r="AN134" s="256"/>
      <c r="AO134" s="276"/>
      <c r="AP134" s="261" t="str">
        <f t="shared" si="163"/>
        <v xml:space="preserve"> </v>
      </c>
      <c r="AQ134" s="256"/>
      <c r="AR134" s="295"/>
      <c r="AS134" s="295"/>
      <c r="AT134" s="263"/>
      <c r="AU134" s="277"/>
      <c r="AV134" s="263"/>
      <c r="AW134" s="230"/>
      <c r="AX134" s="300"/>
      <c r="AY134" s="301"/>
      <c r="AZ134" s="230"/>
      <c r="BA134" s="300" t="s">
        <v>234</v>
      </c>
      <c r="BB134" s="295"/>
      <c r="BC134" s="228">
        <f t="shared" si="145"/>
        <v>0</v>
      </c>
      <c r="BD134" s="228">
        <f t="shared" si="154"/>
        <v>0</v>
      </c>
      <c r="BE134" s="228">
        <f t="shared" si="155"/>
        <v>1</v>
      </c>
      <c r="BF134" s="228" t="str">
        <f t="shared" si="164"/>
        <v>ALIVE</v>
      </c>
      <c r="BG134" s="208" t="str">
        <f t="shared" si="156"/>
        <v>Aucune</v>
      </c>
      <c r="BH134" s="208" t="str">
        <f t="shared" si="157"/>
        <v>Aucune</v>
      </c>
      <c r="BI134" s="208" t="str">
        <f t="shared" si="158"/>
        <v>Aucune</v>
      </c>
      <c r="BJ134" s="208" t="str">
        <f t="shared" si="151"/>
        <v>NON</v>
      </c>
      <c r="BK134" s="208" t="str">
        <f t="shared" si="159"/>
        <v>NON</v>
      </c>
      <c r="BL134" s="208" t="str">
        <f t="shared" si="152"/>
        <v>Inconnu</v>
      </c>
      <c r="BM134" s="208" t="str">
        <f t="shared" si="146"/>
        <v>Inconnu</v>
      </c>
      <c r="BN134" s="208" t="str">
        <f t="shared" si="147"/>
        <v>Inconnu</v>
      </c>
      <c r="BO134" s="208" t="str">
        <f t="shared" si="153"/>
        <v>Inconnu</v>
      </c>
      <c r="BP134" s="208" t="str">
        <f t="shared" si="148"/>
        <v>Inconnu</v>
      </c>
      <c r="BQ134" s="208" t="str">
        <f t="shared" si="149"/>
        <v>Inconnu</v>
      </c>
      <c r="BR134" s="208" t="str">
        <f t="shared" si="150"/>
        <v>Aucune</v>
      </c>
      <c r="BS134" s="208">
        <f t="shared" si="141"/>
        <v>0</v>
      </c>
      <c r="BT134" s="229" t="e">
        <f>VLOOKUP($I134,Lieu_Activité!$A:$B,2,FALSE)</f>
        <v>#N/A</v>
      </c>
      <c r="BU134" s="208" t="str">
        <f t="shared" si="160"/>
        <v>Aucun</v>
      </c>
      <c r="BV134" s="208" t="str">
        <f t="shared" si="161"/>
        <v>Aucun</v>
      </c>
      <c r="BW134" s="207" t="str">
        <f t="shared" si="140"/>
        <v>NON</v>
      </c>
      <c r="BX134" s="288"/>
    </row>
    <row r="135" spans="1:76" ht="12" customHeight="1" x14ac:dyDescent="0.25">
      <c r="A135" s="226" t="s">
        <v>211</v>
      </c>
      <c r="B135" s="234"/>
      <c r="C135" s="227"/>
      <c r="D135" s="257"/>
      <c r="E135" s="278">
        <f t="shared" si="142"/>
        <v>0</v>
      </c>
      <c r="F135" s="278" t="str">
        <f t="shared" si="162"/>
        <v xml:space="preserve"> </v>
      </c>
      <c r="G135" s="256"/>
      <c r="H135" s="256"/>
      <c r="I135" s="256"/>
      <c r="J135" s="256"/>
      <c r="K135" s="256"/>
      <c r="L135" s="257"/>
      <c r="M135" s="243"/>
      <c r="N135" s="232"/>
      <c r="O135" s="232"/>
      <c r="P135" s="265" t="str">
        <f>IFERROR(VLOOKUP(O135,Références!$K$11:$N$19,2)," ")</f>
        <v xml:space="preserve"> </v>
      </c>
      <c r="Q135" s="265" t="str">
        <f>IFERROR(VLOOKUP(O135,Références!$K$11:$N$19,3)," ")</f>
        <v xml:space="preserve"> </v>
      </c>
      <c r="R135" s="265" t="str">
        <f>IFERROR(VLOOKUP(O135,Références!$K$11:$N$19,4)," ")</f>
        <v xml:space="preserve"> </v>
      </c>
      <c r="S135" s="256"/>
      <c r="T135" s="256"/>
      <c r="U135" s="256"/>
      <c r="V135" s="256"/>
      <c r="W135" s="256"/>
      <c r="X135" s="257"/>
      <c r="Y135" s="256"/>
      <c r="Z135" s="256"/>
      <c r="AA135" s="256"/>
      <c r="AB135" s="235"/>
      <c r="AC135" s="235"/>
      <c r="AD135" s="235"/>
      <c r="AE135" s="235"/>
      <c r="AF135" s="235"/>
      <c r="AG135" s="235"/>
      <c r="AH135" s="235"/>
      <c r="AI135" s="235">
        <f t="shared" si="165"/>
        <v>0</v>
      </c>
      <c r="AJ135" s="257"/>
      <c r="AK135" s="256">
        <f t="shared" si="143"/>
        <v>0</v>
      </c>
      <c r="AL135" s="257"/>
      <c r="AM135" s="266">
        <f t="shared" si="144"/>
        <v>0</v>
      </c>
      <c r="AN135" s="256"/>
      <c r="AO135" s="276"/>
      <c r="AP135" s="261" t="str">
        <f t="shared" si="163"/>
        <v xml:space="preserve"> </v>
      </c>
      <c r="AQ135" s="256"/>
      <c r="AR135" s="295"/>
      <c r="AS135" s="295"/>
      <c r="AT135" s="263"/>
      <c r="AU135" s="277"/>
      <c r="AV135" s="263"/>
      <c r="AW135" s="230"/>
      <c r="AX135" s="300"/>
      <c r="AY135" s="301"/>
      <c r="AZ135" s="230"/>
      <c r="BA135" s="300" t="s">
        <v>234</v>
      </c>
      <c r="BB135" s="295"/>
      <c r="BC135" s="228">
        <f t="shared" si="145"/>
        <v>0</v>
      </c>
      <c r="BD135" s="228">
        <f t="shared" si="154"/>
        <v>0</v>
      </c>
      <c r="BE135" s="228">
        <f t="shared" si="155"/>
        <v>1</v>
      </c>
      <c r="BF135" s="228" t="str">
        <f t="shared" si="164"/>
        <v>ALIVE</v>
      </c>
      <c r="BG135" s="208" t="str">
        <f t="shared" si="156"/>
        <v>Aucune</v>
      </c>
      <c r="BH135" s="208" t="str">
        <f t="shared" si="157"/>
        <v>Aucune</v>
      </c>
      <c r="BI135" s="208" t="str">
        <f t="shared" si="158"/>
        <v>Aucune</v>
      </c>
      <c r="BJ135" s="208" t="str">
        <f t="shared" si="151"/>
        <v>NON</v>
      </c>
      <c r="BK135" s="208" t="str">
        <f t="shared" si="159"/>
        <v>NON</v>
      </c>
      <c r="BL135" s="208" t="str">
        <f t="shared" si="152"/>
        <v>Inconnu</v>
      </c>
      <c r="BM135" s="208" t="str">
        <f t="shared" si="146"/>
        <v>Inconnu</v>
      </c>
      <c r="BN135" s="208" t="str">
        <f t="shared" si="147"/>
        <v>Inconnu</v>
      </c>
      <c r="BO135" s="208" t="str">
        <f t="shared" si="153"/>
        <v>Inconnu</v>
      </c>
      <c r="BP135" s="208" t="str">
        <f t="shared" si="148"/>
        <v>Inconnu</v>
      </c>
      <c r="BQ135" s="208" t="str">
        <f t="shared" si="149"/>
        <v>Inconnu</v>
      </c>
      <c r="BR135" s="208" t="str">
        <f t="shared" si="150"/>
        <v>Aucune</v>
      </c>
      <c r="BS135" s="208">
        <f t="shared" si="141"/>
        <v>0</v>
      </c>
      <c r="BT135" s="229" t="e">
        <f>VLOOKUP($I135,Lieu_Activité!$A:$B,2,FALSE)</f>
        <v>#N/A</v>
      </c>
      <c r="BU135" s="208" t="str">
        <f t="shared" si="160"/>
        <v>Aucun</v>
      </c>
      <c r="BV135" s="208" t="str">
        <f t="shared" si="161"/>
        <v>Aucun</v>
      </c>
      <c r="BW135" s="207" t="str">
        <f t="shared" si="140"/>
        <v>NON</v>
      </c>
      <c r="BX135" s="288"/>
    </row>
    <row r="136" spans="1:76" ht="12" customHeight="1" x14ac:dyDescent="0.25">
      <c r="A136" s="226" t="s">
        <v>211</v>
      </c>
      <c r="B136" s="234"/>
      <c r="C136" s="227"/>
      <c r="D136" s="257"/>
      <c r="E136" s="278">
        <f t="shared" si="142"/>
        <v>0</v>
      </c>
      <c r="F136" s="278" t="str">
        <f t="shared" si="162"/>
        <v xml:space="preserve"> </v>
      </c>
      <c r="G136" s="256"/>
      <c r="H136" s="256"/>
      <c r="I136" s="256"/>
      <c r="J136" s="256"/>
      <c r="K136" s="256"/>
      <c r="L136" s="257"/>
      <c r="M136" s="243"/>
      <c r="N136" s="232"/>
      <c r="O136" s="232"/>
      <c r="P136" s="265" t="str">
        <f>IFERROR(VLOOKUP(O136,Références!$K$11:$N$19,2)," ")</f>
        <v xml:space="preserve"> </v>
      </c>
      <c r="Q136" s="265" t="str">
        <f>IFERROR(VLOOKUP(O136,Références!$K$11:$N$19,3)," ")</f>
        <v xml:space="preserve"> </v>
      </c>
      <c r="R136" s="265" t="str">
        <f>IFERROR(VLOOKUP(O136,Références!$K$11:$N$19,4)," ")</f>
        <v xml:space="preserve"> </v>
      </c>
      <c r="S136" s="256"/>
      <c r="T136" s="256"/>
      <c r="U136" s="256"/>
      <c r="V136" s="256"/>
      <c r="W136" s="256"/>
      <c r="X136" s="257"/>
      <c r="Y136" s="256"/>
      <c r="Z136" s="256"/>
      <c r="AA136" s="256"/>
      <c r="AB136" s="235"/>
      <c r="AC136" s="235"/>
      <c r="AD136" s="235"/>
      <c r="AE136" s="235"/>
      <c r="AF136" s="235"/>
      <c r="AG136" s="235"/>
      <c r="AH136" s="235"/>
      <c r="AI136" s="235">
        <f t="shared" si="165"/>
        <v>0</v>
      </c>
      <c r="AJ136" s="257"/>
      <c r="AK136" s="256">
        <f t="shared" si="143"/>
        <v>0</v>
      </c>
      <c r="AL136" s="257"/>
      <c r="AM136" s="266">
        <f t="shared" si="144"/>
        <v>0</v>
      </c>
      <c r="AN136" s="256"/>
      <c r="AO136" s="276"/>
      <c r="AP136" s="261" t="str">
        <f t="shared" si="163"/>
        <v xml:space="preserve"> </v>
      </c>
      <c r="AQ136" s="256"/>
      <c r="AR136" s="295"/>
      <c r="AS136" s="295"/>
      <c r="AT136" s="263"/>
      <c r="AU136" s="277"/>
      <c r="AV136" s="263"/>
      <c r="AW136" s="230"/>
      <c r="AX136" s="300"/>
      <c r="AY136" s="301"/>
      <c r="AZ136" s="230"/>
      <c r="BA136" s="300" t="s">
        <v>234</v>
      </c>
      <c r="BB136" s="295"/>
      <c r="BC136" s="228">
        <f t="shared" si="145"/>
        <v>0</v>
      </c>
      <c r="BD136" s="228">
        <f t="shared" si="154"/>
        <v>0</v>
      </c>
      <c r="BE136" s="228">
        <f t="shared" si="155"/>
        <v>1</v>
      </c>
      <c r="BF136" s="228" t="str">
        <f t="shared" si="164"/>
        <v>ALIVE</v>
      </c>
      <c r="BG136" s="208" t="str">
        <f t="shared" si="156"/>
        <v>Aucune</v>
      </c>
      <c r="BH136" s="208" t="str">
        <f t="shared" si="157"/>
        <v>Aucune</v>
      </c>
      <c r="BI136" s="208" t="str">
        <f t="shared" si="158"/>
        <v>Aucune</v>
      </c>
      <c r="BJ136" s="208" t="str">
        <f t="shared" si="151"/>
        <v>NON</v>
      </c>
      <c r="BK136" s="208" t="str">
        <f t="shared" si="159"/>
        <v>NON</v>
      </c>
      <c r="BL136" s="208" t="str">
        <f t="shared" si="152"/>
        <v>Inconnu</v>
      </c>
      <c r="BM136" s="208" t="str">
        <f t="shared" si="146"/>
        <v>Inconnu</v>
      </c>
      <c r="BN136" s="208" t="str">
        <f t="shared" si="147"/>
        <v>Inconnu</v>
      </c>
      <c r="BO136" s="208" t="str">
        <f t="shared" si="153"/>
        <v>Inconnu</v>
      </c>
      <c r="BP136" s="208" t="str">
        <f t="shared" si="148"/>
        <v>Inconnu</v>
      </c>
      <c r="BQ136" s="208" t="str">
        <f t="shared" si="149"/>
        <v>Inconnu</v>
      </c>
      <c r="BR136" s="208" t="str">
        <f t="shared" si="150"/>
        <v>Aucune</v>
      </c>
      <c r="BS136" s="208">
        <f t="shared" si="141"/>
        <v>0</v>
      </c>
      <c r="BT136" s="229" t="e">
        <f>VLOOKUP($I136,Lieu_Activité!$A:$B,2,FALSE)</f>
        <v>#N/A</v>
      </c>
      <c r="BU136" s="208" t="str">
        <f t="shared" si="160"/>
        <v>Aucun</v>
      </c>
      <c r="BV136" s="208" t="str">
        <f t="shared" si="161"/>
        <v>Aucun</v>
      </c>
      <c r="BW136" s="207" t="str">
        <f t="shared" si="140"/>
        <v>NON</v>
      </c>
      <c r="BX136" s="288"/>
    </row>
    <row r="137" spans="1:76" ht="12.75" customHeight="1" x14ac:dyDescent="0.25">
      <c r="A137" s="226" t="s">
        <v>211</v>
      </c>
      <c r="B137" s="234"/>
      <c r="C137" s="227"/>
      <c r="D137" s="257"/>
      <c r="E137" s="278">
        <f>(L137-D137)/365</f>
        <v>0</v>
      </c>
      <c r="F137" s="278" t="str">
        <f t="shared" si="162"/>
        <v xml:space="preserve"> </v>
      </c>
      <c r="G137" s="256"/>
      <c r="H137" s="256"/>
      <c r="I137" s="256"/>
      <c r="J137" s="256"/>
      <c r="K137" s="256"/>
      <c r="L137" s="257"/>
      <c r="M137" s="243"/>
      <c r="N137" s="232"/>
      <c r="O137" s="265"/>
      <c r="P137" s="265" t="str">
        <f>IFERROR(VLOOKUP(O137,Références!$K$11:$N$19,2)," ")</f>
        <v xml:space="preserve"> </v>
      </c>
      <c r="Q137" s="265" t="str">
        <f>IFERROR(VLOOKUP(O137,Références!$K$11:$N$19,3)," ")</f>
        <v xml:space="preserve"> </v>
      </c>
      <c r="R137" s="265" t="str">
        <f>IFERROR(VLOOKUP(O137,Références!$K$11:$N$19,4)," ")</f>
        <v xml:space="preserve"> </v>
      </c>
      <c r="S137" s="256"/>
      <c r="T137" s="256"/>
      <c r="U137" s="256"/>
      <c r="V137" s="256"/>
      <c r="W137" s="256"/>
      <c r="X137" s="257"/>
      <c r="Y137" s="256"/>
      <c r="Z137" s="256"/>
      <c r="AA137" s="256"/>
      <c r="AB137" s="235"/>
      <c r="AC137" s="235"/>
      <c r="AD137" s="235"/>
      <c r="AE137" s="235"/>
      <c r="AF137" s="235"/>
      <c r="AG137" s="235"/>
      <c r="AH137" s="235"/>
      <c r="AI137" s="235">
        <f t="shared" si="165"/>
        <v>0</v>
      </c>
      <c r="AJ137" s="257"/>
      <c r="AK137" s="256">
        <f t="shared" ref="AK137:AK147" si="166">(AJ137-L137)</f>
        <v>0</v>
      </c>
      <c r="AL137" s="257"/>
      <c r="AM137" s="266">
        <f t="shared" ref="AM137:AM148" si="167">(AL137-L137)</f>
        <v>0</v>
      </c>
      <c r="AN137" s="256"/>
      <c r="AO137" s="276"/>
      <c r="AP137" s="261" t="str">
        <f t="shared" si="163"/>
        <v xml:space="preserve"> </v>
      </c>
      <c r="AQ137" s="256"/>
      <c r="AR137" s="297"/>
      <c r="AS137" s="295"/>
      <c r="AT137" s="263"/>
      <c r="AU137" s="277"/>
      <c r="AV137" s="263"/>
      <c r="AW137" s="230"/>
      <c r="AX137" s="300"/>
      <c r="AY137" s="301"/>
      <c r="AZ137" s="230"/>
      <c r="BA137" s="300" t="s">
        <v>234</v>
      </c>
      <c r="BB137" s="295"/>
      <c r="BC137" s="228">
        <f t="shared" ref="BC137:BC148" si="168">IF(BG137="Aucune",0,1)</f>
        <v>0</v>
      </c>
      <c r="BD137" s="228">
        <f t="shared" ref="BD137:BD148" si="169">IF(BH137="Aucune",0,1)</f>
        <v>0</v>
      </c>
      <c r="BE137" s="228">
        <f t="shared" si="155"/>
        <v>1</v>
      </c>
      <c r="BF137" s="228" t="str">
        <f t="shared" si="164"/>
        <v>ALIVE</v>
      </c>
      <c r="BG137" s="208" t="str">
        <f t="shared" si="156"/>
        <v>Aucune</v>
      </c>
      <c r="BH137" s="208" t="str">
        <f t="shared" si="157"/>
        <v>Aucune</v>
      </c>
      <c r="BI137" s="208" t="str">
        <f t="shared" si="158"/>
        <v>Aucune</v>
      </c>
      <c r="BJ137" s="208" t="str">
        <f t="shared" si="151"/>
        <v>NON</v>
      </c>
      <c r="BK137" s="208" t="str">
        <f t="shared" si="159"/>
        <v>NON</v>
      </c>
      <c r="BL137" s="208" t="str">
        <f t="shared" si="152"/>
        <v>Inconnu</v>
      </c>
      <c r="BM137" s="208" t="str">
        <f t="shared" ref="BM137:BM148" si="170">IF($O137&lt;&gt;"HTX",IF($O137&lt;&gt;"LVAD",BL137,"Inconnu"),"Inconnu")</f>
        <v>Inconnu</v>
      </c>
      <c r="BN137" s="208" t="str">
        <f t="shared" ref="BN137:BN148" si="171">IF($O137="HTX",BL137,IF($O137="LVAD",BL137,"Inconnu"))</f>
        <v>Inconnu</v>
      </c>
      <c r="BO137" s="208" t="str">
        <f t="shared" si="153"/>
        <v>Inconnu</v>
      </c>
      <c r="BP137" s="208" t="str">
        <f t="shared" ref="BP137:BP148" si="172">IF($O137&lt;&gt;"HTX",IF($O137&lt;&gt;"LVAD",BO137,"Inconnu"),"Inconnu")</f>
        <v>Inconnu</v>
      </c>
      <c r="BQ137" s="208" t="str">
        <f t="shared" ref="BQ137:BQ148" si="173">IF($O137="HTX",BO137,IF($O137="LVAD",BO137,"Inconnu"))</f>
        <v>Inconnu</v>
      </c>
      <c r="BR137" s="208" t="str">
        <f t="shared" ref="BR137:BR148" si="174">IF(BH137="Aucune",IF(BI137="Aucune","Aucune","Transfusé"),"Transfusé")</f>
        <v>Aucune</v>
      </c>
      <c r="BS137" s="208">
        <f t="shared" si="141"/>
        <v>0</v>
      </c>
      <c r="BT137" s="229" t="e">
        <f>VLOOKUP($I137,Lieu_Activité!$A:$B,2,FALSE)</f>
        <v>#N/A</v>
      </c>
      <c r="BU137" s="208" t="str">
        <f t="shared" si="160"/>
        <v>Aucun</v>
      </c>
      <c r="BV137" s="208" t="str">
        <f t="shared" si="161"/>
        <v>Aucun</v>
      </c>
      <c r="BW137" s="207" t="str">
        <f t="shared" si="140"/>
        <v>NON</v>
      </c>
      <c r="BX137" s="288"/>
    </row>
    <row r="138" spans="1:76" ht="12" customHeight="1" x14ac:dyDescent="0.25">
      <c r="A138" s="226" t="s">
        <v>211</v>
      </c>
      <c r="B138" s="234"/>
      <c r="C138" s="227"/>
      <c r="D138" s="257"/>
      <c r="E138" s="278">
        <f>(L138-D138)/365</f>
        <v>0</v>
      </c>
      <c r="F138" s="278" t="str">
        <f t="shared" si="162"/>
        <v xml:space="preserve"> </v>
      </c>
      <c r="G138" s="256"/>
      <c r="H138" s="256"/>
      <c r="I138" s="256"/>
      <c r="J138" s="256"/>
      <c r="K138" s="256"/>
      <c r="L138" s="257"/>
      <c r="M138" s="243"/>
      <c r="N138" s="232"/>
      <c r="O138" s="232"/>
      <c r="P138" s="265" t="str">
        <f>IFERROR(VLOOKUP(O138,Références!$K$11:$N$19,2)," ")</f>
        <v xml:space="preserve"> </v>
      </c>
      <c r="Q138" s="265" t="str">
        <f>IFERROR(VLOOKUP(O138,Références!$K$11:$N$19,3)," ")</f>
        <v xml:space="preserve"> </v>
      </c>
      <c r="R138" s="265" t="str">
        <f>IFERROR(VLOOKUP(O138,Références!$K$11:$N$19,4)," ")</f>
        <v xml:space="preserve"> </v>
      </c>
      <c r="S138" s="256"/>
      <c r="T138" s="256"/>
      <c r="U138" s="256"/>
      <c r="V138" s="256"/>
      <c r="W138" s="256"/>
      <c r="X138" s="257"/>
      <c r="Y138" s="256"/>
      <c r="Z138" s="256"/>
      <c r="AA138" s="256"/>
      <c r="AB138" s="235"/>
      <c r="AC138" s="235"/>
      <c r="AD138" s="235"/>
      <c r="AE138" s="235"/>
      <c r="AF138" s="235"/>
      <c r="AG138" s="235"/>
      <c r="AH138" s="235"/>
      <c r="AI138" s="235">
        <f t="shared" si="165"/>
        <v>0</v>
      </c>
      <c r="AJ138" s="257"/>
      <c r="AK138" s="256">
        <f t="shared" si="166"/>
        <v>0</v>
      </c>
      <c r="AL138" s="257"/>
      <c r="AM138" s="266">
        <f t="shared" si="167"/>
        <v>0</v>
      </c>
      <c r="AN138" s="256"/>
      <c r="AO138" s="276"/>
      <c r="AP138" s="261" t="str">
        <f t="shared" si="163"/>
        <v xml:space="preserve"> </v>
      </c>
      <c r="AQ138" s="256"/>
      <c r="AR138" s="295"/>
      <c r="AS138" s="295"/>
      <c r="AT138" s="263"/>
      <c r="AU138" s="277"/>
      <c r="AV138" s="263"/>
      <c r="AW138" s="230"/>
      <c r="AX138" s="300"/>
      <c r="AY138" s="301"/>
      <c r="AZ138" s="230"/>
      <c r="BA138" s="300" t="s">
        <v>234</v>
      </c>
      <c r="BB138" s="295"/>
      <c r="BC138" s="228">
        <f t="shared" si="168"/>
        <v>0</v>
      </c>
      <c r="BD138" s="228">
        <f t="shared" si="169"/>
        <v>0</v>
      </c>
      <c r="BE138" s="228">
        <f t="shared" si="155"/>
        <v>1</v>
      </c>
      <c r="BF138" s="228" t="str">
        <f t="shared" si="164"/>
        <v>ALIVE</v>
      </c>
      <c r="BG138" s="208" t="str">
        <f t="shared" si="156"/>
        <v>Aucune</v>
      </c>
      <c r="BH138" s="208" t="str">
        <f t="shared" si="157"/>
        <v>Aucune</v>
      </c>
      <c r="BI138" s="208" t="str">
        <f t="shared" si="158"/>
        <v>Aucune</v>
      </c>
      <c r="BJ138" s="208" t="str">
        <f t="shared" si="151"/>
        <v>NON</v>
      </c>
      <c r="BK138" s="208" t="str">
        <f t="shared" si="159"/>
        <v>NON</v>
      </c>
      <c r="BL138" s="208" t="str">
        <f t="shared" si="152"/>
        <v>Inconnu</v>
      </c>
      <c r="BM138" s="208" t="str">
        <f t="shared" si="170"/>
        <v>Inconnu</v>
      </c>
      <c r="BN138" s="208" t="str">
        <f t="shared" si="171"/>
        <v>Inconnu</v>
      </c>
      <c r="BO138" s="208" t="str">
        <f t="shared" si="153"/>
        <v>Inconnu</v>
      </c>
      <c r="BP138" s="208" t="str">
        <f t="shared" si="172"/>
        <v>Inconnu</v>
      </c>
      <c r="BQ138" s="208" t="str">
        <f t="shared" si="173"/>
        <v>Inconnu</v>
      </c>
      <c r="BR138" s="208" t="str">
        <f t="shared" si="174"/>
        <v>Aucune</v>
      </c>
      <c r="BS138" s="208">
        <f t="shared" si="141"/>
        <v>0</v>
      </c>
      <c r="BT138" s="229" t="e">
        <f>VLOOKUP($I138,Lieu_Activité!$A:$B,2,FALSE)</f>
        <v>#N/A</v>
      </c>
      <c r="BU138" s="208" t="str">
        <f t="shared" si="160"/>
        <v>Aucun</v>
      </c>
      <c r="BV138" s="208" t="str">
        <f t="shared" si="161"/>
        <v>Aucun</v>
      </c>
      <c r="BW138" s="207" t="str">
        <f t="shared" si="140"/>
        <v>NON</v>
      </c>
      <c r="BX138" s="288"/>
    </row>
    <row r="139" spans="1:76" ht="12" customHeight="1" x14ac:dyDescent="0.25">
      <c r="A139" s="226" t="s">
        <v>211</v>
      </c>
      <c r="B139" s="234"/>
      <c r="C139" s="227"/>
      <c r="D139" s="257"/>
      <c r="E139" s="278">
        <f>(L139-D139)/365</f>
        <v>0</v>
      </c>
      <c r="F139" s="278" t="str">
        <f t="shared" si="162"/>
        <v xml:space="preserve"> </v>
      </c>
      <c r="G139" s="256"/>
      <c r="H139" s="256"/>
      <c r="I139" s="256"/>
      <c r="J139" s="256"/>
      <c r="K139" s="256"/>
      <c r="L139" s="257"/>
      <c r="M139" s="243"/>
      <c r="N139" s="232"/>
      <c r="O139" s="232"/>
      <c r="P139" s="265" t="str">
        <f>IFERROR(VLOOKUP(O139,Références!$K$11:$N$19,2)," ")</f>
        <v xml:space="preserve"> </v>
      </c>
      <c r="Q139" s="265" t="str">
        <f>IFERROR(VLOOKUP(O139,Références!$K$11:$N$19,3)," ")</f>
        <v xml:space="preserve"> </v>
      </c>
      <c r="R139" s="265" t="str">
        <f>IFERROR(VLOOKUP(O139,Références!$K$11:$N$19,4)," ")</f>
        <v xml:space="preserve"> </v>
      </c>
      <c r="S139" s="256"/>
      <c r="T139" s="256"/>
      <c r="U139" s="256"/>
      <c r="V139" s="256"/>
      <c r="W139" s="256"/>
      <c r="X139" s="257"/>
      <c r="Y139" s="256"/>
      <c r="Z139" s="256"/>
      <c r="AA139" s="256"/>
      <c r="AB139" s="235"/>
      <c r="AC139" s="235"/>
      <c r="AD139" s="235"/>
      <c r="AE139" s="235"/>
      <c r="AF139" s="235"/>
      <c r="AG139" s="235"/>
      <c r="AH139" s="235"/>
      <c r="AI139" s="235">
        <f t="shared" si="165"/>
        <v>0</v>
      </c>
      <c r="AJ139" s="257"/>
      <c r="AK139" s="256">
        <f t="shared" si="166"/>
        <v>0</v>
      </c>
      <c r="AL139" s="257"/>
      <c r="AM139" s="266">
        <f t="shared" si="167"/>
        <v>0</v>
      </c>
      <c r="AN139" s="256"/>
      <c r="AO139" s="276"/>
      <c r="AP139" s="261" t="str">
        <f t="shared" si="163"/>
        <v xml:space="preserve"> </v>
      </c>
      <c r="AQ139" s="256"/>
      <c r="AR139" s="295"/>
      <c r="AS139" s="295"/>
      <c r="AT139" s="263"/>
      <c r="AU139" s="277"/>
      <c r="AV139" s="263"/>
      <c r="AW139" s="230"/>
      <c r="AX139" s="300"/>
      <c r="AY139" s="301"/>
      <c r="AZ139" s="230"/>
      <c r="BA139" s="300" t="s">
        <v>234</v>
      </c>
      <c r="BB139" s="295"/>
      <c r="BC139" s="228">
        <f t="shared" si="168"/>
        <v>0</v>
      </c>
      <c r="BD139" s="228">
        <f t="shared" si="169"/>
        <v>0</v>
      </c>
      <c r="BE139" s="228">
        <f t="shared" si="155"/>
        <v>1</v>
      </c>
      <c r="BF139" s="228" t="str">
        <f t="shared" si="164"/>
        <v>ALIVE</v>
      </c>
      <c r="BG139" s="208" t="str">
        <f t="shared" si="156"/>
        <v>Aucune</v>
      </c>
      <c r="BH139" s="208" t="str">
        <f t="shared" si="157"/>
        <v>Aucune</v>
      </c>
      <c r="BI139" s="208" t="str">
        <f t="shared" si="158"/>
        <v>Aucune</v>
      </c>
      <c r="BJ139" s="208" t="str">
        <f t="shared" si="151"/>
        <v>NON</v>
      </c>
      <c r="BK139" s="208" t="str">
        <f t="shared" si="159"/>
        <v>NON</v>
      </c>
      <c r="BL139" s="208" t="str">
        <f t="shared" si="152"/>
        <v>Inconnu</v>
      </c>
      <c r="BM139" s="208" t="str">
        <f t="shared" si="170"/>
        <v>Inconnu</v>
      </c>
      <c r="BN139" s="208" t="str">
        <f t="shared" si="171"/>
        <v>Inconnu</v>
      </c>
      <c r="BO139" s="208" t="str">
        <f t="shared" si="153"/>
        <v>Inconnu</v>
      </c>
      <c r="BP139" s="208" t="str">
        <f t="shared" si="172"/>
        <v>Inconnu</v>
      </c>
      <c r="BQ139" s="208" t="str">
        <f t="shared" si="173"/>
        <v>Inconnu</v>
      </c>
      <c r="BR139" s="208" t="str">
        <f t="shared" si="174"/>
        <v>Aucune</v>
      </c>
      <c r="BS139" s="208">
        <f t="shared" si="141"/>
        <v>0</v>
      </c>
      <c r="BT139" s="229" t="e">
        <f>VLOOKUP($I139,Lieu_Activité!$A:$B,2,FALSE)</f>
        <v>#N/A</v>
      </c>
      <c r="BU139" s="208" t="str">
        <f t="shared" si="160"/>
        <v>Aucun</v>
      </c>
      <c r="BV139" s="208" t="str">
        <f t="shared" si="161"/>
        <v>Aucun</v>
      </c>
      <c r="BW139" s="207" t="str">
        <f t="shared" si="140"/>
        <v>NON</v>
      </c>
      <c r="BX139" s="288"/>
    </row>
    <row r="140" spans="1:76" ht="12" customHeight="1" x14ac:dyDescent="0.25">
      <c r="A140" s="226" t="s">
        <v>211</v>
      </c>
      <c r="B140" s="234"/>
      <c r="C140" s="227"/>
      <c r="D140" s="257"/>
      <c r="E140" s="278">
        <f>(L140-D140)/365</f>
        <v>0</v>
      </c>
      <c r="F140" s="278" t="str">
        <f t="shared" si="162"/>
        <v xml:space="preserve"> </v>
      </c>
      <c r="G140" s="256"/>
      <c r="H140" s="256"/>
      <c r="I140" s="256"/>
      <c r="J140" s="256"/>
      <c r="K140" s="256"/>
      <c r="L140" s="257"/>
      <c r="M140" s="243"/>
      <c r="N140" s="232"/>
      <c r="O140" s="232"/>
      <c r="P140" s="265" t="str">
        <f>IFERROR(VLOOKUP(O140,Références!$K$11:$N$19,2)," ")</f>
        <v xml:space="preserve"> </v>
      </c>
      <c r="Q140" s="265" t="str">
        <f>IFERROR(VLOOKUP(O140,Références!$K$11:$N$19,3)," ")</f>
        <v xml:space="preserve"> </v>
      </c>
      <c r="R140" s="265" t="str">
        <f>IFERROR(VLOOKUP(O140,Références!$K$11:$N$19,4)," ")</f>
        <v xml:space="preserve"> </v>
      </c>
      <c r="S140" s="256"/>
      <c r="T140" s="256"/>
      <c r="U140" s="256"/>
      <c r="V140" s="256"/>
      <c r="W140" s="256"/>
      <c r="X140" s="257"/>
      <c r="Y140" s="256"/>
      <c r="Z140" s="256"/>
      <c r="AA140" s="256"/>
      <c r="AB140" s="235"/>
      <c r="AC140" s="235"/>
      <c r="AD140" s="235"/>
      <c r="AE140" s="235"/>
      <c r="AF140" s="235"/>
      <c r="AG140" s="235"/>
      <c r="AH140" s="235"/>
      <c r="AI140" s="235">
        <f t="shared" si="165"/>
        <v>0</v>
      </c>
      <c r="AJ140" s="257"/>
      <c r="AK140" s="256">
        <f t="shared" si="166"/>
        <v>0</v>
      </c>
      <c r="AL140" s="257"/>
      <c r="AM140" s="266">
        <f t="shared" si="167"/>
        <v>0</v>
      </c>
      <c r="AN140" s="256"/>
      <c r="AO140" s="276"/>
      <c r="AP140" s="261" t="str">
        <f t="shared" si="163"/>
        <v xml:space="preserve"> </v>
      </c>
      <c r="AQ140" s="256"/>
      <c r="AR140" s="295"/>
      <c r="AS140" s="295"/>
      <c r="AT140" s="263"/>
      <c r="AU140" s="277"/>
      <c r="AV140" s="263"/>
      <c r="AW140" s="230"/>
      <c r="AX140" s="300"/>
      <c r="AY140" s="301"/>
      <c r="AZ140" s="230"/>
      <c r="BA140" s="300" t="s">
        <v>234</v>
      </c>
      <c r="BB140" s="301"/>
      <c r="BC140" s="228">
        <f t="shared" si="168"/>
        <v>0</v>
      </c>
      <c r="BD140" s="228">
        <f t="shared" si="169"/>
        <v>0</v>
      </c>
      <c r="BE140" s="228">
        <f t="shared" si="155"/>
        <v>1</v>
      </c>
      <c r="BF140" s="228" t="str">
        <f t="shared" si="164"/>
        <v>ALIVE</v>
      </c>
      <c r="BG140" s="208" t="str">
        <f t="shared" si="156"/>
        <v>Aucune</v>
      </c>
      <c r="BH140" s="208" t="str">
        <f t="shared" si="157"/>
        <v>Aucune</v>
      </c>
      <c r="BI140" s="208" t="str">
        <f t="shared" si="158"/>
        <v>Aucune</v>
      </c>
      <c r="BJ140" s="208" t="str">
        <f t="shared" si="151"/>
        <v>NON</v>
      </c>
      <c r="BK140" s="208" t="str">
        <f t="shared" si="159"/>
        <v>NON</v>
      </c>
      <c r="BL140" s="208" t="str">
        <f t="shared" si="152"/>
        <v>Inconnu</v>
      </c>
      <c r="BM140" s="208" t="str">
        <f t="shared" si="170"/>
        <v>Inconnu</v>
      </c>
      <c r="BN140" s="208" t="str">
        <f t="shared" si="171"/>
        <v>Inconnu</v>
      </c>
      <c r="BO140" s="208" t="str">
        <f t="shared" si="153"/>
        <v>Inconnu</v>
      </c>
      <c r="BP140" s="208" t="str">
        <f t="shared" si="172"/>
        <v>Inconnu</v>
      </c>
      <c r="BQ140" s="208" t="str">
        <f t="shared" si="173"/>
        <v>Inconnu</v>
      </c>
      <c r="BR140" s="208" t="str">
        <f t="shared" si="174"/>
        <v>Aucune</v>
      </c>
      <c r="BS140" s="208">
        <f t="shared" si="141"/>
        <v>0</v>
      </c>
      <c r="BT140" s="229" t="e">
        <f>VLOOKUP($I140,Lieu_Activité!$A:$B,2,FALSE)</f>
        <v>#N/A</v>
      </c>
      <c r="BU140" s="208" t="str">
        <f t="shared" si="160"/>
        <v>Aucun</v>
      </c>
      <c r="BV140" s="208" t="str">
        <f t="shared" si="161"/>
        <v>Aucun</v>
      </c>
      <c r="BW140" s="207" t="str">
        <f t="shared" si="140"/>
        <v>NON</v>
      </c>
      <c r="BX140" s="288"/>
    </row>
    <row r="141" spans="1:76" ht="12.75" customHeight="1" x14ac:dyDescent="0.25">
      <c r="A141" s="226" t="s">
        <v>211</v>
      </c>
      <c r="B141" s="234"/>
      <c r="C141" s="227"/>
      <c r="D141" s="257"/>
      <c r="E141" s="278">
        <f t="shared" si="136"/>
        <v>0</v>
      </c>
      <c r="F141" s="278" t="str">
        <f t="shared" si="162"/>
        <v xml:space="preserve"> </v>
      </c>
      <c r="G141" s="256"/>
      <c r="H141" s="256"/>
      <c r="I141" s="256"/>
      <c r="J141" s="256"/>
      <c r="K141" s="256"/>
      <c r="L141" s="257"/>
      <c r="M141" s="243"/>
      <c r="N141" s="232"/>
      <c r="O141" s="265"/>
      <c r="P141" s="265" t="str">
        <f>IFERROR(VLOOKUP(O141,Références!$K$11:$N$19,2)," ")</f>
        <v xml:space="preserve"> </v>
      </c>
      <c r="Q141" s="265" t="str">
        <f>IFERROR(VLOOKUP(O141,Références!$K$11:$N$19,3)," ")</f>
        <v xml:space="preserve"> </v>
      </c>
      <c r="R141" s="265" t="str">
        <f>IFERROR(VLOOKUP(O141,Références!$K$11:$N$19,4)," ")</f>
        <v xml:space="preserve"> </v>
      </c>
      <c r="S141" s="256"/>
      <c r="T141" s="256"/>
      <c r="U141" s="256"/>
      <c r="V141" s="256"/>
      <c r="W141" s="256"/>
      <c r="X141" s="257"/>
      <c r="Y141" s="256"/>
      <c r="Z141" s="256"/>
      <c r="AA141" s="256"/>
      <c r="AB141" s="235"/>
      <c r="AC141" s="235"/>
      <c r="AD141" s="274"/>
      <c r="AE141" s="235"/>
      <c r="AF141" s="235"/>
      <c r="AG141" s="235"/>
      <c r="AH141" s="235"/>
      <c r="AI141" s="235">
        <f t="shared" si="165"/>
        <v>0</v>
      </c>
      <c r="AJ141" s="257"/>
      <c r="AK141" s="256">
        <f t="shared" si="166"/>
        <v>0</v>
      </c>
      <c r="AL141" s="257"/>
      <c r="AM141" s="266">
        <f t="shared" si="167"/>
        <v>0</v>
      </c>
      <c r="AN141" s="256"/>
      <c r="AO141" s="276"/>
      <c r="AP141" s="261" t="str">
        <f t="shared" si="163"/>
        <v xml:space="preserve"> </v>
      </c>
      <c r="AQ141" s="256"/>
      <c r="AR141" s="297"/>
      <c r="AS141" s="295"/>
      <c r="AT141" s="263"/>
      <c r="AU141" s="277"/>
      <c r="AV141" s="263"/>
      <c r="AW141" s="230"/>
      <c r="AX141" s="300"/>
      <c r="AY141" s="301"/>
      <c r="AZ141" s="230"/>
      <c r="BA141" s="300" t="s">
        <v>234</v>
      </c>
      <c r="BB141" s="295"/>
      <c r="BC141" s="228">
        <f t="shared" si="168"/>
        <v>0</v>
      </c>
      <c r="BD141" s="228">
        <f t="shared" si="169"/>
        <v>0</v>
      </c>
      <c r="BE141" s="228">
        <f t="shared" si="155"/>
        <v>1</v>
      </c>
      <c r="BF141" s="228" t="str">
        <f t="shared" si="164"/>
        <v>ALIVE</v>
      </c>
      <c r="BG141" s="208" t="str">
        <f t="shared" si="156"/>
        <v>Aucune</v>
      </c>
      <c r="BH141" s="208" t="str">
        <f t="shared" si="157"/>
        <v>Aucune</v>
      </c>
      <c r="BI141" s="208" t="str">
        <f t="shared" si="158"/>
        <v>Aucune</v>
      </c>
      <c r="BJ141" s="208" t="str">
        <f t="shared" si="151"/>
        <v>NON</v>
      </c>
      <c r="BK141" s="208" t="str">
        <f t="shared" si="159"/>
        <v>NON</v>
      </c>
      <c r="BL141" s="208" t="str">
        <f t="shared" si="152"/>
        <v>Inconnu</v>
      </c>
      <c r="BM141" s="208" t="str">
        <f t="shared" si="170"/>
        <v>Inconnu</v>
      </c>
      <c r="BN141" s="208" t="str">
        <f t="shared" si="171"/>
        <v>Inconnu</v>
      </c>
      <c r="BO141" s="208" t="str">
        <f t="shared" si="153"/>
        <v>Inconnu</v>
      </c>
      <c r="BP141" s="208" t="str">
        <f t="shared" si="172"/>
        <v>Inconnu</v>
      </c>
      <c r="BQ141" s="208" t="str">
        <f t="shared" si="173"/>
        <v>Inconnu</v>
      </c>
      <c r="BR141" s="208" t="str">
        <f t="shared" si="174"/>
        <v>Aucune</v>
      </c>
      <c r="BS141" s="208">
        <f t="shared" si="141"/>
        <v>0</v>
      </c>
      <c r="BT141" s="229" t="e">
        <f>VLOOKUP($I141,Lieu_Activité!$A:$B,2,FALSE)</f>
        <v>#N/A</v>
      </c>
      <c r="BU141" s="208" t="str">
        <f t="shared" si="160"/>
        <v>Aucun</v>
      </c>
      <c r="BV141" s="208" t="str">
        <f t="shared" si="161"/>
        <v>Aucun</v>
      </c>
      <c r="BW141" s="207" t="str">
        <f t="shared" si="140"/>
        <v>NON</v>
      </c>
      <c r="BX141" s="288"/>
    </row>
    <row r="142" spans="1:76" ht="12" customHeight="1" x14ac:dyDescent="0.25">
      <c r="A142" s="226" t="s">
        <v>211</v>
      </c>
      <c r="B142" s="234"/>
      <c r="C142" s="227"/>
      <c r="D142" s="257"/>
      <c r="E142" s="278">
        <f t="shared" si="136"/>
        <v>0</v>
      </c>
      <c r="F142" s="278" t="str">
        <f t="shared" si="162"/>
        <v xml:space="preserve"> </v>
      </c>
      <c r="G142" s="256"/>
      <c r="H142" s="256"/>
      <c r="I142" s="256"/>
      <c r="J142" s="256"/>
      <c r="K142" s="256"/>
      <c r="L142" s="257"/>
      <c r="M142" s="243"/>
      <c r="N142" s="232"/>
      <c r="O142" s="232"/>
      <c r="P142" s="265" t="str">
        <f>IFERROR(VLOOKUP(O142,Références!$K$11:$N$19,2)," ")</f>
        <v xml:space="preserve"> </v>
      </c>
      <c r="Q142" s="265" t="str">
        <f>IFERROR(VLOOKUP(O142,Références!$K$11:$N$19,3)," ")</f>
        <v xml:space="preserve"> </v>
      </c>
      <c r="R142" s="265" t="str">
        <f>IFERROR(VLOOKUP(O142,Références!$K$11:$N$19,4)," ")</f>
        <v xml:space="preserve"> </v>
      </c>
      <c r="S142" s="256"/>
      <c r="T142" s="256"/>
      <c r="U142" s="256"/>
      <c r="V142" s="256"/>
      <c r="W142" s="256"/>
      <c r="X142" s="257"/>
      <c r="Y142" s="256"/>
      <c r="Z142" s="256"/>
      <c r="AA142" s="256"/>
      <c r="AB142" s="235"/>
      <c r="AC142" s="235"/>
      <c r="AD142" s="235"/>
      <c r="AE142" s="235"/>
      <c r="AF142" s="235"/>
      <c r="AG142" s="235"/>
      <c r="AH142" s="235"/>
      <c r="AI142" s="235">
        <f t="shared" si="165"/>
        <v>0</v>
      </c>
      <c r="AJ142" s="257"/>
      <c r="AK142" s="256">
        <f t="shared" si="166"/>
        <v>0</v>
      </c>
      <c r="AL142" s="257"/>
      <c r="AM142" s="266">
        <f t="shared" si="167"/>
        <v>0</v>
      </c>
      <c r="AN142" s="256"/>
      <c r="AO142" s="276"/>
      <c r="AP142" s="261" t="str">
        <f t="shared" si="163"/>
        <v xml:space="preserve"> </v>
      </c>
      <c r="AQ142" s="256"/>
      <c r="AR142" s="295"/>
      <c r="AS142" s="295"/>
      <c r="AT142" s="263"/>
      <c r="AU142" s="277"/>
      <c r="AV142" s="263"/>
      <c r="AW142" s="230"/>
      <c r="AX142" s="300"/>
      <c r="AY142" s="301"/>
      <c r="AZ142" s="230"/>
      <c r="BA142" s="300" t="s">
        <v>234</v>
      </c>
      <c r="BB142" s="295"/>
      <c r="BC142" s="228">
        <f t="shared" si="168"/>
        <v>0</v>
      </c>
      <c r="BD142" s="228">
        <f t="shared" si="169"/>
        <v>0</v>
      </c>
      <c r="BE142" s="228">
        <f t="shared" si="155"/>
        <v>1</v>
      </c>
      <c r="BF142" s="228" t="str">
        <f t="shared" si="164"/>
        <v>ALIVE</v>
      </c>
      <c r="BG142" s="208" t="str">
        <f t="shared" si="156"/>
        <v>Aucune</v>
      </c>
      <c r="BH142" s="208" t="str">
        <f t="shared" si="157"/>
        <v>Aucune</v>
      </c>
      <c r="BI142" s="208" t="str">
        <f t="shared" si="158"/>
        <v>Aucune</v>
      </c>
      <c r="BJ142" s="208" t="str">
        <f t="shared" si="151"/>
        <v>NON</v>
      </c>
      <c r="BK142" s="208" t="str">
        <f t="shared" si="159"/>
        <v>NON</v>
      </c>
      <c r="BL142" s="208" t="str">
        <f t="shared" si="152"/>
        <v>Inconnu</v>
      </c>
      <c r="BM142" s="208" t="str">
        <f t="shared" si="170"/>
        <v>Inconnu</v>
      </c>
      <c r="BN142" s="208" t="str">
        <f t="shared" si="171"/>
        <v>Inconnu</v>
      </c>
      <c r="BO142" s="208" t="str">
        <f t="shared" si="153"/>
        <v>Inconnu</v>
      </c>
      <c r="BP142" s="208" t="str">
        <f t="shared" si="172"/>
        <v>Inconnu</v>
      </c>
      <c r="BQ142" s="208" t="str">
        <f t="shared" si="173"/>
        <v>Inconnu</v>
      </c>
      <c r="BR142" s="208" t="str">
        <f t="shared" si="174"/>
        <v>Aucune</v>
      </c>
      <c r="BS142" s="208">
        <f t="shared" si="141"/>
        <v>0</v>
      </c>
      <c r="BT142" s="229" t="e">
        <f>VLOOKUP($I142,Lieu_Activité!$A:$B,2,FALSE)</f>
        <v>#N/A</v>
      </c>
      <c r="BU142" s="208" t="str">
        <f t="shared" si="160"/>
        <v>Aucun</v>
      </c>
      <c r="BV142" s="208" t="str">
        <f t="shared" si="161"/>
        <v>Aucun</v>
      </c>
      <c r="BW142" s="207" t="str">
        <f t="shared" si="140"/>
        <v>NON</v>
      </c>
      <c r="BX142" s="288"/>
    </row>
    <row r="143" spans="1:76" ht="12" customHeight="1" x14ac:dyDescent="0.25">
      <c r="A143" s="226" t="s">
        <v>211</v>
      </c>
      <c r="B143" s="268"/>
      <c r="C143" s="227"/>
      <c r="D143" s="257"/>
      <c r="E143" s="278">
        <f t="shared" si="136"/>
        <v>0</v>
      </c>
      <c r="F143" s="278" t="str">
        <f t="shared" si="162"/>
        <v xml:space="preserve"> </v>
      </c>
      <c r="G143" s="256"/>
      <c r="H143" s="256"/>
      <c r="I143" s="256"/>
      <c r="J143" s="256"/>
      <c r="K143" s="256"/>
      <c r="L143" s="257"/>
      <c r="M143" s="243"/>
      <c r="N143" s="232"/>
      <c r="O143" s="232"/>
      <c r="P143" s="265" t="str">
        <f>IFERROR(VLOOKUP(O143,Références!$K$11:$N$19,2)," ")</f>
        <v xml:space="preserve"> </v>
      </c>
      <c r="Q143" s="265" t="str">
        <f>IFERROR(VLOOKUP(O143,Références!$K$11:$N$19,3)," ")</f>
        <v xml:space="preserve"> </v>
      </c>
      <c r="R143" s="265" t="str">
        <f>IFERROR(VLOOKUP(O143,Références!$K$11:$N$19,4)," ")</f>
        <v xml:space="preserve"> </v>
      </c>
      <c r="S143" s="256"/>
      <c r="T143" s="256"/>
      <c r="U143" s="256"/>
      <c r="V143" s="256"/>
      <c r="W143" s="256"/>
      <c r="X143" s="257"/>
      <c r="Y143" s="256"/>
      <c r="Z143" s="256"/>
      <c r="AA143" s="256"/>
      <c r="AB143" s="235"/>
      <c r="AC143" s="235"/>
      <c r="AD143" s="235"/>
      <c r="AE143" s="235"/>
      <c r="AF143" s="235"/>
      <c r="AG143" s="235"/>
      <c r="AH143" s="235"/>
      <c r="AI143" s="235">
        <f t="shared" si="165"/>
        <v>0</v>
      </c>
      <c r="AJ143" s="257"/>
      <c r="AK143" s="256">
        <f t="shared" si="166"/>
        <v>0</v>
      </c>
      <c r="AL143" s="257"/>
      <c r="AM143" s="266">
        <f t="shared" si="167"/>
        <v>0</v>
      </c>
      <c r="AN143" s="256"/>
      <c r="AO143" s="276"/>
      <c r="AP143" s="261" t="str">
        <f t="shared" si="163"/>
        <v xml:space="preserve"> </v>
      </c>
      <c r="AQ143" s="256"/>
      <c r="AR143" s="295"/>
      <c r="AS143" s="295"/>
      <c r="AT143" s="263"/>
      <c r="AU143" s="277"/>
      <c r="AV143" s="263"/>
      <c r="AW143" s="230"/>
      <c r="AX143" s="300"/>
      <c r="AY143" s="301"/>
      <c r="AZ143" s="230"/>
      <c r="BA143" s="302" t="s">
        <v>246</v>
      </c>
      <c r="BB143" s="295"/>
      <c r="BC143" s="228">
        <f t="shared" si="168"/>
        <v>0</v>
      </c>
      <c r="BD143" s="228">
        <f t="shared" si="169"/>
        <v>0</v>
      </c>
      <c r="BE143" s="228">
        <f t="shared" si="155"/>
        <v>1</v>
      </c>
      <c r="BF143" s="228" t="str">
        <f t="shared" si="164"/>
        <v>ALIVE</v>
      </c>
      <c r="BG143" s="208" t="str">
        <f t="shared" si="156"/>
        <v>Aucune</v>
      </c>
      <c r="BH143" s="208" t="str">
        <f t="shared" si="157"/>
        <v>Aucune</v>
      </c>
      <c r="BI143" s="208" t="str">
        <f t="shared" si="158"/>
        <v>Aucune</v>
      </c>
      <c r="BJ143" s="208" t="str">
        <f t="shared" si="151"/>
        <v>NON</v>
      </c>
      <c r="BK143" s="208" t="str">
        <f t="shared" si="159"/>
        <v>NON</v>
      </c>
      <c r="BL143" s="208" t="str">
        <f t="shared" si="152"/>
        <v>Inconnu</v>
      </c>
      <c r="BM143" s="208" t="str">
        <f t="shared" si="170"/>
        <v>Inconnu</v>
      </c>
      <c r="BN143" s="208" t="str">
        <f t="shared" si="171"/>
        <v>Inconnu</v>
      </c>
      <c r="BO143" s="208" t="str">
        <f t="shared" si="153"/>
        <v>Inconnu</v>
      </c>
      <c r="BP143" s="208" t="str">
        <f t="shared" si="172"/>
        <v>Inconnu</v>
      </c>
      <c r="BQ143" s="208" t="str">
        <f t="shared" si="173"/>
        <v>Inconnu</v>
      </c>
      <c r="BR143" s="208" t="str">
        <f t="shared" si="174"/>
        <v>Aucune</v>
      </c>
      <c r="BS143" s="208">
        <f t="shared" si="141"/>
        <v>0</v>
      </c>
      <c r="BT143" s="229" t="e">
        <f>VLOOKUP($I143,Lieu_Activité!$A:$B,2,FALSE)</f>
        <v>#N/A</v>
      </c>
      <c r="BU143" s="208" t="str">
        <f t="shared" si="160"/>
        <v>Aucun</v>
      </c>
      <c r="BV143" s="208" t="str">
        <f t="shared" si="161"/>
        <v>Aucun</v>
      </c>
      <c r="BW143" s="207" t="str">
        <f t="shared" si="140"/>
        <v>NON</v>
      </c>
      <c r="BX143" s="288"/>
    </row>
    <row r="144" spans="1:76" ht="12" customHeight="1" x14ac:dyDescent="0.25">
      <c r="A144" s="226" t="s">
        <v>211</v>
      </c>
      <c r="B144" s="234"/>
      <c r="C144" s="227"/>
      <c r="D144" s="257"/>
      <c r="E144" s="278">
        <f t="shared" si="136"/>
        <v>0</v>
      </c>
      <c r="F144" s="278" t="str">
        <f t="shared" si="162"/>
        <v xml:space="preserve"> </v>
      </c>
      <c r="G144" s="256"/>
      <c r="H144" s="256"/>
      <c r="I144" s="256"/>
      <c r="J144" s="256"/>
      <c r="K144" s="256"/>
      <c r="L144" s="257"/>
      <c r="M144" s="243"/>
      <c r="N144" s="232"/>
      <c r="O144" s="232"/>
      <c r="P144" s="265" t="str">
        <f>IFERROR(VLOOKUP(O144,Références!$K$11:$N$19,2)," ")</f>
        <v xml:space="preserve"> </v>
      </c>
      <c r="Q144" s="265" t="str">
        <f>IFERROR(VLOOKUP(O144,Références!$K$11:$N$19,3)," ")</f>
        <v xml:space="preserve"> </v>
      </c>
      <c r="R144" s="265" t="str">
        <f>IFERROR(VLOOKUP(O144,Références!$K$11:$N$19,4)," ")</f>
        <v xml:space="preserve"> </v>
      </c>
      <c r="S144" s="256"/>
      <c r="T144" s="256"/>
      <c r="U144" s="256"/>
      <c r="V144" s="256"/>
      <c r="W144" s="256"/>
      <c r="X144" s="257"/>
      <c r="Y144" s="256"/>
      <c r="Z144" s="256"/>
      <c r="AA144" s="256"/>
      <c r="AB144" s="235"/>
      <c r="AC144" s="235"/>
      <c r="AD144" s="235"/>
      <c r="AE144" s="235"/>
      <c r="AF144" s="235"/>
      <c r="AG144" s="235"/>
      <c r="AH144" s="235"/>
      <c r="AI144" s="235">
        <f t="shared" si="165"/>
        <v>0</v>
      </c>
      <c r="AJ144" s="257"/>
      <c r="AK144" s="256">
        <f t="shared" si="166"/>
        <v>0</v>
      </c>
      <c r="AL144" s="257"/>
      <c r="AM144" s="266">
        <f t="shared" si="167"/>
        <v>0</v>
      </c>
      <c r="AN144" s="256"/>
      <c r="AO144" s="276"/>
      <c r="AP144" s="261" t="str">
        <f t="shared" si="163"/>
        <v xml:space="preserve"> </v>
      </c>
      <c r="AQ144" s="256"/>
      <c r="AR144" s="295"/>
      <c r="AS144" s="295"/>
      <c r="AT144" s="263"/>
      <c r="AU144" s="277"/>
      <c r="AV144" s="263"/>
      <c r="AW144" s="230"/>
      <c r="AX144" s="300"/>
      <c r="AY144" s="301"/>
      <c r="AZ144" s="230"/>
      <c r="BA144" s="300" t="s">
        <v>234</v>
      </c>
      <c r="BB144" s="295"/>
      <c r="BC144" s="228">
        <f t="shared" si="168"/>
        <v>0</v>
      </c>
      <c r="BD144" s="228">
        <f t="shared" si="169"/>
        <v>0</v>
      </c>
      <c r="BE144" s="228">
        <f t="shared" si="155"/>
        <v>1</v>
      </c>
      <c r="BF144" s="228" t="str">
        <f t="shared" si="164"/>
        <v>ALIVE</v>
      </c>
      <c r="BG144" s="208" t="str">
        <f t="shared" si="156"/>
        <v>Aucune</v>
      </c>
      <c r="BH144" s="208" t="str">
        <f t="shared" si="157"/>
        <v>Aucune</v>
      </c>
      <c r="BI144" s="208" t="str">
        <f t="shared" si="158"/>
        <v>Aucune</v>
      </c>
      <c r="BJ144" s="208" t="str">
        <f t="shared" si="151"/>
        <v>NON</v>
      </c>
      <c r="BK144" s="208" t="str">
        <f t="shared" si="159"/>
        <v>NON</v>
      </c>
      <c r="BL144" s="208" t="str">
        <f t="shared" si="152"/>
        <v>Inconnu</v>
      </c>
      <c r="BM144" s="208" t="str">
        <f t="shared" si="170"/>
        <v>Inconnu</v>
      </c>
      <c r="BN144" s="208" t="str">
        <f t="shared" si="171"/>
        <v>Inconnu</v>
      </c>
      <c r="BO144" s="208" t="str">
        <f t="shared" si="153"/>
        <v>Inconnu</v>
      </c>
      <c r="BP144" s="208" t="str">
        <f t="shared" si="172"/>
        <v>Inconnu</v>
      </c>
      <c r="BQ144" s="208" t="str">
        <f t="shared" si="173"/>
        <v>Inconnu</v>
      </c>
      <c r="BR144" s="208" t="str">
        <f t="shared" si="174"/>
        <v>Aucune</v>
      </c>
      <c r="BS144" s="208">
        <f t="shared" si="141"/>
        <v>0</v>
      </c>
      <c r="BT144" s="229" t="e">
        <f>VLOOKUP($I144,Lieu_Activité!$A:$B,2,FALSE)</f>
        <v>#N/A</v>
      </c>
      <c r="BU144" s="208" t="str">
        <f t="shared" si="160"/>
        <v>Aucun</v>
      </c>
      <c r="BV144" s="208" t="str">
        <f t="shared" si="161"/>
        <v>Aucun</v>
      </c>
      <c r="BW144" s="207" t="str">
        <f t="shared" si="140"/>
        <v>NON</v>
      </c>
      <c r="BX144" s="288"/>
    </row>
    <row r="145" spans="1:76" ht="12" customHeight="1" x14ac:dyDescent="0.25">
      <c r="A145" s="226" t="s">
        <v>211</v>
      </c>
      <c r="B145" s="268"/>
      <c r="C145" s="227"/>
      <c r="D145" s="257"/>
      <c r="E145" s="278">
        <f t="shared" si="136"/>
        <v>0</v>
      </c>
      <c r="F145" s="278" t="str">
        <f t="shared" si="162"/>
        <v xml:space="preserve"> </v>
      </c>
      <c r="G145" s="256"/>
      <c r="H145" s="256"/>
      <c r="I145" s="256"/>
      <c r="J145" s="256"/>
      <c r="K145" s="256"/>
      <c r="L145" s="257"/>
      <c r="M145" s="243"/>
      <c r="N145" s="232"/>
      <c r="O145" s="232"/>
      <c r="P145" s="265" t="str">
        <f>IFERROR(VLOOKUP(O145,Références!$K$11:$N$19,2)," ")</f>
        <v xml:space="preserve"> </v>
      </c>
      <c r="Q145" s="265" t="str">
        <f>IFERROR(VLOOKUP(O145,Références!$K$11:$N$19,3)," ")</f>
        <v xml:space="preserve"> </v>
      </c>
      <c r="R145" s="265" t="str">
        <f>IFERROR(VLOOKUP(O145,Références!$K$11:$N$19,4)," ")</f>
        <v xml:space="preserve"> </v>
      </c>
      <c r="S145" s="256"/>
      <c r="T145" s="256"/>
      <c r="U145" s="256"/>
      <c r="V145" s="256"/>
      <c r="W145" s="256"/>
      <c r="X145" s="257"/>
      <c r="Y145" s="256"/>
      <c r="Z145" s="256"/>
      <c r="AA145" s="256"/>
      <c r="AB145" s="235"/>
      <c r="AC145" s="235"/>
      <c r="AD145" s="274"/>
      <c r="AE145" s="235"/>
      <c r="AF145" s="235"/>
      <c r="AG145" s="235"/>
      <c r="AH145" s="235"/>
      <c r="AI145" s="235">
        <f t="shared" si="165"/>
        <v>0</v>
      </c>
      <c r="AJ145" s="257"/>
      <c r="AK145" s="256">
        <f t="shared" si="166"/>
        <v>0</v>
      </c>
      <c r="AL145" s="257"/>
      <c r="AM145" s="266">
        <f t="shared" si="167"/>
        <v>0</v>
      </c>
      <c r="AN145" s="256"/>
      <c r="AO145" s="276"/>
      <c r="AP145" s="261" t="str">
        <f t="shared" si="163"/>
        <v xml:space="preserve"> </v>
      </c>
      <c r="AQ145" s="256"/>
      <c r="AR145" s="295"/>
      <c r="AS145" s="295"/>
      <c r="AT145" s="263"/>
      <c r="AU145" s="277"/>
      <c r="AV145" s="263"/>
      <c r="AW145" s="230"/>
      <c r="AX145" s="300"/>
      <c r="AY145" s="301"/>
      <c r="AZ145" s="230"/>
      <c r="BA145" s="302" t="s">
        <v>246</v>
      </c>
      <c r="BB145" s="301"/>
      <c r="BC145" s="228">
        <f t="shared" si="168"/>
        <v>0</v>
      </c>
      <c r="BD145" s="228">
        <f t="shared" si="169"/>
        <v>0</v>
      </c>
      <c r="BE145" s="228">
        <f t="shared" si="155"/>
        <v>1</v>
      </c>
      <c r="BF145" s="228" t="str">
        <f t="shared" si="164"/>
        <v>ALIVE</v>
      </c>
      <c r="BG145" s="208" t="str">
        <f t="shared" si="156"/>
        <v>Aucune</v>
      </c>
      <c r="BH145" s="208" t="str">
        <f t="shared" si="157"/>
        <v>Aucune</v>
      </c>
      <c r="BI145" s="208" t="str">
        <f t="shared" si="158"/>
        <v>Aucune</v>
      </c>
      <c r="BJ145" s="208" t="str">
        <f t="shared" si="151"/>
        <v>NON</v>
      </c>
      <c r="BK145" s="208" t="str">
        <f t="shared" si="159"/>
        <v>NON</v>
      </c>
      <c r="BL145" s="208" t="str">
        <f t="shared" si="152"/>
        <v>Inconnu</v>
      </c>
      <c r="BM145" s="208" t="str">
        <f t="shared" si="170"/>
        <v>Inconnu</v>
      </c>
      <c r="BN145" s="208" t="str">
        <f t="shared" si="171"/>
        <v>Inconnu</v>
      </c>
      <c r="BO145" s="208" t="str">
        <f t="shared" si="153"/>
        <v>Inconnu</v>
      </c>
      <c r="BP145" s="208" t="str">
        <f t="shared" si="172"/>
        <v>Inconnu</v>
      </c>
      <c r="BQ145" s="208" t="str">
        <f t="shared" si="173"/>
        <v>Inconnu</v>
      </c>
      <c r="BR145" s="208" t="str">
        <f t="shared" si="174"/>
        <v>Aucune</v>
      </c>
      <c r="BS145" s="208">
        <f t="shared" si="141"/>
        <v>0</v>
      </c>
      <c r="BT145" s="229" t="e">
        <f>VLOOKUP($I145,Lieu_Activité!$A:$B,2,FALSE)</f>
        <v>#N/A</v>
      </c>
      <c r="BU145" s="208" t="str">
        <f t="shared" si="160"/>
        <v>Aucun</v>
      </c>
      <c r="BV145" s="208" t="str">
        <f t="shared" si="161"/>
        <v>Aucun</v>
      </c>
      <c r="BW145" s="207" t="str">
        <f t="shared" si="140"/>
        <v>NON</v>
      </c>
      <c r="BX145" s="288"/>
    </row>
    <row r="146" spans="1:76" ht="12" customHeight="1" x14ac:dyDescent="0.25">
      <c r="A146" s="226" t="s">
        <v>211</v>
      </c>
      <c r="B146" s="234"/>
      <c r="C146" s="227"/>
      <c r="D146" s="257"/>
      <c r="E146" s="278">
        <f t="shared" si="136"/>
        <v>0</v>
      </c>
      <c r="F146" s="278" t="str">
        <f t="shared" si="162"/>
        <v xml:space="preserve"> </v>
      </c>
      <c r="G146" s="256"/>
      <c r="H146" s="256"/>
      <c r="I146" s="256"/>
      <c r="J146" s="256"/>
      <c r="K146" s="256"/>
      <c r="L146" s="257"/>
      <c r="M146" s="243"/>
      <c r="N146" s="232"/>
      <c r="O146" s="232"/>
      <c r="P146" s="265" t="str">
        <f>IFERROR(VLOOKUP(O146,Références!$K$11:$N$19,2)," ")</f>
        <v xml:space="preserve"> </v>
      </c>
      <c r="Q146" s="265" t="str">
        <f>IFERROR(VLOOKUP(O146,Références!$K$11:$N$19,3)," ")</f>
        <v xml:space="preserve"> </v>
      </c>
      <c r="R146" s="265" t="str">
        <f>IFERROR(VLOOKUP(O146,Références!$K$11:$N$19,4)," ")</f>
        <v xml:space="preserve"> </v>
      </c>
      <c r="S146" s="256"/>
      <c r="T146" s="256"/>
      <c r="U146" s="256"/>
      <c r="V146" s="256"/>
      <c r="W146" s="256"/>
      <c r="X146" s="257"/>
      <c r="Y146" s="256"/>
      <c r="Z146" s="256"/>
      <c r="AA146" s="256"/>
      <c r="AB146" s="235"/>
      <c r="AC146" s="235"/>
      <c r="AD146" s="235"/>
      <c r="AE146" s="235"/>
      <c r="AF146" s="235"/>
      <c r="AG146" s="235"/>
      <c r="AH146" s="235"/>
      <c r="AI146" s="235">
        <f t="shared" si="165"/>
        <v>0</v>
      </c>
      <c r="AJ146" s="257"/>
      <c r="AK146" s="256">
        <f t="shared" si="166"/>
        <v>0</v>
      </c>
      <c r="AL146" s="257"/>
      <c r="AM146" s="266">
        <f t="shared" si="167"/>
        <v>0</v>
      </c>
      <c r="AN146" s="256"/>
      <c r="AO146" s="276"/>
      <c r="AP146" s="261" t="str">
        <f t="shared" si="163"/>
        <v xml:space="preserve"> </v>
      </c>
      <c r="AQ146" s="256"/>
      <c r="AR146" s="295"/>
      <c r="AS146" s="295"/>
      <c r="AT146" s="263"/>
      <c r="AU146" s="277"/>
      <c r="AV146" s="263"/>
      <c r="AW146" s="230"/>
      <c r="AX146" s="300"/>
      <c r="AY146" s="301"/>
      <c r="AZ146" s="230"/>
      <c r="BA146" s="300" t="s">
        <v>234</v>
      </c>
      <c r="BB146" s="295"/>
      <c r="BC146" s="228">
        <f t="shared" si="168"/>
        <v>0</v>
      </c>
      <c r="BD146" s="228">
        <f t="shared" si="169"/>
        <v>0</v>
      </c>
      <c r="BE146" s="228">
        <f t="shared" si="155"/>
        <v>1</v>
      </c>
      <c r="BF146" s="228" t="str">
        <f t="shared" si="164"/>
        <v>ALIVE</v>
      </c>
      <c r="BG146" s="208" t="str">
        <f t="shared" si="156"/>
        <v>Aucune</v>
      </c>
      <c r="BH146" s="208" t="str">
        <f t="shared" si="157"/>
        <v>Aucune</v>
      </c>
      <c r="BI146" s="208" t="str">
        <f t="shared" si="158"/>
        <v>Aucune</v>
      </c>
      <c r="BJ146" s="208" t="str">
        <f t="shared" si="151"/>
        <v>NON</v>
      </c>
      <c r="BK146" s="208" t="str">
        <f t="shared" si="159"/>
        <v>NON</v>
      </c>
      <c r="BL146" s="208" t="str">
        <f t="shared" si="152"/>
        <v>Inconnu</v>
      </c>
      <c r="BM146" s="208" t="str">
        <f t="shared" si="170"/>
        <v>Inconnu</v>
      </c>
      <c r="BN146" s="208" t="str">
        <f t="shared" si="171"/>
        <v>Inconnu</v>
      </c>
      <c r="BO146" s="208" t="str">
        <f t="shared" si="153"/>
        <v>Inconnu</v>
      </c>
      <c r="BP146" s="208" t="str">
        <f t="shared" si="172"/>
        <v>Inconnu</v>
      </c>
      <c r="BQ146" s="208" t="str">
        <f t="shared" si="173"/>
        <v>Inconnu</v>
      </c>
      <c r="BR146" s="208" t="str">
        <f t="shared" si="174"/>
        <v>Aucune</v>
      </c>
      <c r="BS146" s="208">
        <f t="shared" si="141"/>
        <v>0</v>
      </c>
      <c r="BT146" s="229" t="e">
        <f>VLOOKUP($I146,Lieu_Activité!$A:$B,2,FALSE)</f>
        <v>#N/A</v>
      </c>
      <c r="BU146" s="208" t="str">
        <f t="shared" si="160"/>
        <v>Aucun</v>
      </c>
      <c r="BV146" s="208" t="str">
        <f t="shared" si="161"/>
        <v>Aucun</v>
      </c>
      <c r="BW146" s="207" t="str">
        <f t="shared" si="140"/>
        <v>NON</v>
      </c>
      <c r="BX146" s="288"/>
    </row>
    <row r="147" spans="1:76" ht="12" customHeight="1" x14ac:dyDescent="0.25">
      <c r="A147" s="226" t="s">
        <v>211</v>
      </c>
      <c r="B147" s="234"/>
      <c r="C147" s="227"/>
      <c r="D147" s="257"/>
      <c r="E147" s="278">
        <f t="shared" si="136"/>
        <v>0</v>
      </c>
      <c r="F147" s="278" t="str">
        <f t="shared" si="162"/>
        <v xml:space="preserve"> </v>
      </c>
      <c r="G147" s="256"/>
      <c r="H147" s="256"/>
      <c r="I147" s="256"/>
      <c r="J147" s="256"/>
      <c r="K147" s="256"/>
      <c r="L147" s="257"/>
      <c r="M147" s="243"/>
      <c r="N147" s="232"/>
      <c r="O147" s="232"/>
      <c r="P147" s="265" t="str">
        <f>IFERROR(VLOOKUP(O147,Références!$K$11:$N$19,2)," ")</f>
        <v xml:space="preserve"> </v>
      </c>
      <c r="Q147" s="265" t="str">
        <f>IFERROR(VLOOKUP(O147,Références!$K$11:$N$19,3)," ")</f>
        <v xml:space="preserve"> </v>
      </c>
      <c r="R147" s="265" t="str">
        <f>IFERROR(VLOOKUP(O147,Références!$K$11:$N$19,4)," ")</f>
        <v xml:space="preserve"> </v>
      </c>
      <c r="S147" s="256"/>
      <c r="T147" s="256"/>
      <c r="U147" s="256"/>
      <c r="V147" s="256"/>
      <c r="W147" s="256"/>
      <c r="X147" s="257"/>
      <c r="Y147" s="256"/>
      <c r="Z147" s="256"/>
      <c r="AA147" s="256"/>
      <c r="AB147" s="235"/>
      <c r="AC147" s="235"/>
      <c r="AD147" s="235"/>
      <c r="AE147" s="235"/>
      <c r="AF147" s="235"/>
      <c r="AG147" s="235"/>
      <c r="AH147" s="235"/>
      <c r="AI147" s="235">
        <f t="shared" si="165"/>
        <v>0</v>
      </c>
      <c r="AJ147" s="257"/>
      <c r="AK147" s="256">
        <f t="shared" si="166"/>
        <v>0</v>
      </c>
      <c r="AL147" s="257"/>
      <c r="AM147" s="266">
        <f t="shared" si="167"/>
        <v>0</v>
      </c>
      <c r="AN147" s="256"/>
      <c r="AO147" s="276"/>
      <c r="AP147" s="261" t="str">
        <f t="shared" si="163"/>
        <v xml:space="preserve"> </v>
      </c>
      <c r="AQ147" s="256"/>
      <c r="AR147" s="295"/>
      <c r="AS147" s="295"/>
      <c r="AT147" s="263"/>
      <c r="AU147" s="277"/>
      <c r="AV147" s="263"/>
      <c r="AW147" s="230"/>
      <c r="AX147" s="300"/>
      <c r="AY147" s="301"/>
      <c r="AZ147" s="230"/>
      <c r="BA147" s="300" t="s">
        <v>234</v>
      </c>
      <c r="BB147" s="295"/>
      <c r="BC147" s="228">
        <f t="shared" si="168"/>
        <v>0</v>
      </c>
      <c r="BD147" s="228">
        <f t="shared" si="169"/>
        <v>0</v>
      </c>
      <c r="BE147" s="228">
        <f t="shared" si="155"/>
        <v>1</v>
      </c>
      <c r="BF147" s="228" t="str">
        <f t="shared" si="164"/>
        <v>ALIVE</v>
      </c>
      <c r="BG147" s="208" t="str">
        <f t="shared" si="156"/>
        <v>Aucune</v>
      </c>
      <c r="BH147" s="208" t="str">
        <f t="shared" si="157"/>
        <v>Aucune</v>
      </c>
      <c r="BI147" s="208" t="str">
        <f t="shared" si="158"/>
        <v>Aucune</v>
      </c>
      <c r="BJ147" s="208" t="str">
        <f t="shared" si="151"/>
        <v>NON</v>
      </c>
      <c r="BK147" s="208" t="str">
        <f t="shared" si="159"/>
        <v>NON</v>
      </c>
      <c r="BL147" s="208" t="str">
        <f t="shared" si="152"/>
        <v>Inconnu</v>
      </c>
      <c r="BM147" s="208" t="str">
        <f t="shared" si="170"/>
        <v>Inconnu</v>
      </c>
      <c r="BN147" s="208" t="str">
        <f t="shared" si="171"/>
        <v>Inconnu</v>
      </c>
      <c r="BO147" s="208" t="str">
        <f t="shared" si="153"/>
        <v>Inconnu</v>
      </c>
      <c r="BP147" s="208" t="str">
        <f t="shared" si="172"/>
        <v>Inconnu</v>
      </c>
      <c r="BQ147" s="208" t="str">
        <f t="shared" si="173"/>
        <v>Inconnu</v>
      </c>
      <c r="BR147" s="208" t="str">
        <f t="shared" si="174"/>
        <v>Aucune</v>
      </c>
      <c r="BS147" s="208">
        <f t="shared" si="141"/>
        <v>0</v>
      </c>
      <c r="BT147" s="229" t="e">
        <f>VLOOKUP($I147,Lieu_Activité!$A:$B,2,FALSE)</f>
        <v>#N/A</v>
      </c>
      <c r="BU147" s="208" t="str">
        <f t="shared" si="160"/>
        <v>Aucun</v>
      </c>
      <c r="BV147" s="208" t="str">
        <f t="shared" si="161"/>
        <v>Aucun</v>
      </c>
      <c r="BW147" s="207" t="str">
        <f t="shared" si="140"/>
        <v>NON</v>
      </c>
      <c r="BX147" s="288"/>
    </row>
    <row r="148" spans="1:76" ht="12" customHeight="1" x14ac:dyDescent="0.25">
      <c r="A148" s="226" t="s">
        <v>211</v>
      </c>
      <c r="B148" s="234"/>
      <c r="C148" s="227"/>
      <c r="D148" s="257"/>
      <c r="E148" s="278">
        <f t="shared" si="136"/>
        <v>0</v>
      </c>
      <c r="F148" s="278" t="str">
        <f t="shared" si="162"/>
        <v xml:space="preserve"> </v>
      </c>
      <c r="G148" s="256"/>
      <c r="H148" s="256"/>
      <c r="I148" s="256"/>
      <c r="J148" s="256"/>
      <c r="K148" s="256"/>
      <c r="L148" s="257"/>
      <c r="M148" s="243"/>
      <c r="N148" s="232"/>
      <c r="O148" s="232"/>
      <c r="P148" s="265" t="str">
        <f>IFERROR(VLOOKUP(O148,Références!$K$11:$N$19,2)," ")</f>
        <v xml:space="preserve"> </v>
      </c>
      <c r="Q148" s="265" t="str">
        <f>IFERROR(VLOOKUP(O148,Références!$K$11:$N$19,3)," ")</f>
        <v xml:space="preserve"> </v>
      </c>
      <c r="R148" s="265" t="str">
        <f>IFERROR(VLOOKUP(O148,Références!$K$11:$N$19,4)," ")</f>
        <v xml:space="preserve"> </v>
      </c>
      <c r="S148" s="256"/>
      <c r="T148" s="256"/>
      <c r="U148" s="256"/>
      <c r="V148" s="256"/>
      <c r="W148" s="256"/>
      <c r="X148" s="257"/>
      <c r="Y148" s="256"/>
      <c r="Z148" s="256"/>
      <c r="AA148" s="256"/>
      <c r="AB148" s="235"/>
      <c r="AC148" s="235"/>
      <c r="AD148" s="235"/>
      <c r="AE148" s="235"/>
      <c r="AF148" s="235"/>
      <c r="AG148" s="235"/>
      <c r="AH148" s="235"/>
      <c r="AI148" s="235">
        <f t="shared" si="165"/>
        <v>0</v>
      </c>
      <c r="AJ148" s="257"/>
      <c r="AK148" s="256">
        <f>(AJ148-L148)</f>
        <v>0</v>
      </c>
      <c r="AL148" s="257"/>
      <c r="AM148" s="266">
        <f t="shared" si="167"/>
        <v>0</v>
      </c>
      <c r="AN148" s="256"/>
      <c r="AO148" s="276"/>
      <c r="AP148" s="261" t="str">
        <f t="shared" si="163"/>
        <v xml:space="preserve"> </v>
      </c>
      <c r="AQ148" s="256"/>
      <c r="AR148" s="297"/>
      <c r="AS148" s="295"/>
      <c r="AT148" s="263"/>
      <c r="AU148" s="277"/>
      <c r="AV148" s="263"/>
      <c r="AW148" s="230"/>
      <c r="AX148" s="300"/>
      <c r="AY148" s="301"/>
      <c r="AZ148" s="230"/>
      <c r="BA148" s="300" t="s">
        <v>234</v>
      </c>
      <c r="BB148" s="295"/>
      <c r="BC148" s="228">
        <f t="shared" si="168"/>
        <v>0</v>
      </c>
      <c r="BD148" s="228">
        <f t="shared" si="169"/>
        <v>0</v>
      </c>
      <c r="BE148" s="228">
        <f t="shared" si="155"/>
        <v>1</v>
      </c>
      <c r="BF148" s="228" t="str">
        <f t="shared" si="164"/>
        <v>ALIVE</v>
      </c>
      <c r="BG148" s="208" t="str">
        <f t="shared" si="156"/>
        <v>Aucune</v>
      </c>
      <c r="BH148" s="208" t="str">
        <f t="shared" si="157"/>
        <v>Aucune</v>
      </c>
      <c r="BI148" s="208" t="str">
        <f t="shared" si="158"/>
        <v>Aucune</v>
      </c>
      <c r="BJ148" s="208" t="str">
        <f t="shared" si="151"/>
        <v>NON</v>
      </c>
      <c r="BK148" s="208" t="str">
        <f t="shared" si="159"/>
        <v>NON</v>
      </c>
      <c r="BL148" s="208" t="str">
        <f t="shared" si="152"/>
        <v>Inconnu</v>
      </c>
      <c r="BM148" s="208" t="str">
        <f t="shared" si="170"/>
        <v>Inconnu</v>
      </c>
      <c r="BN148" s="208" t="str">
        <f t="shared" si="171"/>
        <v>Inconnu</v>
      </c>
      <c r="BO148" s="208" t="str">
        <f t="shared" si="153"/>
        <v>Inconnu</v>
      </c>
      <c r="BP148" s="208" t="str">
        <f t="shared" si="172"/>
        <v>Inconnu</v>
      </c>
      <c r="BQ148" s="208" t="str">
        <f t="shared" si="173"/>
        <v>Inconnu</v>
      </c>
      <c r="BR148" s="208" t="str">
        <f t="shared" si="174"/>
        <v>Aucune</v>
      </c>
      <c r="BS148" s="208">
        <f t="shared" si="141"/>
        <v>0</v>
      </c>
      <c r="BT148" s="229" t="e">
        <f>VLOOKUP($I148,Lieu_Activité!$A:$B,2,FALSE)</f>
        <v>#N/A</v>
      </c>
      <c r="BU148" s="208" t="str">
        <f t="shared" si="160"/>
        <v>Aucun</v>
      </c>
      <c r="BV148" s="208" t="str">
        <f t="shared" si="161"/>
        <v>Aucun</v>
      </c>
      <c r="BW148" s="207" t="str">
        <f t="shared" si="140"/>
        <v>NON</v>
      </c>
      <c r="BX148" s="288"/>
    </row>
    <row r="149" spans="1:76" ht="12.75" customHeight="1" x14ac:dyDescent="0.25">
      <c r="A149" s="231" t="s">
        <v>253</v>
      </c>
      <c r="B149" s="234"/>
      <c r="C149" s="227"/>
      <c r="D149" s="257"/>
      <c r="E149" s="278">
        <f t="shared" si="136"/>
        <v>0</v>
      </c>
      <c r="F149" s="278" t="str">
        <f t="shared" si="162"/>
        <v xml:space="preserve"> </v>
      </c>
      <c r="G149" s="256"/>
      <c r="H149" s="256"/>
      <c r="I149" s="256"/>
      <c r="J149" s="256"/>
      <c r="K149" s="256"/>
      <c r="L149" s="257"/>
      <c r="M149" s="243"/>
      <c r="N149" s="232"/>
      <c r="O149" s="265"/>
      <c r="P149" s="265" t="str">
        <f>IFERROR(VLOOKUP(O149,Références!$K$11:$N$19,2)," ")</f>
        <v xml:space="preserve"> </v>
      </c>
      <c r="Q149" s="265" t="str">
        <f>IFERROR(VLOOKUP(O149,Références!$K$11:$N$19,3)," ")</f>
        <v xml:space="preserve"> </v>
      </c>
      <c r="R149" s="265" t="str">
        <f>IFERROR(VLOOKUP(O149,Références!$K$11:$N$19,4)," ")</f>
        <v xml:space="preserve"> </v>
      </c>
      <c r="S149" s="256"/>
      <c r="T149" s="256"/>
      <c r="U149" s="256"/>
      <c r="V149" s="256"/>
      <c r="W149" s="256"/>
      <c r="X149" s="257"/>
      <c r="Y149" s="256"/>
      <c r="Z149" s="256"/>
      <c r="AA149" s="256"/>
      <c r="AB149" s="235"/>
      <c r="AC149" s="235"/>
      <c r="AD149" s="235"/>
      <c r="AE149" s="235"/>
      <c r="AF149" s="235"/>
      <c r="AG149" s="235"/>
      <c r="AH149" s="235"/>
      <c r="AI149" s="235">
        <f t="shared" ref="AI149:AI180" si="175">SUM(AF149,AH149)</f>
        <v>0</v>
      </c>
      <c r="AJ149" s="257"/>
      <c r="AK149" s="256">
        <f t="shared" ref="AK149:AK180" si="176">(AJ149-L149)</f>
        <v>0</v>
      </c>
      <c r="AL149" s="257"/>
      <c r="AM149" s="266">
        <f t="shared" ref="AM149:AM180" si="177">(AL149-L149)</f>
        <v>0</v>
      </c>
      <c r="AN149" s="256"/>
      <c r="AO149" s="276"/>
      <c r="AP149" s="261" t="str">
        <f t="shared" si="163"/>
        <v xml:space="preserve"> </v>
      </c>
      <c r="AQ149" s="256"/>
      <c r="AR149" s="296"/>
      <c r="AS149" s="295"/>
      <c r="AT149" s="263"/>
      <c r="AU149" s="277"/>
      <c r="AV149" s="263"/>
      <c r="AW149" s="230"/>
      <c r="AX149" s="300"/>
      <c r="AY149" s="301"/>
      <c r="AZ149" s="230"/>
      <c r="BA149" s="300" t="s">
        <v>234</v>
      </c>
      <c r="BB149" s="295"/>
      <c r="BC149" s="228">
        <f t="shared" ref="BC149:BC180" si="178">IF(BG149="Aucune",0,1)</f>
        <v>0</v>
      </c>
      <c r="BD149" s="228">
        <f t="shared" ref="BD149:BD180" si="179">IF(BH149="Aucune",0,1)</f>
        <v>0</v>
      </c>
      <c r="BE149" s="228">
        <f t="shared" si="155"/>
        <v>1</v>
      </c>
      <c r="BF149" s="228" t="str">
        <f t="shared" si="164"/>
        <v>ALIVE</v>
      </c>
      <c r="BG149" s="208" t="str">
        <f t="shared" si="156"/>
        <v>Aucune</v>
      </c>
      <c r="BH149" s="208" t="str">
        <f t="shared" si="157"/>
        <v>Aucune</v>
      </c>
      <c r="BI149" s="208" t="str">
        <f t="shared" si="158"/>
        <v>Aucune</v>
      </c>
      <c r="BJ149" s="208" t="str">
        <f t="shared" si="151"/>
        <v>NON</v>
      </c>
      <c r="BK149" s="208" t="str">
        <f t="shared" si="159"/>
        <v>NON</v>
      </c>
      <c r="BL149" s="208" t="str">
        <f t="shared" si="152"/>
        <v>Inconnu</v>
      </c>
      <c r="BM149" s="208" t="str">
        <f t="shared" ref="BM149:BM180" si="180">IF($O149&lt;&gt;"HTX",IF($O149&lt;&gt;"LVAD",BL149,"Inconnu"),"Inconnu")</f>
        <v>Inconnu</v>
      </c>
      <c r="BN149" s="208" t="str">
        <f t="shared" ref="BN149:BN180" si="181">IF($O149="HTX",BL149,IF($O149="LVAD",BL149,"Inconnu"))</f>
        <v>Inconnu</v>
      </c>
      <c r="BO149" s="208" t="str">
        <f t="shared" si="153"/>
        <v>Inconnu</v>
      </c>
      <c r="BP149" s="208" t="str">
        <f t="shared" ref="BP149:BP180" si="182">IF($O149&lt;&gt;"HTX",IF($O149&lt;&gt;"LVAD",BO149,"Inconnu"),"Inconnu")</f>
        <v>Inconnu</v>
      </c>
      <c r="BQ149" s="208" t="str">
        <f t="shared" ref="BQ149:BQ180" si="183">IF($O149="HTX",BO149,IF($O149="LVAD",BO149,"Inconnu"))</f>
        <v>Inconnu</v>
      </c>
      <c r="BR149" s="208" t="str">
        <f t="shared" ref="BR149:BR180" si="184">IF(BH149="Aucune",IF(BI149="Aucune","Aucune","Transfusé"),"Transfusé")</f>
        <v>Aucune</v>
      </c>
      <c r="BS149" s="208">
        <f t="shared" si="141"/>
        <v>0</v>
      </c>
      <c r="BT149" s="229" t="e">
        <f>VLOOKUP($I149,Lieu_Activité!$A:$B,2,FALSE)</f>
        <v>#N/A</v>
      </c>
      <c r="BU149" s="208" t="str">
        <f t="shared" si="160"/>
        <v>Aucun</v>
      </c>
      <c r="BV149" s="208" t="str">
        <f t="shared" si="161"/>
        <v>Aucun</v>
      </c>
      <c r="BW149" s="207" t="str">
        <f t="shared" si="140"/>
        <v>NON</v>
      </c>
      <c r="BX149" s="288"/>
    </row>
    <row r="150" spans="1:76" ht="12" customHeight="1" x14ac:dyDescent="0.25">
      <c r="A150" s="231" t="s">
        <v>253</v>
      </c>
      <c r="B150" s="234"/>
      <c r="C150" s="227"/>
      <c r="D150" s="257"/>
      <c r="E150" s="278">
        <f t="shared" si="136"/>
        <v>0</v>
      </c>
      <c r="F150" s="278" t="str">
        <f t="shared" si="162"/>
        <v xml:space="preserve"> </v>
      </c>
      <c r="G150" s="256"/>
      <c r="H150" s="256"/>
      <c r="I150" s="256"/>
      <c r="J150" s="256"/>
      <c r="K150" s="256"/>
      <c r="L150" s="257"/>
      <c r="M150" s="243"/>
      <c r="N150" s="232"/>
      <c r="O150" s="232"/>
      <c r="P150" s="265" t="str">
        <f>IFERROR(VLOOKUP(O150,Références!$K$11:$N$19,2)," ")</f>
        <v xml:space="preserve"> </v>
      </c>
      <c r="Q150" s="265" t="str">
        <f>IFERROR(VLOOKUP(O150,Références!$K$11:$N$19,3)," ")</f>
        <v xml:space="preserve"> </v>
      </c>
      <c r="R150" s="265" t="str">
        <f>IFERROR(VLOOKUP(O150,Références!$K$11:$N$19,4)," ")</f>
        <v xml:space="preserve"> </v>
      </c>
      <c r="S150" s="256"/>
      <c r="T150" s="256"/>
      <c r="U150" s="256"/>
      <c r="V150" s="256"/>
      <c r="W150" s="256"/>
      <c r="X150" s="257"/>
      <c r="Y150" s="256"/>
      <c r="Z150" s="256"/>
      <c r="AA150" s="256"/>
      <c r="AB150" s="235"/>
      <c r="AC150" s="235"/>
      <c r="AD150" s="235"/>
      <c r="AE150" s="235"/>
      <c r="AF150" s="235"/>
      <c r="AG150" s="235"/>
      <c r="AH150" s="235"/>
      <c r="AI150" s="235">
        <f t="shared" si="175"/>
        <v>0</v>
      </c>
      <c r="AJ150" s="257"/>
      <c r="AK150" s="256">
        <f t="shared" si="176"/>
        <v>0</v>
      </c>
      <c r="AL150" s="257"/>
      <c r="AM150" s="266">
        <f t="shared" si="177"/>
        <v>0</v>
      </c>
      <c r="AN150" s="256"/>
      <c r="AO150" s="276"/>
      <c r="AP150" s="261" t="str">
        <f t="shared" si="163"/>
        <v xml:space="preserve"> </v>
      </c>
      <c r="AQ150" s="256"/>
      <c r="AR150" s="295"/>
      <c r="AS150" s="295"/>
      <c r="AT150" s="263"/>
      <c r="AU150" s="277"/>
      <c r="AV150" s="263"/>
      <c r="AW150" s="230"/>
      <c r="AX150" s="300"/>
      <c r="AY150" s="301"/>
      <c r="AZ150" s="230"/>
      <c r="BA150" s="300" t="s">
        <v>234</v>
      </c>
      <c r="BB150" s="295"/>
      <c r="BC150" s="228">
        <f t="shared" si="178"/>
        <v>0</v>
      </c>
      <c r="BD150" s="228">
        <f t="shared" si="179"/>
        <v>0</v>
      </c>
      <c r="BE150" s="228">
        <f t="shared" si="155"/>
        <v>1</v>
      </c>
      <c r="BF150" s="228" t="str">
        <f t="shared" si="164"/>
        <v>ALIVE</v>
      </c>
      <c r="BG150" s="208" t="str">
        <f t="shared" si="156"/>
        <v>Aucune</v>
      </c>
      <c r="BH150" s="208" t="str">
        <f t="shared" si="157"/>
        <v>Aucune</v>
      </c>
      <c r="BI150" s="208" t="str">
        <f t="shared" si="158"/>
        <v>Aucune</v>
      </c>
      <c r="BJ150" s="208" t="str">
        <f t="shared" si="151"/>
        <v>NON</v>
      </c>
      <c r="BK150" s="208" t="str">
        <f t="shared" si="159"/>
        <v>NON</v>
      </c>
      <c r="BL150" s="208" t="str">
        <f t="shared" si="152"/>
        <v>Inconnu</v>
      </c>
      <c r="BM150" s="208" t="str">
        <f t="shared" si="180"/>
        <v>Inconnu</v>
      </c>
      <c r="BN150" s="208" t="str">
        <f t="shared" si="181"/>
        <v>Inconnu</v>
      </c>
      <c r="BO150" s="208" t="str">
        <f t="shared" si="153"/>
        <v>Inconnu</v>
      </c>
      <c r="BP150" s="208" t="str">
        <f t="shared" si="182"/>
        <v>Inconnu</v>
      </c>
      <c r="BQ150" s="208" t="str">
        <f t="shared" si="183"/>
        <v>Inconnu</v>
      </c>
      <c r="BR150" s="208" t="str">
        <f t="shared" si="184"/>
        <v>Aucune</v>
      </c>
      <c r="BS150" s="208">
        <f t="shared" si="141"/>
        <v>0</v>
      </c>
      <c r="BT150" s="229" t="e">
        <f>VLOOKUP($I150,Lieu_Activité!$A:$B,2,FALSE)</f>
        <v>#N/A</v>
      </c>
      <c r="BU150" s="208" t="str">
        <f t="shared" si="160"/>
        <v>Aucun</v>
      </c>
      <c r="BV150" s="208" t="str">
        <f t="shared" si="161"/>
        <v>Aucun</v>
      </c>
      <c r="BW150" s="207" t="str">
        <f t="shared" si="140"/>
        <v>NON</v>
      </c>
      <c r="BX150" s="288"/>
    </row>
    <row r="151" spans="1:76" ht="12" customHeight="1" x14ac:dyDescent="0.25">
      <c r="A151" s="231" t="s">
        <v>253</v>
      </c>
      <c r="B151" s="267"/>
      <c r="C151" s="227"/>
      <c r="D151" s="257"/>
      <c r="E151" s="278">
        <f t="shared" si="136"/>
        <v>0</v>
      </c>
      <c r="F151" s="278" t="str">
        <f t="shared" si="162"/>
        <v xml:space="preserve"> </v>
      </c>
      <c r="G151" s="256"/>
      <c r="H151" s="256"/>
      <c r="I151" s="256"/>
      <c r="J151" s="256"/>
      <c r="K151" s="256"/>
      <c r="L151" s="257"/>
      <c r="M151" s="243"/>
      <c r="N151" s="232"/>
      <c r="O151" s="232"/>
      <c r="P151" s="265" t="str">
        <f>IFERROR(VLOOKUP(O151,Références!$K$11:$N$19,2)," ")</f>
        <v xml:space="preserve"> </v>
      </c>
      <c r="Q151" s="265" t="str">
        <f>IFERROR(VLOOKUP(O151,Références!$K$11:$N$19,3)," ")</f>
        <v xml:space="preserve"> </v>
      </c>
      <c r="R151" s="265" t="str">
        <f>IFERROR(VLOOKUP(O151,Références!$K$11:$N$19,4)," ")</f>
        <v xml:space="preserve"> </v>
      </c>
      <c r="S151" s="256"/>
      <c r="T151" s="256"/>
      <c r="U151" s="256"/>
      <c r="V151" s="256"/>
      <c r="W151" s="256"/>
      <c r="X151" s="257"/>
      <c r="Y151" s="256"/>
      <c r="Z151" s="256"/>
      <c r="AA151" s="256"/>
      <c r="AB151" s="235"/>
      <c r="AC151" s="235"/>
      <c r="AD151" s="235"/>
      <c r="AE151" s="235"/>
      <c r="AF151" s="235"/>
      <c r="AG151" s="235"/>
      <c r="AH151" s="235"/>
      <c r="AI151" s="235">
        <f t="shared" si="175"/>
        <v>0</v>
      </c>
      <c r="AJ151" s="257"/>
      <c r="AK151" s="256">
        <f t="shared" si="176"/>
        <v>0</v>
      </c>
      <c r="AL151" s="257"/>
      <c r="AM151" s="266">
        <f t="shared" si="177"/>
        <v>0</v>
      </c>
      <c r="AN151" s="256"/>
      <c r="AO151" s="276"/>
      <c r="AP151" s="261" t="str">
        <f t="shared" si="163"/>
        <v xml:space="preserve"> </v>
      </c>
      <c r="AQ151" s="256"/>
      <c r="AR151" s="295"/>
      <c r="AS151" s="295"/>
      <c r="AT151" s="263"/>
      <c r="AU151" s="277"/>
      <c r="AV151" s="263"/>
      <c r="AW151" s="230"/>
      <c r="AX151" s="300"/>
      <c r="AY151" s="301"/>
      <c r="AZ151" s="230"/>
      <c r="BA151" s="300"/>
      <c r="BB151" s="301"/>
      <c r="BC151" s="228">
        <f t="shared" si="178"/>
        <v>0</v>
      </c>
      <c r="BD151" s="228">
        <f t="shared" si="179"/>
        <v>0</v>
      </c>
      <c r="BE151" s="228">
        <f t="shared" si="155"/>
        <v>1</v>
      </c>
      <c r="BF151" s="228" t="str">
        <f t="shared" si="164"/>
        <v>ALIVE</v>
      </c>
      <c r="BG151" s="208" t="str">
        <f t="shared" si="156"/>
        <v>Aucune</v>
      </c>
      <c r="BH151" s="208" t="str">
        <f t="shared" si="157"/>
        <v>Aucune</v>
      </c>
      <c r="BI151" s="208" t="str">
        <f t="shared" si="158"/>
        <v>Aucune</v>
      </c>
      <c r="BJ151" s="208" t="str">
        <f t="shared" si="151"/>
        <v>NON</v>
      </c>
      <c r="BK151" s="208" t="str">
        <f t="shared" si="159"/>
        <v>NON</v>
      </c>
      <c r="BL151" s="208" t="str">
        <f t="shared" si="152"/>
        <v>Inconnu</v>
      </c>
      <c r="BM151" s="208" t="str">
        <f t="shared" si="180"/>
        <v>Inconnu</v>
      </c>
      <c r="BN151" s="208" t="str">
        <f t="shared" si="181"/>
        <v>Inconnu</v>
      </c>
      <c r="BO151" s="208" t="str">
        <f t="shared" si="153"/>
        <v>Inconnu</v>
      </c>
      <c r="BP151" s="208" t="str">
        <f t="shared" si="182"/>
        <v>Inconnu</v>
      </c>
      <c r="BQ151" s="208" t="str">
        <f t="shared" si="183"/>
        <v>Inconnu</v>
      </c>
      <c r="BR151" s="208" t="str">
        <f t="shared" si="184"/>
        <v>Aucune</v>
      </c>
      <c r="BS151" s="208">
        <f t="shared" si="141"/>
        <v>0</v>
      </c>
      <c r="BT151" s="229" t="e">
        <f>VLOOKUP($I151,Lieu_Activité!$A:$B,2,FALSE)</f>
        <v>#N/A</v>
      </c>
      <c r="BU151" s="208" t="str">
        <f t="shared" si="160"/>
        <v>Aucun</v>
      </c>
      <c r="BV151" s="208" t="str">
        <f t="shared" si="161"/>
        <v>Aucun</v>
      </c>
      <c r="BW151" s="207" t="str">
        <f t="shared" si="140"/>
        <v>NON</v>
      </c>
      <c r="BX151" s="288"/>
    </row>
    <row r="152" spans="1:76" ht="12" customHeight="1" x14ac:dyDescent="0.25">
      <c r="A152" s="231" t="s">
        <v>253</v>
      </c>
      <c r="B152" s="268"/>
      <c r="C152" s="227"/>
      <c r="D152" s="257"/>
      <c r="E152" s="278">
        <f t="shared" si="136"/>
        <v>0</v>
      </c>
      <c r="F152" s="278" t="str">
        <f t="shared" si="162"/>
        <v xml:space="preserve"> </v>
      </c>
      <c r="G152" s="256"/>
      <c r="H152" s="256"/>
      <c r="I152" s="256"/>
      <c r="J152" s="256"/>
      <c r="K152" s="256"/>
      <c r="L152" s="257"/>
      <c r="M152" s="243"/>
      <c r="N152" s="232"/>
      <c r="O152" s="232"/>
      <c r="P152" s="265" t="str">
        <f>IFERROR(VLOOKUP(O152,Références!$K$11:$N$19,2)," ")</f>
        <v xml:space="preserve"> </v>
      </c>
      <c r="Q152" s="265" t="str">
        <f>IFERROR(VLOOKUP(O152,Références!$K$11:$N$19,3)," ")</f>
        <v xml:space="preserve"> </v>
      </c>
      <c r="R152" s="265" t="str">
        <f>IFERROR(VLOOKUP(O152,Références!$K$11:$N$19,4)," ")</f>
        <v xml:space="preserve"> </v>
      </c>
      <c r="S152" s="256"/>
      <c r="T152" s="256"/>
      <c r="U152" s="256"/>
      <c r="V152" s="256"/>
      <c r="W152" s="256"/>
      <c r="X152" s="257"/>
      <c r="Y152" s="256"/>
      <c r="Z152" s="256"/>
      <c r="AA152" s="256"/>
      <c r="AB152" s="235"/>
      <c r="AC152" s="235"/>
      <c r="AD152" s="235"/>
      <c r="AE152" s="235"/>
      <c r="AF152" s="235"/>
      <c r="AG152" s="235"/>
      <c r="AH152" s="235"/>
      <c r="AI152" s="235">
        <f t="shared" si="175"/>
        <v>0</v>
      </c>
      <c r="AJ152" s="257"/>
      <c r="AK152" s="256">
        <f t="shared" si="176"/>
        <v>0</v>
      </c>
      <c r="AL152" s="257"/>
      <c r="AM152" s="266">
        <f t="shared" si="177"/>
        <v>0</v>
      </c>
      <c r="AN152" s="256"/>
      <c r="AO152" s="276"/>
      <c r="AP152" s="261" t="str">
        <f t="shared" si="163"/>
        <v xml:space="preserve"> </v>
      </c>
      <c r="AQ152" s="256"/>
      <c r="AR152" s="295"/>
      <c r="AS152" s="295"/>
      <c r="AT152" s="263"/>
      <c r="AU152" s="277"/>
      <c r="AV152" s="263"/>
      <c r="AW152" s="230"/>
      <c r="AX152" s="300"/>
      <c r="AY152" s="301"/>
      <c r="AZ152" s="230"/>
      <c r="BA152" s="302" t="s">
        <v>246</v>
      </c>
      <c r="BB152" s="295"/>
      <c r="BC152" s="228">
        <f t="shared" si="178"/>
        <v>0</v>
      </c>
      <c r="BD152" s="228">
        <f t="shared" si="179"/>
        <v>0</v>
      </c>
      <c r="BE152" s="228">
        <f t="shared" si="155"/>
        <v>1</v>
      </c>
      <c r="BF152" s="228" t="str">
        <f t="shared" si="164"/>
        <v>ALIVE</v>
      </c>
      <c r="BG152" s="208" t="str">
        <f t="shared" si="156"/>
        <v>Aucune</v>
      </c>
      <c r="BH152" s="208" t="str">
        <f t="shared" si="157"/>
        <v>Aucune</v>
      </c>
      <c r="BI152" s="208" t="str">
        <f t="shared" si="158"/>
        <v>Aucune</v>
      </c>
      <c r="BJ152" s="208" t="str">
        <f t="shared" si="151"/>
        <v>NON</v>
      </c>
      <c r="BK152" s="208" t="str">
        <f t="shared" si="159"/>
        <v>NON</v>
      </c>
      <c r="BL152" s="208" t="str">
        <f t="shared" si="152"/>
        <v>Inconnu</v>
      </c>
      <c r="BM152" s="208" t="str">
        <f t="shared" si="180"/>
        <v>Inconnu</v>
      </c>
      <c r="BN152" s="208" t="str">
        <f t="shared" si="181"/>
        <v>Inconnu</v>
      </c>
      <c r="BO152" s="208" t="str">
        <f t="shared" si="153"/>
        <v>Inconnu</v>
      </c>
      <c r="BP152" s="208" t="str">
        <f t="shared" si="182"/>
        <v>Inconnu</v>
      </c>
      <c r="BQ152" s="208" t="str">
        <f t="shared" si="183"/>
        <v>Inconnu</v>
      </c>
      <c r="BR152" s="208" t="str">
        <f t="shared" si="184"/>
        <v>Aucune</v>
      </c>
      <c r="BS152" s="208">
        <f t="shared" si="141"/>
        <v>0</v>
      </c>
      <c r="BT152" s="229" t="e">
        <f>VLOOKUP($I152,Lieu_Activité!$A:$B,2,FALSE)</f>
        <v>#N/A</v>
      </c>
      <c r="BU152" s="208" t="str">
        <f t="shared" si="160"/>
        <v>Aucun</v>
      </c>
      <c r="BV152" s="208" t="str">
        <f t="shared" si="161"/>
        <v>Aucun</v>
      </c>
      <c r="BW152" s="207" t="str">
        <f t="shared" ref="BW152:BW183" si="185">IF(M152="","NON","OUI")</f>
        <v>NON</v>
      </c>
      <c r="BX152" s="288"/>
    </row>
    <row r="153" spans="1:76" ht="12.75" customHeight="1" x14ac:dyDescent="0.25">
      <c r="A153" s="231" t="s">
        <v>253</v>
      </c>
      <c r="B153" s="234"/>
      <c r="C153" s="227"/>
      <c r="D153" s="257"/>
      <c r="E153" s="278">
        <f t="shared" si="136"/>
        <v>0</v>
      </c>
      <c r="F153" s="278" t="str">
        <f t="shared" si="162"/>
        <v xml:space="preserve"> </v>
      </c>
      <c r="G153" s="256"/>
      <c r="H153" s="256"/>
      <c r="I153" s="256"/>
      <c r="J153" s="256"/>
      <c r="K153" s="256"/>
      <c r="L153" s="257"/>
      <c r="M153" s="243"/>
      <c r="N153" s="232"/>
      <c r="O153" s="265"/>
      <c r="P153" s="265" t="str">
        <f>IFERROR(VLOOKUP(O153,Références!$K$11:$N$19,2)," ")</f>
        <v xml:space="preserve"> </v>
      </c>
      <c r="Q153" s="265" t="str">
        <f>IFERROR(VLOOKUP(O153,Références!$K$11:$N$19,3)," ")</f>
        <v xml:space="preserve"> </v>
      </c>
      <c r="R153" s="265" t="str">
        <f>IFERROR(VLOOKUP(O153,Références!$K$11:$N$19,4)," ")</f>
        <v xml:space="preserve"> </v>
      </c>
      <c r="S153" s="256"/>
      <c r="T153" s="256"/>
      <c r="U153" s="256"/>
      <c r="V153" s="256"/>
      <c r="W153" s="256"/>
      <c r="X153" s="257"/>
      <c r="Y153" s="256"/>
      <c r="Z153" s="256"/>
      <c r="AA153" s="256"/>
      <c r="AB153" s="235"/>
      <c r="AC153" s="235"/>
      <c r="AD153" s="235"/>
      <c r="AE153" s="235"/>
      <c r="AF153" s="235"/>
      <c r="AG153" s="235"/>
      <c r="AH153" s="235"/>
      <c r="AI153" s="235">
        <f t="shared" si="175"/>
        <v>0</v>
      </c>
      <c r="AJ153" s="257"/>
      <c r="AK153" s="256">
        <f t="shared" si="176"/>
        <v>0</v>
      </c>
      <c r="AL153" s="257"/>
      <c r="AM153" s="266">
        <f t="shared" si="177"/>
        <v>0</v>
      </c>
      <c r="AN153" s="256"/>
      <c r="AO153" s="276"/>
      <c r="AP153" s="261" t="str">
        <f t="shared" si="163"/>
        <v xml:space="preserve"> </v>
      </c>
      <c r="AQ153" s="256"/>
      <c r="AR153" s="295"/>
      <c r="AS153" s="295"/>
      <c r="AT153" s="263"/>
      <c r="AU153" s="277"/>
      <c r="AV153" s="263"/>
      <c r="AW153" s="230"/>
      <c r="AX153" s="300"/>
      <c r="AY153" s="301"/>
      <c r="AZ153" s="230"/>
      <c r="BA153" s="300" t="s">
        <v>234</v>
      </c>
      <c r="BB153" s="295"/>
      <c r="BC153" s="228">
        <f t="shared" si="178"/>
        <v>0</v>
      </c>
      <c r="BD153" s="228">
        <f t="shared" si="179"/>
        <v>0</v>
      </c>
      <c r="BE153" s="228">
        <f t="shared" si="155"/>
        <v>1</v>
      </c>
      <c r="BF153" s="228" t="str">
        <f t="shared" si="164"/>
        <v>ALIVE</v>
      </c>
      <c r="BG153" s="208" t="str">
        <f t="shared" si="156"/>
        <v>Aucune</v>
      </c>
      <c r="BH153" s="208" t="str">
        <f t="shared" si="157"/>
        <v>Aucune</v>
      </c>
      <c r="BI153" s="208" t="str">
        <f t="shared" si="158"/>
        <v>Aucune</v>
      </c>
      <c r="BJ153" s="208" t="str">
        <f t="shared" si="151"/>
        <v>NON</v>
      </c>
      <c r="BK153" s="208" t="str">
        <f t="shared" si="159"/>
        <v>NON</v>
      </c>
      <c r="BL153" s="208" t="str">
        <f t="shared" si="152"/>
        <v>Inconnu</v>
      </c>
      <c r="BM153" s="208" t="str">
        <f t="shared" si="180"/>
        <v>Inconnu</v>
      </c>
      <c r="BN153" s="208" t="str">
        <f t="shared" si="181"/>
        <v>Inconnu</v>
      </c>
      <c r="BO153" s="208" t="str">
        <f t="shared" si="153"/>
        <v>Inconnu</v>
      </c>
      <c r="BP153" s="208" t="str">
        <f t="shared" si="182"/>
        <v>Inconnu</v>
      </c>
      <c r="BQ153" s="208" t="str">
        <f t="shared" si="183"/>
        <v>Inconnu</v>
      </c>
      <c r="BR153" s="208" t="str">
        <f t="shared" si="184"/>
        <v>Aucune</v>
      </c>
      <c r="BS153" s="208">
        <f t="shared" si="141"/>
        <v>0</v>
      </c>
      <c r="BT153" s="229" t="e">
        <f>VLOOKUP($I153,Lieu_Activité!$A:$B,2,FALSE)</f>
        <v>#N/A</v>
      </c>
      <c r="BU153" s="208" t="str">
        <f t="shared" si="160"/>
        <v>Aucun</v>
      </c>
      <c r="BV153" s="208" t="str">
        <f t="shared" si="161"/>
        <v>Aucun</v>
      </c>
      <c r="BW153" s="207" t="str">
        <f t="shared" si="185"/>
        <v>NON</v>
      </c>
      <c r="BX153" s="288"/>
    </row>
    <row r="154" spans="1:76" ht="12" customHeight="1" x14ac:dyDescent="0.25">
      <c r="A154" s="231" t="s">
        <v>253</v>
      </c>
      <c r="B154" s="234"/>
      <c r="C154" s="227"/>
      <c r="D154" s="257"/>
      <c r="E154" s="278">
        <f t="shared" si="136"/>
        <v>0</v>
      </c>
      <c r="F154" s="278" t="str">
        <f t="shared" si="162"/>
        <v xml:space="preserve"> </v>
      </c>
      <c r="G154" s="256"/>
      <c r="H154" s="256"/>
      <c r="I154" s="256"/>
      <c r="J154" s="256"/>
      <c r="K154" s="256"/>
      <c r="L154" s="257"/>
      <c r="M154" s="243"/>
      <c r="N154" s="232"/>
      <c r="O154" s="232"/>
      <c r="P154" s="265" t="str">
        <f>IFERROR(VLOOKUP(O154,Références!$K$11:$N$19,2)," ")</f>
        <v xml:space="preserve"> </v>
      </c>
      <c r="Q154" s="265" t="str">
        <f>IFERROR(VLOOKUP(O154,Références!$K$11:$N$19,3)," ")</f>
        <v xml:space="preserve"> </v>
      </c>
      <c r="R154" s="265" t="str">
        <f>IFERROR(VLOOKUP(O154,Références!$K$11:$N$19,4)," ")</f>
        <v xml:space="preserve"> </v>
      </c>
      <c r="S154" s="256"/>
      <c r="T154" s="256"/>
      <c r="U154" s="256"/>
      <c r="V154" s="256"/>
      <c r="W154" s="256"/>
      <c r="X154" s="257"/>
      <c r="Y154" s="256"/>
      <c r="Z154" s="256"/>
      <c r="AA154" s="256"/>
      <c r="AB154" s="235"/>
      <c r="AC154" s="235"/>
      <c r="AD154" s="235"/>
      <c r="AE154" s="235"/>
      <c r="AF154" s="235"/>
      <c r="AG154" s="235"/>
      <c r="AH154" s="235"/>
      <c r="AI154" s="235">
        <f t="shared" si="175"/>
        <v>0</v>
      </c>
      <c r="AJ154" s="257"/>
      <c r="AK154" s="256">
        <f t="shared" si="176"/>
        <v>0</v>
      </c>
      <c r="AL154" s="257"/>
      <c r="AM154" s="266">
        <f t="shared" si="177"/>
        <v>0</v>
      </c>
      <c r="AN154" s="256"/>
      <c r="AO154" s="276"/>
      <c r="AP154" s="261" t="str">
        <f t="shared" si="163"/>
        <v xml:space="preserve"> </v>
      </c>
      <c r="AQ154" s="256"/>
      <c r="AR154" s="295"/>
      <c r="AS154" s="295"/>
      <c r="AT154" s="263"/>
      <c r="AU154" s="277"/>
      <c r="AV154" s="263"/>
      <c r="AW154" s="230"/>
      <c r="AX154" s="300"/>
      <c r="AY154" s="301"/>
      <c r="AZ154" s="230"/>
      <c r="BA154" s="300" t="s">
        <v>234</v>
      </c>
      <c r="BB154" s="295"/>
      <c r="BC154" s="228">
        <f t="shared" si="178"/>
        <v>0</v>
      </c>
      <c r="BD154" s="228">
        <f t="shared" si="179"/>
        <v>0</v>
      </c>
      <c r="BE154" s="228">
        <f t="shared" si="155"/>
        <v>1</v>
      </c>
      <c r="BF154" s="228" t="str">
        <f t="shared" si="164"/>
        <v>ALIVE</v>
      </c>
      <c r="BG154" s="208" t="str">
        <f t="shared" si="156"/>
        <v>Aucune</v>
      </c>
      <c r="BH154" s="208" t="str">
        <f t="shared" si="157"/>
        <v>Aucune</v>
      </c>
      <c r="BI154" s="208" t="str">
        <f t="shared" si="158"/>
        <v>Aucune</v>
      </c>
      <c r="BJ154" s="208" t="str">
        <f t="shared" si="151"/>
        <v>NON</v>
      </c>
      <c r="BK154" s="208" t="str">
        <f t="shared" si="159"/>
        <v>NON</v>
      </c>
      <c r="BL154" s="208" t="str">
        <f t="shared" si="152"/>
        <v>Inconnu</v>
      </c>
      <c r="BM154" s="208" t="str">
        <f t="shared" si="180"/>
        <v>Inconnu</v>
      </c>
      <c r="BN154" s="208" t="str">
        <f t="shared" si="181"/>
        <v>Inconnu</v>
      </c>
      <c r="BO154" s="208" t="str">
        <f t="shared" si="153"/>
        <v>Inconnu</v>
      </c>
      <c r="BP154" s="208" t="str">
        <f t="shared" si="182"/>
        <v>Inconnu</v>
      </c>
      <c r="BQ154" s="208" t="str">
        <f t="shared" si="183"/>
        <v>Inconnu</v>
      </c>
      <c r="BR154" s="208" t="str">
        <f t="shared" si="184"/>
        <v>Aucune</v>
      </c>
      <c r="BS154" s="208">
        <f t="shared" si="141"/>
        <v>0</v>
      </c>
      <c r="BT154" s="229" t="e">
        <f>VLOOKUP($I154,Lieu_Activité!$A:$B,2,FALSE)</f>
        <v>#N/A</v>
      </c>
      <c r="BU154" s="208" t="str">
        <f t="shared" si="160"/>
        <v>Aucun</v>
      </c>
      <c r="BV154" s="208" t="str">
        <f t="shared" si="161"/>
        <v>Aucun</v>
      </c>
      <c r="BW154" s="207" t="str">
        <f t="shared" si="185"/>
        <v>NON</v>
      </c>
      <c r="BX154" s="288"/>
    </row>
    <row r="155" spans="1:76" ht="12" customHeight="1" x14ac:dyDescent="0.25">
      <c r="A155" s="231" t="s">
        <v>253</v>
      </c>
      <c r="B155" s="234"/>
      <c r="C155" s="227"/>
      <c r="D155" s="257"/>
      <c r="E155" s="278">
        <f t="shared" si="136"/>
        <v>0</v>
      </c>
      <c r="F155" s="278" t="str">
        <f t="shared" si="162"/>
        <v xml:space="preserve"> </v>
      </c>
      <c r="G155" s="256"/>
      <c r="H155" s="256"/>
      <c r="I155" s="256"/>
      <c r="J155" s="256"/>
      <c r="K155" s="256"/>
      <c r="L155" s="257"/>
      <c r="M155" s="243"/>
      <c r="N155" s="232"/>
      <c r="O155" s="232"/>
      <c r="P155" s="265" t="str">
        <f>IFERROR(VLOOKUP(O155,Références!$K$11:$N$19,2)," ")</f>
        <v xml:space="preserve"> </v>
      </c>
      <c r="Q155" s="265" t="str">
        <f>IFERROR(VLOOKUP(O155,Références!$K$11:$N$19,3)," ")</f>
        <v xml:space="preserve"> </v>
      </c>
      <c r="R155" s="265" t="str">
        <f>IFERROR(VLOOKUP(O155,Références!$K$11:$N$19,4)," ")</f>
        <v xml:space="preserve"> </v>
      </c>
      <c r="S155" s="256"/>
      <c r="T155" s="256"/>
      <c r="U155" s="256"/>
      <c r="V155" s="256"/>
      <c r="W155" s="256"/>
      <c r="X155" s="257"/>
      <c r="Y155" s="256"/>
      <c r="Z155" s="256"/>
      <c r="AA155" s="256"/>
      <c r="AB155" s="235"/>
      <c r="AC155" s="235"/>
      <c r="AD155" s="235"/>
      <c r="AE155" s="235"/>
      <c r="AF155" s="235"/>
      <c r="AG155" s="235"/>
      <c r="AH155" s="235"/>
      <c r="AI155" s="235">
        <f t="shared" si="175"/>
        <v>0</v>
      </c>
      <c r="AJ155" s="257"/>
      <c r="AK155" s="256">
        <f t="shared" si="176"/>
        <v>0</v>
      </c>
      <c r="AL155" s="257"/>
      <c r="AM155" s="266">
        <f t="shared" si="177"/>
        <v>0</v>
      </c>
      <c r="AN155" s="256"/>
      <c r="AO155" s="276"/>
      <c r="AP155" s="261" t="str">
        <f t="shared" si="163"/>
        <v xml:space="preserve"> </v>
      </c>
      <c r="AQ155" s="256"/>
      <c r="AR155" s="295"/>
      <c r="AS155" s="295"/>
      <c r="AT155" s="263"/>
      <c r="AU155" s="277"/>
      <c r="AV155" s="263"/>
      <c r="AW155" s="230"/>
      <c r="AX155" s="300"/>
      <c r="AY155" s="301"/>
      <c r="AZ155" s="230"/>
      <c r="BA155" s="300" t="s">
        <v>234</v>
      </c>
      <c r="BB155" s="295"/>
      <c r="BC155" s="228">
        <f t="shared" si="178"/>
        <v>0</v>
      </c>
      <c r="BD155" s="228">
        <f t="shared" si="179"/>
        <v>0</v>
      </c>
      <c r="BE155" s="228">
        <f t="shared" si="155"/>
        <v>1</v>
      </c>
      <c r="BF155" s="228" t="str">
        <f t="shared" si="164"/>
        <v>ALIVE</v>
      </c>
      <c r="BG155" s="208" t="str">
        <f t="shared" si="156"/>
        <v>Aucune</v>
      </c>
      <c r="BH155" s="208" t="str">
        <f t="shared" si="157"/>
        <v>Aucune</v>
      </c>
      <c r="BI155" s="208" t="str">
        <f t="shared" si="158"/>
        <v>Aucune</v>
      </c>
      <c r="BJ155" s="208" t="str">
        <f t="shared" si="151"/>
        <v>NON</v>
      </c>
      <c r="BK155" s="208" t="str">
        <f t="shared" si="159"/>
        <v>NON</v>
      </c>
      <c r="BL155" s="208" t="str">
        <f t="shared" si="152"/>
        <v>Inconnu</v>
      </c>
      <c r="BM155" s="208" t="str">
        <f t="shared" si="180"/>
        <v>Inconnu</v>
      </c>
      <c r="BN155" s="208" t="str">
        <f t="shared" si="181"/>
        <v>Inconnu</v>
      </c>
      <c r="BO155" s="208" t="str">
        <f t="shared" si="153"/>
        <v>Inconnu</v>
      </c>
      <c r="BP155" s="208" t="str">
        <f t="shared" si="182"/>
        <v>Inconnu</v>
      </c>
      <c r="BQ155" s="208" t="str">
        <f t="shared" si="183"/>
        <v>Inconnu</v>
      </c>
      <c r="BR155" s="208" t="str">
        <f t="shared" si="184"/>
        <v>Aucune</v>
      </c>
      <c r="BS155" s="208">
        <f t="shared" si="141"/>
        <v>0</v>
      </c>
      <c r="BT155" s="229" t="e">
        <f>VLOOKUP($I155,Lieu_Activité!$A:$B,2,FALSE)</f>
        <v>#N/A</v>
      </c>
      <c r="BU155" s="208" t="str">
        <f t="shared" si="160"/>
        <v>Aucun</v>
      </c>
      <c r="BV155" s="208" t="str">
        <f t="shared" si="161"/>
        <v>Aucun</v>
      </c>
      <c r="BW155" s="207" t="str">
        <f t="shared" si="185"/>
        <v>NON</v>
      </c>
      <c r="BX155" s="288"/>
    </row>
    <row r="156" spans="1:76" ht="12" customHeight="1" x14ac:dyDescent="0.25">
      <c r="A156" s="231" t="s">
        <v>253</v>
      </c>
      <c r="B156" s="234"/>
      <c r="C156" s="227"/>
      <c r="D156" s="257"/>
      <c r="E156" s="278">
        <f t="shared" si="136"/>
        <v>0</v>
      </c>
      <c r="F156" s="278" t="str">
        <f t="shared" si="162"/>
        <v xml:space="preserve"> </v>
      </c>
      <c r="G156" s="256"/>
      <c r="H156" s="256"/>
      <c r="I156" s="256"/>
      <c r="J156" s="256"/>
      <c r="K156" s="256"/>
      <c r="L156" s="257"/>
      <c r="M156" s="243"/>
      <c r="N156" s="232"/>
      <c r="O156" s="232"/>
      <c r="P156" s="265" t="str">
        <f>IFERROR(VLOOKUP(O156,Références!$K$11:$N$19,2)," ")</f>
        <v xml:space="preserve"> </v>
      </c>
      <c r="Q156" s="265" t="str">
        <f>IFERROR(VLOOKUP(O156,Références!$K$11:$N$19,3)," ")</f>
        <v xml:space="preserve"> </v>
      </c>
      <c r="R156" s="265" t="str">
        <f>IFERROR(VLOOKUP(O156,Références!$K$11:$N$19,4)," ")</f>
        <v xml:space="preserve"> </v>
      </c>
      <c r="S156" s="256"/>
      <c r="T156" s="256"/>
      <c r="U156" s="256"/>
      <c r="V156" s="256"/>
      <c r="W156" s="256"/>
      <c r="X156" s="257"/>
      <c r="Y156" s="256"/>
      <c r="Z156" s="256"/>
      <c r="AA156" s="256"/>
      <c r="AB156" s="235"/>
      <c r="AC156" s="235"/>
      <c r="AD156" s="235"/>
      <c r="AE156" s="235"/>
      <c r="AF156" s="235"/>
      <c r="AG156" s="235"/>
      <c r="AH156" s="235"/>
      <c r="AI156" s="235">
        <f t="shared" si="175"/>
        <v>0</v>
      </c>
      <c r="AJ156" s="257"/>
      <c r="AK156" s="256">
        <f t="shared" si="176"/>
        <v>0</v>
      </c>
      <c r="AL156" s="257"/>
      <c r="AM156" s="266">
        <f t="shared" si="177"/>
        <v>0</v>
      </c>
      <c r="AN156" s="256"/>
      <c r="AO156" s="276"/>
      <c r="AP156" s="261" t="str">
        <f t="shared" si="163"/>
        <v xml:space="preserve"> </v>
      </c>
      <c r="AQ156" s="256"/>
      <c r="AR156" s="295"/>
      <c r="AS156" s="295"/>
      <c r="AT156" s="263"/>
      <c r="AU156" s="277"/>
      <c r="AV156" s="263"/>
      <c r="AW156" s="230"/>
      <c r="AX156" s="300"/>
      <c r="AY156" s="301"/>
      <c r="AZ156" s="230"/>
      <c r="BA156" s="300" t="s">
        <v>234</v>
      </c>
      <c r="BB156" s="295"/>
      <c r="BC156" s="228">
        <f t="shared" si="178"/>
        <v>0</v>
      </c>
      <c r="BD156" s="228">
        <f t="shared" si="179"/>
        <v>0</v>
      </c>
      <c r="BE156" s="228">
        <f t="shared" si="155"/>
        <v>1</v>
      </c>
      <c r="BF156" s="228" t="str">
        <f t="shared" si="164"/>
        <v>ALIVE</v>
      </c>
      <c r="BG156" s="208" t="str">
        <f t="shared" si="156"/>
        <v>Aucune</v>
      </c>
      <c r="BH156" s="208" t="str">
        <f t="shared" si="157"/>
        <v>Aucune</v>
      </c>
      <c r="BI156" s="208" t="str">
        <f t="shared" si="158"/>
        <v>Aucune</v>
      </c>
      <c r="BJ156" s="208" t="str">
        <f t="shared" si="151"/>
        <v>NON</v>
      </c>
      <c r="BK156" s="208" t="str">
        <f t="shared" si="159"/>
        <v>NON</v>
      </c>
      <c r="BL156" s="208" t="str">
        <f t="shared" si="152"/>
        <v>Inconnu</v>
      </c>
      <c r="BM156" s="208" t="str">
        <f t="shared" si="180"/>
        <v>Inconnu</v>
      </c>
      <c r="BN156" s="208" t="str">
        <f t="shared" si="181"/>
        <v>Inconnu</v>
      </c>
      <c r="BO156" s="208" t="str">
        <f t="shared" si="153"/>
        <v>Inconnu</v>
      </c>
      <c r="BP156" s="208" t="str">
        <f t="shared" si="182"/>
        <v>Inconnu</v>
      </c>
      <c r="BQ156" s="208" t="str">
        <f t="shared" si="183"/>
        <v>Inconnu</v>
      </c>
      <c r="BR156" s="208" t="str">
        <f t="shared" si="184"/>
        <v>Aucune</v>
      </c>
      <c r="BS156" s="208">
        <f t="shared" ref="BS156:BS187" si="186">AF156+AH156</f>
        <v>0</v>
      </c>
      <c r="BT156" s="229" t="e">
        <f>VLOOKUP($I156,Lieu_Activité!$A:$B,2,FALSE)</f>
        <v>#N/A</v>
      </c>
      <c r="BU156" s="208" t="str">
        <f t="shared" si="160"/>
        <v>Aucun</v>
      </c>
      <c r="BV156" s="208" t="str">
        <f t="shared" si="161"/>
        <v>Aucun</v>
      </c>
      <c r="BW156" s="207" t="str">
        <f t="shared" si="185"/>
        <v>NON</v>
      </c>
      <c r="BX156" s="288"/>
    </row>
    <row r="157" spans="1:76" ht="12.75" customHeight="1" x14ac:dyDescent="0.25">
      <c r="A157" s="231" t="s">
        <v>253</v>
      </c>
      <c r="B157" s="234"/>
      <c r="C157" s="227"/>
      <c r="D157" s="257"/>
      <c r="E157" s="278">
        <f t="shared" ref="E157:E162" si="187">(L157-D157)/365</f>
        <v>0</v>
      </c>
      <c r="F157" s="278" t="str">
        <f t="shared" si="162"/>
        <v xml:space="preserve"> </v>
      </c>
      <c r="G157" s="256"/>
      <c r="H157" s="256"/>
      <c r="I157" s="256"/>
      <c r="J157" s="256"/>
      <c r="K157" s="256"/>
      <c r="L157" s="257"/>
      <c r="M157" s="243"/>
      <c r="N157" s="232"/>
      <c r="O157" s="265"/>
      <c r="P157" s="265" t="str">
        <f>IFERROR(VLOOKUP(O157,Références!$K$11:$N$19,2)," ")</f>
        <v xml:space="preserve"> </v>
      </c>
      <c r="Q157" s="265" t="str">
        <f>IFERROR(VLOOKUP(O157,Références!$K$11:$N$19,3)," ")</f>
        <v xml:space="preserve"> </v>
      </c>
      <c r="R157" s="265" t="str">
        <f>IFERROR(VLOOKUP(O157,Références!$K$11:$N$19,4)," ")</f>
        <v xml:space="preserve"> </v>
      </c>
      <c r="S157" s="256"/>
      <c r="T157" s="256"/>
      <c r="U157" s="256"/>
      <c r="V157" s="256"/>
      <c r="W157" s="256"/>
      <c r="X157" s="257"/>
      <c r="Y157" s="256"/>
      <c r="Z157" s="256"/>
      <c r="AA157" s="256"/>
      <c r="AB157" s="235"/>
      <c r="AC157" s="235"/>
      <c r="AD157" s="235"/>
      <c r="AE157" s="235"/>
      <c r="AF157" s="235"/>
      <c r="AG157" s="235"/>
      <c r="AH157" s="235"/>
      <c r="AI157" s="235">
        <f t="shared" si="175"/>
        <v>0</v>
      </c>
      <c r="AJ157" s="257"/>
      <c r="AK157" s="256">
        <f t="shared" si="176"/>
        <v>0</v>
      </c>
      <c r="AL157" s="257"/>
      <c r="AM157" s="266">
        <f t="shared" si="177"/>
        <v>0</v>
      </c>
      <c r="AN157" s="256"/>
      <c r="AO157" s="276"/>
      <c r="AP157" s="261" t="str">
        <f t="shared" si="163"/>
        <v xml:space="preserve"> </v>
      </c>
      <c r="AQ157" s="256"/>
      <c r="AR157" s="295"/>
      <c r="AS157" s="295"/>
      <c r="AT157" s="263"/>
      <c r="AU157" s="277"/>
      <c r="AV157" s="263"/>
      <c r="AW157" s="230"/>
      <c r="AX157" s="300"/>
      <c r="AY157" s="301"/>
      <c r="AZ157" s="230"/>
      <c r="BA157" s="300" t="s">
        <v>234</v>
      </c>
      <c r="BB157" s="295"/>
      <c r="BC157" s="228">
        <f t="shared" si="178"/>
        <v>0</v>
      </c>
      <c r="BD157" s="228">
        <f t="shared" si="179"/>
        <v>0</v>
      </c>
      <c r="BE157" s="228">
        <f t="shared" si="155"/>
        <v>1</v>
      </c>
      <c r="BF157" s="228" t="str">
        <f t="shared" si="164"/>
        <v>ALIVE</v>
      </c>
      <c r="BG157" s="208" t="str">
        <f t="shared" si="156"/>
        <v>Aucune</v>
      </c>
      <c r="BH157" s="208" t="str">
        <f t="shared" si="157"/>
        <v>Aucune</v>
      </c>
      <c r="BI157" s="208" t="str">
        <f t="shared" si="158"/>
        <v>Aucune</v>
      </c>
      <c r="BJ157" s="208" t="str">
        <f t="shared" si="151"/>
        <v>NON</v>
      </c>
      <c r="BK157" s="208" t="str">
        <f t="shared" si="159"/>
        <v>NON</v>
      </c>
      <c r="BL157" s="208" t="str">
        <f t="shared" si="152"/>
        <v>Inconnu</v>
      </c>
      <c r="BM157" s="208" t="str">
        <f t="shared" si="180"/>
        <v>Inconnu</v>
      </c>
      <c r="BN157" s="208" t="str">
        <f t="shared" si="181"/>
        <v>Inconnu</v>
      </c>
      <c r="BO157" s="208" t="str">
        <f t="shared" si="153"/>
        <v>Inconnu</v>
      </c>
      <c r="BP157" s="208" t="str">
        <f t="shared" si="182"/>
        <v>Inconnu</v>
      </c>
      <c r="BQ157" s="208" t="str">
        <f t="shared" si="183"/>
        <v>Inconnu</v>
      </c>
      <c r="BR157" s="208" t="str">
        <f t="shared" si="184"/>
        <v>Aucune</v>
      </c>
      <c r="BS157" s="208">
        <f t="shared" si="186"/>
        <v>0</v>
      </c>
      <c r="BT157" s="229" t="e">
        <f>VLOOKUP($I157,Lieu_Activité!$A:$B,2,FALSE)</f>
        <v>#N/A</v>
      </c>
      <c r="BU157" s="208" t="str">
        <f t="shared" si="160"/>
        <v>Aucun</v>
      </c>
      <c r="BV157" s="208" t="str">
        <f t="shared" si="161"/>
        <v>Aucun</v>
      </c>
      <c r="BW157" s="207" t="str">
        <f t="shared" si="185"/>
        <v>NON</v>
      </c>
      <c r="BX157" s="288"/>
    </row>
    <row r="158" spans="1:76" ht="12" customHeight="1" x14ac:dyDescent="0.25">
      <c r="A158" s="231" t="s">
        <v>253</v>
      </c>
      <c r="B158" s="268"/>
      <c r="C158" s="227"/>
      <c r="D158" s="257"/>
      <c r="E158" s="278">
        <f t="shared" si="187"/>
        <v>0</v>
      </c>
      <c r="F158" s="278" t="str">
        <f t="shared" si="162"/>
        <v xml:space="preserve"> </v>
      </c>
      <c r="G158" s="256"/>
      <c r="H158" s="256"/>
      <c r="I158" s="256"/>
      <c r="J158" s="256"/>
      <c r="K158" s="256"/>
      <c r="L158" s="257"/>
      <c r="M158" s="243"/>
      <c r="N158" s="232"/>
      <c r="O158" s="232"/>
      <c r="P158" s="265" t="str">
        <f>IFERROR(VLOOKUP(O158,Références!$K$11:$N$19,2)," ")</f>
        <v xml:space="preserve"> </v>
      </c>
      <c r="Q158" s="265" t="str">
        <f>IFERROR(VLOOKUP(O158,Références!$K$11:$N$19,3)," ")</f>
        <v xml:space="preserve"> </v>
      </c>
      <c r="R158" s="265" t="str">
        <f>IFERROR(VLOOKUP(O158,Références!$K$11:$N$19,4)," ")</f>
        <v xml:space="preserve"> </v>
      </c>
      <c r="S158" s="256"/>
      <c r="T158" s="256"/>
      <c r="U158" s="256"/>
      <c r="V158" s="256"/>
      <c r="W158" s="256"/>
      <c r="X158" s="257"/>
      <c r="Y158" s="256"/>
      <c r="Z158" s="256"/>
      <c r="AA158" s="256"/>
      <c r="AB158" s="235"/>
      <c r="AC158" s="235"/>
      <c r="AD158" s="235"/>
      <c r="AE158" s="235"/>
      <c r="AF158" s="235"/>
      <c r="AG158" s="235"/>
      <c r="AH158" s="235"/>
      <c r="AI158" s="235">
        <f t="shared" si="175"/>
        <v>0</v>
      </c>
      <c r="AJ158" s="257"/>
      <c r="AK158" s="256">
        <f t="shared" si="176"/>
        <v>0</v>
      </c>
      <c r="AL158" s="257"/>
      <c r="AM158" s="266">
        <f t="shared" si="177"/>
        <v>0</v>
      </c>
      <c r="AN158" s="256"/>
      <c r="AO158" s="276"/>
      <c r="AP158" s="261" t="str">
        <f t="shared" si="163"/>
        <v xml:space="preserve"> </v>
      </c>
      <c r="AQ158" s="256"/>
      <c r="AR158" s="295"/>
      <c r="AS158" s="295"/>
      <c r="AT158" s="263"/>
      <c r="AU158" s="277"/>
      <c r="AV158" s="263"/>
      <c r="AW158" s="230"/>
      <c r="AX158" s="300"/>
      <c r="AY158" s="301"/>
      <c r="AZ158" s="230"/>
      <c r="BA158" s="302" t="s">
        <v>246</v>
      </c>
      <c r="BB158" s="301"/>
      <c r="BC158" s="228">
        <f t="shared" si="178"/>
        <v>0</v>
      </c>
      <c r="BD158" s="228">
        <f t="shared" si="179"/>
        <v>0</v>
      </c>
      <c r="BE158" s="228">
        <f t="shared" si="155"/>
        <v>1</v>
      </c>
      <c r="BF158" s="228" t="str">
        <f t="shared" si="164"/>
        <v>ALIVE</v>
      </c>
      <c r="BG158" s="208" t="str">
        <f t="shared" si="156"/>
        <v>Aucune</v>
      </c>
      <c r="BH158" s="208" t="str">
        <f t="shared" si="157"/>
        <v>Aucune</v>
      </c>
      <c r="BI158" s="208" t="str">
        <f t="shared" si="158"/>
        <v>Aucune</v>
      </c>
      <c r="BJ158" s="208" t="str">
        <f t="shared" si="151"/>
        <v>NON</v>
      </c>
      <c r="BK158" s="208" t="str">
        <f t="shared" si="159"/>
        <v>NON</v>
      </c>
      <c r="BL158" s="208" t="str">
        <f t="shared" si="152"/>
        <v>Inconnu</v>
      </c>
      <c r="BM158" s="208" t="str">
        <f t="shared" si="180"/>
        <v>Inconnu</v>
      </c>
      <c r="BN158" s="208" t="str">
        <f t="shared" si="181"/>
        <v>Inconnu</v>
      </c>
      <c r="BO158" s="208" t="str">
        <f t="shared" si="153"/>
        <v>Inconnu</v>
      </c>
      <c r="BP158" s="208" t="str">
        <f t="shared" si="182"/>
        <v>Inconnu</v>
      </c>
      <c r="BQ158" s="208" t="str">
        <f t="shared" si="183"/>
        <v>Inconnu</v>
      </c>
      <c r="BR158" s="208" t="str">
        <f t="shared" si="184"/>
        <v>Aucune</v>
      </c>
      <c r="BS158" s="208">
        <f t="shared" si="186"/>
        <v>0</v>
      </c>
      <c r="BT158" s="229" t="e">
        <f>VLOOKUP($I158,Lieu_Activité!$A:$B,2,FALSE)</f>
        <v>#N/A</v>
      </c>
      <c r="BU158" s="208" t="str">
        <f t="shared" si="160"/>
        <v>Aucun</v>
      </c>
      <c r="BV158" s="208" t="str">
        <f t="shared" si="161"/>
        <v>Aucun</v>
      </c>
      <c r="BW158" s="207" t="str">
        <f t="shared" si="185"/>
        <v>NON</v>
      </c>
      <c r="BX158" s="288"/>
    </row>
    <row r="159" spans="1:76" ht="12" customHeight="1" x14ac:dyDescent="0.25">
      <c r="A159" s="231" t="s">
        <v>253</v>
      </c>
      <c r="B159" s="234"/>
      <c r="C159" s="227"/>
      <c r="D159" s="257"/>
      <c r="E159" s="278">
        <f t="shared" si="187"/>
        <v>0</v>
      </c>
      <c r="F159" s="278" t="str">
        <f t="shared" si="162"/>
        <v xml:space="preserve"> </v>
      </c>
      <c r="G159" s="256"/>
      <c r="H159" s="256"/>
      <c r="I159" s="256"/>
      <c r="J159" s="256"/>
      <c r="K159" s="256"/>
      <c r="L159" s="257"/>
      <c r="M159" s="243"/>
      <c r="N159" s="232"/>
      <c r="O159" s="232"/>
      <c r="P159" s="265" t="str">
        <f>IFERROR(VLOOKUP(O159,Références!$K$11:$N$19,2)," ")</f>
        <v xml:space="preserve"> </v>
      </c>
      <c r="Q159" s="265" t="str">
        <f>IFERROR(VLOOKUP(O159,Références!$K$11:$N$19,3)," ")</f>
        <v xml:space="preserve"> </v>
      </c>
      <c r="R159" s="265" t="str">
        <f>IFERROR(VLOOKUP(O159,Références!$K$11:$N$19,4)," ")</f>
        <v xml:space="preserve"> </v>
      </c>
      <c r="S159" s="256"/>
      <c r="T159" s="256"/>
      <c r="U159" s="256"/>
      <c r="V159" s="256"/>
      <c r="W159" s="256"/>
      <c r="X159" s="257"/>
      <c r="Y159" s="256"/>
      <c r="Z159" s="256"/>
      <c r="AA159" s="256"/>
      <c r="AB159" s="235"/>
      <c r="AC159" s="235"/>
      <c r="AD159" s="235"/>
      <c r="AE159" s="235"/>
      <c r="AF159" s="235"/>
      <c r="AG159" s="235"/>
      <c r="AH159" s="235"/>
      <c r="AI159" s="235">
        <f t="shared" si="175"/>
        <v>0</v>
      </c>
      <c r="AJ159" s="257"/>
      <c r="AK159" s="256">
        <f t="shared" si="176"/>
        <v>0</v>
      </c>
      <c r="AL159" s="257"/>
      <c r="AM159" s="266">
        <f t="shared" si="177"/>
        <v>0</v>
      </c>
      <c r="AN159" s="256"/>
      <c r="AO159" s="276"/>
      <c r="AP159" s="261" t="str">
        <f t="shared" si="163"/>
        <v xml:space="preserve"> </v>
      </c>
      <c r="AQ159" s="256"/>
      <c r="AR159" s="295"/>
      <c r="AS159" s="295"/>
      <c r="AT159" s="263"/>
      <c r="AU159" s="277"/>
      <c r="AV159" s="263"/>
      <c r="AW159" s="230"/>
      <c r="AX159" s="300"/>
      <c r="AY159" s="301"/>
      <c r="AZ159" s="230"/>
      <c r="BA159" s="300" t="s">
        <v>234</v>
      </c>
      <c r="BB159" s="295"/>
      <c r="BC159" s="228">
        <f t="shared" si="178"/>
        <v>0</v>
      </c>
      <c r="BD159" s="228">
        <f t="shared" si="179"/>
        <v>0</v>
      </c>
      <c r="BE159" s="228">
        <f t="shared" si="155"/>
        <v>1</v>
      </c>
      <c r="BF159" s="228" t="str">
        <f t="shared" si="164"/>
        <v>ALIVE</v>
      </c>
      <c r="BG159" s="208" t="str">
        <f t="shared" si="156"/>
        <v>Aucune</v>
      </c>
      <c r="BH159" s="208" t="str">
        <f t="shared" si="157"/>
        <v>Aucune</v>
      </c>
      <c r="BI159" s="208" t="str">
        <f t="shared" si="158"/>
        <v>Aucune</v>
      </c>
      <c r="BJ159" s="208" t="str">
        <f t="shared" ref="BJ159:BJ190" si="188">IF(X159&lt;&gt;"",IF(X159-L159&lt;2,"OUI","NON"),"NON")</f>
        <v>NON</v>
      </c>
      <c r="BK159" s="208" t="str">
        <f t="shared" si="159"/>
        <v>NON</v>
      </c>
      <c r="BL159" s="208" t="str">
        <f t="shared" ref="BL159:BL190" si="189">IF(AL159-L159&gt;0,AL159-L159,"Inconnu")</f>
        <v>Inconnu</v>
      </c>
      <c r="BM159" s="208" t="str">
        <f t="shared" si="180"/>
        <v>Inconnu</v>
      </c>
      <c r="BN159" s="208" t="str">
        <f t="shared" si="181"/>
        <v>Inconnu</v>
      </c>
      <c r="BO159" s="208" t="str">
        <f t="shared" ref="BO159:BO190" si="190">IF(AJ159-L159&gt;0,AJ159-L159,"Inconnu")</f>
        <v>Inconnu</v>
      </c>
      <c r="BP159" s="208" t="str">
        <f t="shared" si="182"/>
        <v>Inconnu</v>
      </c>
      <c r="BQ159" s="208" t="str">
        <f t="shared" si="183"/>
        <v>Inconnu</v>
      </c>
      <c r="BR159" s="208" t="str">
        <f t="shared" si="184"/>
        <v>Aucune</v>
      </c>
      <c r="BS159" s="208">
        <f t="shared" si="186"/>
        <v>0</v>
      </c>
      <c r="BT159" s="229" t="e">
        <f>VLOOKUP($I159,Lieu_Activité!$A:$B,2,FALSE)</f>
        <v>#N/A</v>
      </c>
      <c r="BU159" s="208" t="str">
        <f t="shared" si="160"/>
        <v>Aucun</v>
      </c>
      <c r="BV159" s="208" t="str">
        <f t="shared" si="161"/>
        <v>Aucun</v>
      </c>
      <c r="BW159" s="207" t="str">
        <f t="shared" si="185"/>
        <v>NON</v>
      </c>
      <c r="BX159" s="288"/>
    </row>
    <row r="160" spans="1:76" ht="12" customHeight="1" x14ac:dyDescent="0.25">
      <c r="A160" s="231" t="s">
        <v>253</v>
      </c>
      <c r="B160" s="234"/>
      <c r="C160" s="227"/>
      <c r="D160" s="257"/>
      <c r="E160" s="278">
        <f t="shared" si="187"/>
        <v>0</v>
      </c>
      <c r="F160" s="278" t="str">
        <f t="shared" si="162"/>
        <v xml:space="preserve"> </v>
      </c>
      <c r="G160" s="256"/>
      <c r="H160" s="256"/>
      <c r="I160" s="256"/>
      <c r="J160" s="256"/>
      <c r="K160" s="256"/>
      <c r="L160" s="257"/>
      <c r="M160" s="243"/>
      <c r="N160" s="232"/>
      <c r="O160" s="232"/>
      <c r="P160" s="265" t="str">
        <f>IFERROR(VLOOKUP(O160,Références!$K$11:$N$19,2)," ")</f>
        <v xml:space="preserve"> </v>
      </c>
      <c r="Q160" s="265" t="str">
        <f>IFERROR(VLOOKUP(O160,Références!$K$11:$N$19,3)," ")</f>
        <v xml:space="preserve"> </v>
      </c>
      <c r="R160" s="265" t="str">
        <f>IFERROR(VLOOKUP(O160,Références!$K$11:$N$19,4)," ")</f>
        <v xml:space="preserve"> </v>
      </c>
      <c r="S160" s="256"/>
      <c r="T160" s="256"/>
      <c r="U160" s="256"/>
      <c r="V160" s="256"/>
      <c r="W160" s="256"/>
      <c r="X160" s="257"/>
      <c r="Y160" s="256"/>
      <c r="Z160" s="256"/>
      <c r="AA160" s="256"/>
      <c r="AB160" s="235"/>
      <c r="AC160" s="235"/>
      <c r="AD160" s="235"/>
      <c r="AE160" s="235"/>
      <c r="AF160" s="235"/>
      <c r="AG160" s="235"/>
      <c r="AH160" s="235"/>
      <c r="AI160" s="235">
        <f t="shared" si="175"/>
        <v>0</v>
      </c>
      <c r="AJ160" s="257"/>
      <c r="AK160" s="256">
        <f t="shared" si="176"/>
        <v>0</v>
      </c>
      <c r="AL160" s="257"/>
      <c r="AM160" s="266">
        <f t="shared" si="177"/>
        <v>0</v>
      </c>
      <c r="AN160" s="256"/>
      <c r="AO160" s="276"/>
      <c r="AP160" s="261" t="str">
        <f t="shared" si="163"/>
        <v xml:space="preserve"> </v>
      </c>
      <c r="AQ160" s="256"/>
      <c r="AR160" s="295"/>
      <c r="AS160" s="295"/>
      <c r="AT160" s="263"/>
      <c r="AU160" s="277"/>
      <c r="AV160" s="263"/>
      <c r="AW160" s="230"/>
      <c r="AX160" s="300"/>
      <c r="AY160" s="301"/>
      <c r="AZ160" s="230"/>
      <c r="BA160" s="300" t="s">
        <v>234</v>
      </c>
      <c r="BB160" s="295"/>
      <c r="BC160" s="228">
        <f t="shared" si="178"/>
        <v>0</v>
      </c>
      <c r="BD160" s="228">
        <f t="shared" si="179"/>
        <v>0</v>
      </c>
      <c r="BE160" s="228">
        <f t="shared" si="155"/>
        <v>1</v>
      </c>
      <c r="BF160" s="228" t="str">
        <f t="shared" si="164"/>
        <v>ALIVE</v>
      </c>
      <c r="BG160" s="208" t="str">
        <f t="shared" si="156"/>
        <v>Aucune</v>
      </c>
      <c r="BH160" s="208" t="str">
        <f t="shared" si="157"/>
        <v>Aucune</v>
      </c>
      <c r="BI160" s="208" t="str">
        <f t="shared" si="158"/>
        <v>Aucune</v>
      </c>
      <c r="BJ160" s="208" t="str">
        <f t="shared" si="188"/>
        <v>NON</v>
      </c>
      <c r="BK160" s="208" t="str">
        <f t="shared" si="159"/>
        <v>NON</v>
      </c>
      <c r="BL160" s="208" t="str">
        <f t="shared" si="189"/>
        <v>Inconnu</v>
      </c>
      <c r="BM160" s="208" t="str">
        <f t="shared" si="180"/>
        <v>Inconnu</v>
      </c>
      <c r="BN160" s="208" t="str">
        <f t="shared" si="181"/>
        <v>Inconnu</v>
      </c>
      <c r="BO160" s="208" t="str">
        <f t="shared" si="190"/>
        <v>Inconnu</v>
      </c>
      <c r="BP160" s="208" t="str">
        <f t="shared" si="182"/>
        <v>Inconnu</v>
      </c>
      <c r="BQ160" s="208" t="str">
        <f t="shared" si="183"/>
        <v>Inconnu</v>
      </c>
      <c r="BR160" s="208" t="str">
        <f t="shared" si="184"/>
        <v>Aucune</v>
      </c>
      <c r="BS160" s="208">
        <f t="shared" si="186"/>
        <v>0</v>
      </c>
      <c r="BT160" s="229" t="e">
        <f>VLOOKUP($I160,Lieu_Activité!$A:$B,2,FALSE)</f>
        <v>#N/A</v>
      </c>
      <c r="BU160" s="208" t="str">
        <f t="shared" si="160"/>
        <v>Aucun</v>
      </c>
      <c r="BV160" s="208" t="str">
        <f t="shared" si="161"/>
        <v>Aucun</v>
      </c>
      <c r="BW160" s="207" t="str">
        <f t="shared" si="185"/>
        <v>NON</v>
      </c>
      <c r="BX160" s="288"/>
    </row>
    <row r="161" spans="1:76" ht="12" customHeight="1" x14ac:dyDescent="0.25">
      <c r="A161" s="231" t="s">
        <v>253</v>
      </c>
      <c r="B161" s="234"/>
      <c r="C161" s="227"/>
      <c r="D161" s="257"/>
      <c r="E161" s="278">
        <f t="shared" si="187"/>
        <v>0</v>
      </c>
      <c r="F161" s="278" t="str">
        <f t="shared" si="162"/>
        <v xml:space="preserve"> </v>
      </c>
      <c r="G161" s="256"/>
      <c r="H161" s="256"/>
      <c r="I161" s="256"/>
      <c r="J161" s="256"/>
      <c r="K161" s="256"/>
      <c r="L161" s="257"/>
      <c r="M161" s="243"/>
      <c r="N161" s="232"/>
      <c r="O161" s="232"/>
      <c r="P161" s="265" t="str">
        <f>IFERROR(VLOOKUP(O161,Références!$K$11:$N$19,2)," ")</f>
        <v xml:space="preserve"> </v>
      </c>
      <c r="Q161" s="265" t="str">
        <f>IFERROR(VLOOKUP(O161,Références!$K$11:$N$19,3)," ")</f>
        <v xml:space="preserve"> </v>
      </c>
      <c r="R161" s="265" t="str">
        <f>IFERROR(VLOOKUP(O161,Références!$K$11:$N$19,4)," ")</f>
        <v xml:space="preserve"> </v>
      </c>
      <c r="S161" s="256"/>
      <c r="T161" s="256"/>
      <c r="U161" s="256"/>
      <c r="V161" s="256"/>
      <c r="W161" s="256"/>
      <c r="X161" s="257"/>
      <c r="Y161" s="256"/>
      <c r="Z161" s="256"/>
      <c r="AA161" s="256"/>
      <c r="AB161" s="235"/>
      <c r="AC161" s="235"/>
      <c r="AD161" s="235"/>
      <c r="AE161" s="235"/>
      <c r="AF161" s="235"/>
      <c r="AG161" s="235"/>
      <c r="AH161" s="235"/>
      <c r="AI161" s="235">
        <f>SUM(AF161,AH161)</f>
        <v>0</v>
      </c>
      <c r="AJ161" s="257"/>
      <c r="AK161" s="256">
        <f>(AJ161-L161)</f>
        <v>0</v>
      </c>
      <c r="AL161" s="257"/>
      <c r="AM161" s="266">
        <f>(AL161-L161)</f>
        <v>0</v>
      </c>
      <c r="AN161" s="256"/>
      <c r="AO161" s="276"/>
      <c r="AP161" s="261" t="str">
        <f t="shared" si="163"/>
        <v xml:space="preserve"> </v>
      </c>
      <c r="AQ161" s="256"/>
      <c r="AR161" s="295"/>
      <c r="AS161" s="295"/>
      <c r="AT161" s="263"/>
      <c r="AU161" s="277"/>
      <c r="AV161" s="263"/>
      <c r="AW161" s="230"/>
      <c r="AX161" s="300"/>
      <c r="AY161" s="301"/>
      <c r="AZ161" s="230"/>
      <c r="BA161" s="300" t="s">
        <v>234</v>
      </c>
      <c r="BB161" s="295"/>
      <c r="BC161" s="228">
        <f>IF(BG161="Aucune",0,1)</f>
        <v>0</v>
      </c>
      <c r="BD161" s="228">
        <f>IF(BH161="Aucune",0,1)</f>
        <v>0</v>
      </c>
      <c r="BE161" s="228">
        <f t="shared" si="155"/>
        <v>1</v>
      </c>
      <c r="BF161" s="228" t="str">
        <f t="shared" si="164"/>
        <v>ALIVE</v>
      </c>
      <c r="BG161" s="208" t="str">
        <f t="shared" si="156"/>
        <v>Aucune</v>
      </c>
      <c r="BH161" s="208" t="str">
        <f t="shared" si="157"/>
        <v>Aucune</v>
      </c>
      <c r="BI161" s="208" t="str">
        <f t="shared" si="158"/>
        <v>Aucune</v>
      </c>
      <c r="BJ161" s="208" t="str">
        <f t="shared" si="188"/>
        <v>NON</v>
      </c>
      <c r="BK161" s="208" t="str">
        <f t="shared" si="159"/>
        <v>NON</v>
      </c>
      <c r="BL161" s="208" t="str">
        <f t="shared" si="189"/>
        <v>Inconnu</v>
      </c>
      <c r="BM161" s="208" t="str">
        <f>IF($O161&lt;&gt;"HTX",IF($O161&lt;&gt;"LVAD",BL161,"Inconnu"),"Inconnu")</f>
        <v>Inconnu</v>
      </c>
      <c r="BN161" s="208" t="str">
        <f>IF($O161="HTX",BL161,IF($O161="LVAD",BL161,"Inconnu"))</f>
        <v>Inconnu</v>
      </c>
      <c r="BO161" s="208" t="str">
        <f t="shared" si="190"/>
        <v>Inconnu</v>
      </c>
      <c r="BP161" s="208" t="str">
        <f>IF($O161&lt;&gt;"HTX",IF($O161&lt;&gt;"LVAD",BO161,"Inconnu"),"Inconnu")</f>
        <v>Inconnu</v>
      </c>
      <c r="BQ161" s="208" t="str">
        <f>IF($O161="HTX",BO161,IF($O161="LVAD",BO161,"Inconnu"))</f>
        <v>Inconnu</v>
      </c>
      <c r="BR161" s="208" t="str">
        <f>IF(BH161="Aucune",IF(BI161="Aucune","Aucune","Transfusé"),"Transfusé")</f>
        <v>Aucune</v>
      </c>
      <c r="BS161" s="208">
        <f t="shared" si="186"/>
        <v>0</v>
      </c>
      <c r="BT161" s="229" t="e">
        <f>VLOOKUP($I161,Lieu_Activité!$A:$B,2,FALSE)</f>
        <v>#N/A</v>
      </c>
      <c r="BU161" s="208" t="str">
        <f t="shared" si="160"/>
        <v>Aucun</v>
      </c>
      <c r="BV161" s="208" t="str">
        <f t="shared" si="161"/>
        <v>Aucun</v>
      </c>
      <c r="BW161" s="207" t="str">
        <f t="shared" si="185"/>
        <v>NON</v>
      </c>
      <c r="BX161" s="288"/>
    </row>
    <row r="162" spans="1:76" ht="12" customHeight="1" x14ac:dyDescent="0.25">
      <c r="A162" s="231" t="s">
        <v>253</v>
      </c>
      <c r="B162" s="234"/>
      <c r="C162" s="227"/>
      <c r="D162" s="257"/>
      <c r="E162" s="278">
        <f t="shared" si="187"/>
        <v>0</v>
      </c>
      <c r="F162" s="278" t="str">
        <f t="shared" si="162"/>
        <v xml:space="preserve"> </v>
      </c>
      <c r="G162" s="256"/>
      <c r="H162" s="256"/>
      <c r="I162" s="256"/>
      <c r="J162" s="256"/>
      <c r="K162" s="256"/>
      <c r="L162" s="257"/>
      <c r="M162" s="243"/>
      <c r="N162" s="232"/>
      <c r="O162" s="232"/>
      <c r="P162" s="265" t="str">
        <f>IFERROR(VLOOKUP(O162,Références!$K$11:$N$19,2)," ")</f>
        <v xml:space="preserve"> </v>
      </c>
      <c r="Q162" s="265" t="str">
        <f>IFERROR(VLOOKUP(O162,Références!$K$11:$N$19,3)," ")</f>
        <v xml:space="preserve"> </v>
      </c>
      <c r="R162" s="265" t="str">
        <f>IFERROR(VLOOKUP(O162,Références!$K$11:$N$19,4)," ")</f>
        <v xml:space="preserve"> </v>
      </c>
      <c r="S162" s="256"/>
      <c r="T162" s="256"/>
      <c r="U162" s="256"/>
      <c r="V162" s="256"/>
      <c r="W162" s="256"/>
      <c r="X162" s="257"/>
      <c r="Y162" s="256"/>
      <c r="Z162" s="256"/>
      <c r="AA162" s="256"/>
      <c r="AB162" s="235"/>
      <c r="AC162" s="235"/>
      <c r="AD162" s="235"/>
      <c r="AE162" s="235"/>
      <c r="AF162" s="235"/>
      <c r="AG162" s="235"/>
      <c r="AH162" s="235"/>
      <c r="AI162" s="235">
        <f>SUM(AF162,AH162)</f>
        <v>0</v>
      </c>
      <c r="AJ162" s="257"/>
      <c r="AK162" s="256">
        <f>(AJ162-L162)</f>
        <v>0</v>
      </c>
      <c r="AL162" s="257"/>
      <c r="AM162" s="266">
        <f>(AL162-L162)</f>
        <v>0</v>
      </c>
      <c r="AN162" s="256"/>
      <c r="AO162" s="276"/>
      <c r="AP162" s="261" t="str">
        <f t="shared" si="163"/>
        <v xml:space="preserve"> </v>
      </c>
      <c r="AQ162" s="256"/>
      <c r="AR162" s="295"/>
      <c r="AS162" s="295"/>
      <c r="AT162" s="263"/>
      <c r="AU162" s="277"/>
      <c r="AV162" s="263"/>
      <c r="AW162" s="230"/>
      <c r="AX162" s="300"/>
      <c r="AY162" s="301"/>
      <c r="AZ162" s="230"/>
      <c r="BA162" s="300" t="s">
        <v>234</v>
      </c>
      <c r="BB162" s="295"/>
      <c r="BC162" s="228">
        <f>IF(BG162="Aucune",0,1)</f>
        <v>0</v>
      </c>
      <c r="BD162" s="228">
        <f>IF(BH162="Aucune",0,1)</f>
        <v>0</v>
      </c>
      <c r="BE162" s="228">
        <f t="shared" si="155"/>
        <v>1</v>
      </c>
      <c r="BF162" s="228" t="str">
        <f t="shared" si="164"/>
        <v>ALIVE</v>
      </c>
      <c r="BG162" s="208" t="str">
        <f t="shared" si="156"/>
        <v>Aucune</v>
      </c>
      <c r="BH162" s="208" t="str">
        <f t="shared" si="157"/>
        <v>Aucune</v>
      </c>
      <c r="BI162" s="208" t="str">
        <f t="shared" si="158"/>
        <v>Aucune</v>
      </c>
      <c r="BJ162" s="208" t="str">
        <f t="shared" si="188"/>
        <v>NON</v>
      </c>
      <c r="BK162" s="208" t="str">
        <f t="shared" si="159"/>
        <v>NON</v>
      </c>
      <c r="BL162" s="208" t="str">
        <f t="shared" si="189"/>
        <v>Inconnu</v>
      </c>
      <c r="BM162" s="208" t="str">
        <f>IF($O162&lt;&gt;"HTX",IF($O162&lt;&gt;"LVAD",BL162,"Inconnu"),"Inconnu")</f>
        <v>Inconnu</v>
      </c>
      <c r="BN162" s="208" t="str">
        <f>IF($O162="HTX",BL162,IF($O162="LVAD",BL162,"Inconnu"))</f>
        <v>Inconnu</v>
      </c>
      <c r="BO162" s="208" t="str">
        <f t="shared" si="190"/>
        <v>Inconnu</v>
      </c>
      <c r="BP162" s="208" t="str">
        <f>IF($O162&lt;&gt;"HTX",IF($O162&lt;&gt;"LVAD",BO162,"Inconnu"),"Inconnu")</f>
        <v>Inconnu</v>
      </c>
      <c r="BQ162" s="208" t="str">
        <f>IF($O162="HTX",BO162,IF($O162="LVAD",BO162,"Inconnu"))</f>
        <v>Inconnu</v>
      </c>
      <c r="BR162" s="208" t="str">
        <f>IF(BH162="Aucune",IF(BI162="Aucune","Aucune","Transfusé"),"Transfusé")</f>
        <v>Aucune</v>
      </c>
      <c r="BS162" s="208">
        <f t="shared" si="186"/>
        <v>0</v>
      </c>
      <c r="BT162" s="229" t="e">
        <f>VLOOKUP($I162,Lieu_Activité!$A:$B,2,FALSE)</f>
        <v>#N/A</v>
      </c>
      <c r="BU162" s="208" t="str">
        <f t="shared" si="160"/>
        <v>Aucun</v>
      </c>
      <c r="BV162" s="208" t="str">
        <f t="shared" si="161"/>
        <v>Aucun</v>
      </c>
      <c r="BW162" s="207" t="str">
        <f t="shared" si="185"/>
        <v>NON</v>
      </c>
      <c r="BX162" s="288"/>
    </row>
    <row r="163" spans="1:76" ht="12" customHeight="1" x14ac:dyDescent="0.25">
      <c r="A163" s="231" t="s">
        <v>253</v>
      </c>
      <c r="B163" s="234"/>
      <c r="C163" s="227"/>
      <c r="D163" s="257"/>
      <c r="E163" s="278">
        <f t="shared" ref="E163:E168" si="191">(L163-D163)/365</f>
        <v>0</v>
      </c>
      <c r="F163" s="278" t="str">
        <f t="shared" si="162"/>
        <v xml:space="preserve"> </v>
      </c>
      <c r="G163" s="256"/>
      <c r="H163" s="256"/>
      <c r="I163" s="256"/>
      <c r="J163" s="256"/>
      <c r="K163" s="256"/>
      <c r="L163" s="257"/>
      <c r="M163" s="243"/>
      <c r="N163" s="232"/>
      <c r="O163" s="232"/>
      <c r="P163" s="265" t="str">
        <f>IFERROR(VLOOKUP(O163,Références!$K$11:$N$19,2)," ")</f>
        <v xml:space="preserve"> </v>
      </c>
      <c r="Q163" s="265" t="str">
        <f>IFERROR(VLOOKUP(O163,Références!$K$11:$N$19,3)," ")</f>
        <v xml:space="preserve"> </v>
      </c>
      <c r="R163" s="265" t="str">
        <f>IFERROR(VLOOKUP(O163,Références!$K$11:$N$19,4)," ")</f>
        <v xml:space="preserve"> </v>
      </c>
      <c r="S163" s="256"/>
      <c r="T163" s="256"/>
      <c r="U163" s="256"/>
      <c r="V163" s="256"/>
      <c r="W163" s="256"/>
      <c r="X163" s="257"/>
      <c r="Y163" s="256"/>
      <c r="Z163" s="256"/>
      <c r="AA163" s="256"/>
      <c r="AB163" s="235"/>
      <c r="AC163" s="235"/>
      <c r="AD163" s="235"/>
      <c r="AE163" s="235"/>
      <c r="AF163" s="235"/>
      <c r="AG163" s="235"/>
      <c r="AH163" s="235"/>
      <c r="AI163" s="235">
        <f t="shared" ref="AI163:AI168" si="192">SUM(AF163,AH163)</f>
        <v>0</v>
      </c>
      <c r="AJ163" s="257"/>
      <c r="AK163" s="256">
        <f t="shared" ref="AK163:AK168" si="193">(AJ163-L163)</f>
        <v>0</v>
      </c>
      <c r="AL163" s="257"/>
      <c r="AM163" s="266">
        <f t="shared" ref="AM163:AM168" si="194">(AL163-L163)</f>
        <v>0</v>
      </c>
      <c r="AN163" s="256"/>
      <c r="AO163" s="276"/>
      <c r="AP163" s="261" t="str">
        <f t="shared" si="163"/>
        <v xml:space="preserve"> </v>
      </c>
      <c r="AQ163" s="256"/>
      <c r="AR163" s="295"/>
      <c r="AS163" s="295"/>
      <c r="AT163" s="263"/>
      <c r="AU163" s="277"/>
      <c r="AV163" s="263"/>
      <c r="AW163" s="230"/>
      <c r="AX163" s="300"/>
      <c r="AY163" s="301"/>
      <c r="AZ163" s="230"/>
      <c r="BA163" s="300" t="s">
        <v>234</v>
      </c>
      <c r="BB163" s="295"/>
      <c r="BC163" s="228">
        <f t="shared" ref="BC163:BC168" si="195">IF(BG163="Aucune",0,1)</f>
        <v>0</v>
      </c>
      <c r="BD163" s="228">
        <f t="shared" ref="BD163:BD168" si="196">IF(BH163="Aucune",0,1)</f>
        <v>0</v>
      </c>
      <c r="BE163" s="228">
        <f t="shared" si="155"/>
        <v>1</v>
      </c>
      <c r="BF163" s="228" t="str">
        <f t="shared" si="164"/>
        <v>ALIVE</v>
      </c>
      <c r="BG163" s="208" t="str">
        <f t="shared" si="156"/>
        <v>Aucune</v>
      </c>
      <c r="BH163" s="208" t="str">
        <f t="shared" si="157"/>
        <v>Aucune</v>
      </c>
      <c r="BI163" s="208" t="str">
        <f t="shared" si="158"/>
        <v>Aucune</v>
      </c>
      <c r="BJ163" s="208" t="str">
        <f t="shared" si="188"/>
        <v>NON</v>
      </c>
      <c r="BK163" s="208" t="str">
        <f t="shared" si="159"/>
        <v>NON</v>
      </c>
      <c r="BL163" s="208" t="str">
        <f t="shared" si="189"/>
        <v>Inconnu</v>
      </c>
      <c r="BM163" s="208" t="str">
        <f t="shared" ref="BM163:BM168" si="197">IF($O163&lt;&gt;"HTX",IF($O163&lt;&gt;"LVAD",BL163,"Inconnu"),"Inconnu")</f>
        <v>Inconnu</v>
      </c>
      <c r="BN163" s="208" t="str">
        <f t="shared" ref="BN163:BN168" si="198">IF($O163="HTX",BL163,IF($O163="LVAD",BL163,"Inconnu"))</f>
        <v>Inconnu</v>
      </c>
      <c r="BO163" s="208" t="str">
        <f t="shared" si="190"/>
        <v>Inconnu</v>
      </c>
      <c r="BP163" s="208" t="str">
        <f t="shared" ref="BP163:BP168" si="199">IF($O163&lt;&gt;"HTX",IF($O163&lt;&gt;"LVAD",BO163,"Inconnu"),"Inconnu")</f>
        <v>Inconnu</v>
      </c>
      <c r="BQ163" s="208" t="str">
        <f t="shared" ref="BQ163:BQ168" si="200">IF($O163="HTX",BO163,IF($O163="LVAD",BO163,"Inconnu"))</f>
        <v>Inconnu</v>
      </c>
      <c r="BR163" s="208" t="str">
        <f t="shared" ref="BR163:BR168" si="201">IF(BH163="Aucune",IF(BI163="Aucune","Aucune","Transfusé"),"Transfusé")</f>
        <v>Aucune</v>
      </c>
      <c r="BS163" s="208">
        <f t="shared" si="186"/>
        <v>0</v>
      </c>
      <c r="BT163" s="229" t="e">
        <f>VLOOKUP($I163,Lieu_Activité!$A:$B,2,FALSE)</f>
        <v>#N/A</v>
      </c>
      <c r="BU163" s="208" t="str">
        <f t="shared" si="160"/>
        <v>Aucun</v>
      </c>
      <c r="BV163" s="208" t="str">
        <f t="shared" si="161"/>
        <v>Aucun</v>
      </c>
      <c r="BW163" s="207" t="str">
        <f t="shared" si="185"/>
        <v>NON</v>
      </c>
      <c r="BX163" s="288"/>
    </row>
    <row r="164" spans="1:76" ht="12" customHeight="1" x14ac:dyDescent="0.25">
      <c r="A164" s="231" t="s">
        <v>253</v>
      </c>
      <c r="B164" s="234"/>
      <c r="C164" s="227"/>
      <c r="D164" s="257"/>
      <c r="E164" s="278">
        <f t="shared" si="191"/>
        <v>0</v>
      </c>
      <c r="F164" s="278" t="str">
        <f t="shared" si="162"/>
        <v xml:space="preserve"> </v>
      </c>
      <c r="G164" s="256"/>
      <c r="H164" s="256"/>
      <c r="I164" s="256"/>
      <c r="J164" s="256"/>
      <c r="K164" s="256"/>
      <c r="L164" s="257"/>
      <c r="M164" s="243"/>
      <c r="N164" s="232"/>
      <c r="O164" s="232"/>
      <c r="P164" s="265" t="str">
        <f>IFERROR(VLOOKUP(O164,Références!$K$11:$N$19,2)," ")</f>
        <v xml:space="preserve"> </v>
      </c>
      <c r="Q164" s="265" t="str">
        <f>IFERROR(VLOOKUP(O164,Références!$K$11:$N$19,3)," ")</f>
        <v xml:space="preserve"> </v>
      </c>
      <c r="R164" s="265" t="str">
        <f>IFERROR(VLOOKUP(O164,Références!$K$11:$N$19,4)," ")</f>
        <v xml:space="preserve"> </v>
      </c>
      <c r="S164" s="256"/>
      <c r="T164" s="256"/>
      <c r="U164" s="256"/>
      <c r="V164" s="256"/>
      <c r="W164" s="256"/>
      <c r="X164" s="257"/>
      <c r="Y164" s="256"/>
      <c r="Z164" s="256"/>
      <c r="AA164" s="256"/>
      <c r="AB164" s="235"/>
      <c r="AC164" s="235"/>
      <c r="AD164" s="235"/>
      <c r="AE164" s="235"/>
      <c r="AF164" s="235"/>
      <c r="AG164" s="235"/>
      <c r="AH164" s="235"/>
      <c r="AI164" s="235">
        <f t="shared" si="192"/>
        <v>0</v>
      </c>
      <c r="AJ164" s="257"/>
      <c r="AK164" s="256">
        <f t="shared" si="193"/>
        <v>0</v>
      </c>
      <c r="AL164" s="257"/>
      <c r="AM164" s="266">
        <f t="shared" si="194"/>
        <v>0</v>
      </c>
      <c r="AN164" s="256"/>
      <c r="AO164" s="276"/>
      <c r="AP164" s="261" t="str">
        <f t="shared" si="163"/>
        <v xml:space="preserve"> </v>
      </c>
      <c r="AQ164" s="256"/>
      <c r="AR164" s="295"/>
      <c r="AS164" s="295"/>
      <c r="AT164" s="263"/>
      <c r="AU164" s="277"/>
      <c r="AV164" s="263"/>
      <c r="AW164" s="230"/>
      <c r="AX164" s="300"/>
      <c r="AY164" s="301"/>
      <c r="AZ164" s="230"/>
      <c r="BA164" s="300" t="s">
        <v>234</v>
      </c>
      <c r="BB164" s="295"/>
      <c r="BC164" s="228">
        <f t="shared" si="195"/>
        <v>0</v>
      </c>
      <c r="BD164" s="228">
        <f t="shared" si="196"/>
        <v>0</v>
      </c>
      <c r="BE164" s="228">
        <f t="shared" si="155"/>
        <v>1</v>
      </c>
      <c r="BF164" s="228" t="str">
        <f t="shared" si="164"/>
        <v>ALIVE</v>
      </c>
      <c r="BG164" s="208" t="str">
        <f t="shared" si="156"/>
        <v>Aucune</v>
      </c>
      <c r="BH164" s="208" t="str">
        <f t="shared" si="157"/>
        <v>Aucune</v>
      </c>
      <c r="BI164" s="208" t="str">
        <f t="shared" si="158"/>
        <v>Aucune</v>
      </c>
      <c r="BJ164" s="208" t="str">
        <f t="shared" si="188"/>
        <v>NON</v>
      </c>
      <c r="BK164" s="208" t="str">
        <f t="shared" si="159"/>
        <v>NON</v>
      </c>
      <c r="BL164" s="208" t="str">
        <f t="shared" si="189"/>
        <v>Inconnu</v>
      </c>
      <c r="BM164" s="208" t="str">
        <f t="shared" si="197"/>
        <v>Inconnu</v>
      </c>
      <c r="BN164" s="208" t="str">
        <f t="shared" si="198"/>
        <v>Inconnu</v>
      </c>
      <c r="BO164" s="208" t="str">
        <f t="shared" si="190"/>
        <v>Inconnu</v>
      </c>
      <c r="BP164" s="208" t="str">
        <f t="shared" si="199"/>
        <v>Inconnu</v>
      </c>
      <c r="BQ164" s="208" t="str">
        <f t="shared" si="200"/>
        <v>Inconnu</v>
      </c>
      <c r="BR164" s="208" t="str">
        <f t="shared" si="201"/>
        <v>Aucune</v>
      </c>
      <c r="BS164" s="208">
        <f t="shared" si="186"/>
        <v>0</v>
      </c>
      <c r="BT164" s="229" t="e">
        <f>VLOOKUP($I164,Lieu_Activité!$A:$B,2,FALSE)</f>
        <v>#N/A</v>
      </c>
      <c r="BU164" s="208" t="str">
        <f t="shared" si="160"/>
        <v>Aucun</v>
      </c>
      <c r="BV164" s="208" t="str">
        <f t="shared" si="161"/>
        <v>Aucun</v>
      </c>
      <c r="BW164" s="207" t="str">
        <f t="shared" si="185"/>
        <v>NON</v>
      </c>
      <c r="BX164" s="288"/>
    </row>
    <row r="165" spans="1:76" ht="12" customHeight="1" x14ac:dyDescent="0.25">
      <c r="A165" s="231" t="s">
        <v>253</v>
      </c>
      <c r="B165" s="234"/>
      <c r="C165" s="227"/>
      <c r="D165" s="257"/>
      <c r="E165" s="278">
        <f t="shared" si="191"/>
        <v>0</v>
      </c>
      <c r="F165" s="278" t="str">
        <f t="shared" si="162"/>
        <v xml:space="preserve"> </v>
      </c>
      <c r="G165" s="256"/>
      <c r="H165" s="256"/>
      <c r="I165" s="256"/>
      <c r="J165" s="256"/>
      <c r="K165" s="256"/>
      <c r="L165" s="257"/>
      <c r="M165" s="243"/>
      <c r="N165" s="232"/>
      <c r="O165" s="232"/>
      <c r="P165" s="265" t="str">
        <f>IFERROR(VLOOKUP(O165,Références!$K$11:$N$19,2)," ")</f>
        <v xml:space="preserve"> </v>
      </c>
      <c r="Q165" s="265" t="str">
        <f>IFERROR(VLOOKUP(O165,Références!$K$11:$N$19,3)," ")</f>
        <v xml:space="preserve"> </v>
      </c>
      <c r="R165" s="265" t="str">
        <f>IFERROR(VLOOKUP(O165,Références!$K$11:$N$19,4)," ")</f>
        <v xml:space="preserve"> </v>
      </c>
      <c r="S165" s="256"/>
      <c r="T165" s="256"/>
      <c r="U165" s="256"/>
      <c r="V165" s="256"/>
      <c r="W165" s="256"/>
      <c r="X165" s="257"/>
      <c r="Y165" s="256"/>
      <c r="Z165" s="256"/>
      <c r="AA165" s="256"/>
      <c r="AB165" s="235"/>
      <c r="AC165" s="235"/>
      <c r="AD165" s="235"/>
      <c r="AE165" s="235"/>
      <c r="AF165" s="235"/>
      <c r="AG165" s="235"/>
      <c r="AH165" s="235"/>
      <c r="AI165" s="235">
        <f t="shared" si="192"/>
        <v>0</v>
      </c>
      <c r="AJ165" s="257"/>
      <c r="AK165" s="256">
        <f t="shared" si="193"/>
        <v>0</v>
      </c>
      <c r="AL165" s="257"/>
      <c r="AM165" s="266">
        <f t="shared" si="194"/>
        <v>0</v>
      </c>
      <c r="AN165" s="256"/>
      <c r="AO165" s="276"/>
      <c r="AP165" s="261" t="str">
        <f t="shared" si="163"/>
        <v xml:space="preserve"> </v>
      </c>
      <c r="AQ165" s="256"/>
      <c r="AR165" s="295"/>
      <c r="AS165" s="295"/>
      <c r="AT165" s="263"/>
      <c r="AU165" s="277"/>
      <c r="AV165" s="263"/>
      <c r="AW165" s="230"/>
      <c r="AX165" s="300"/>
      <c r="AY165" s="301"/>
      <c r="AZ165" s="230"/>
      <c r="BA165" s="300" t="s">
        <v>234</v>
      </c>
      <c r="BB165" s="295"/>
      <c r="BC165" s="228">
        <f t="shared" si="195"/>
        <v>0</v>
      </c>
      <c r="BD165" s="228">
        <f t="shared" si="196"/>
        <v>0</v>
      </c>
      <c r="BE165" s="228">
        <f t="shared" si="155"/>
        <v>1</v>
      </c>
      <c r="BF165" s="228" t="str">
        <f t="shared" si="164"/>
        <v>ALIVE</v>
      </c>
      <c r="BG165" s="208" t="str">
        <f t="shared" si="156"/>
        <v>Aucune</v>
      </c>
      <c r="BH165" s="208" t="str">
        <f t="shared" si="157"/>
        <v>Aucune</v>
      </c>
      <c r="BI165" s="208" t="str">
        <f t="shared" si="158"/>
        <v>Aucune</v>
      </c>
      <c r="BJ165" s="208" t="str">
        <f t="shared" si="188"/>
        <v>NON</v>
      </c>
      <c r="BK165" s="208" t="str">
        <f t="shared" si="159"/>
        <v>NON</v>
      </c>
      <c r="BL165" s="208" t="str">
        <f t="shared" si="189"/>
        <v>Inconnu</v>
      </c>
      <c r="BM165" s="208" t="str">
        <f t="shared" si="197"/>
        <v>Inconnu</v>
      </c>
      <c r="BN165" s="208" t="str">
        <f t="shared" si="198"/>
        <v>Inconnu</v>
      </c>
      <c r="BO165" s="208" t="str">
        <f t="shared" si="190"/>
        <v>Inconnu</v>
      </c>
      <c r="BP165" s="208" t="str">
        <f t="shared" si="199"/>
        <v>Inconnu</v>
      </c>
      <c r="BQ165" s="208" t="str">
        <f t="shared" si="200"/>
        <v>Inconnu</v>
      </c>
      <c r="BR165" s="208" t="str">
        <f t="shared" si="201"/>
        <v>Aucune</v>
      </c>
      <c r="BS165" s="208">
        <f t="shared" si="186"/>
        <v>0</v>
      </c>
      <c r="BT165" s="229" t="e">
        <f>VLOOKUP($I165,Lieu_Activité!$A:$B,2,FALSE)</f>
        <v>#N/A</v>
      </c>
      <c r="BU165" s="208" t="str">
        <f t="shared" si="160"/>
        <v>Aucun</v>
      </c>
      <c r="BV165" s="208" t="str">
        <f t="shared" si="161"/>
        <v>Aucun</v>
      </c>
      <c r="BW165" s="207" t="str">
        <f t="shared" si="185"/>
        <v>NON</v>
      </c>
      <c r="BX165" s="288"/>
    </row>
    <row r="166" spans="1:76" ht="12" customHeight="1" x14ac:dyDescent="0.25">
      <c r="A166" s="231" t="s">
        <v>253</v>
      </c>
      <c r="B166" s="234"/>
      <c r="C166" s="227"/>
      <c r="D166" s="257"/>
      <c r="E166" s="278">
        <f t="shared" si="191"/>
        <v>0</v>
      </c>
      <c r="F166" s="278" t="str">
        <f t="shared" si="162"/>
        <v xml:space="preserve"> </v>
      </c>
      <c r="G166" s="256"/>
      <c r="H166" s="256"/>
      <c r="I166" s="256"/>
      <c r="J166" s="256"/>
      <c r="K166" s="256"/>
      <c r="L166" s="257"/>
      <c r="M166" s="243"/>
      <c r="N166" s="232"/>
      <c r="O166" s="232"/>
      <c r="P166" s="265" t="str">
        <f>IFERROR(VLOOKUP(O166,Références!$K$11:$N$19,2)," ")</f>
        <v xml:space="preserve"> </v>
      </c>
      <c r="Q166" s="265" t="str">
        <f>IFERROR(VLOOKUP(O166,Références!$K$11:$N$19,3)," ")</f>
        <v xml:space="preserve"> </v>
      </c>
      <c r="R166" s="265" t="str">
        <f>IFERROR(VLOOKUP(O166,Références!$K$11:$N$19,4)," ")</f>
        <v xml:space="preserve"> </v>
      </c>
      <c r="S166" s="256"/>
      <c r="T166" s="256"/>
      <c r="U166" s="256"/>
      <c r="V166" s="256"/>
      <c r="W166" s="256"/>
      <c r="X166" s="257"/>
      <c r="Y166" s="256"/>
      <c r="Z166" s="256"/>
      <c r="AA166" s="256"/>
      <c r="AB166" s="235"/>
      <c r="AC166" s="235"/>
      <c r="AD166" s="235"/>
      <c r="AE166" s="235"/>
      <c r="AF166" s="235"/>
      <c r="AG166" s="235"/>
      <c r="AH166" s="235"/>
      <c r="AI166" s="235">
        <f t="shared" si="192"/>
        <v>0</v>
      </c>
      <c r="AJ166" s="257"/>
      <c r="AK166" s="256">
        <f t="shared" si="193"/>
        <v>0</v>
      </c>
      <c r="AL166" s="257"/>
      <c r="AM166" s="266">
        <f t="shared" si="194"/>
        <v>0</v>
      </c>
      <c r="AN166" s="256"/>
      <c r="AO166" s="276"/>
      <c r="AP166" s="261" t="str">
        <f t="shared" si="163"/>
        <v xml:space="preserve"> </v>
      </c>
      <c r="AQ166" s="256"/>
      <c r="AR166" s="295"/>
      <c r="AS166" s="295"/>
      <c r="AT166" s="263"/>
      <c r="AU166" s="277"/>
      <c r="AV166" s="263"/>
      <c r="AW166" s="230"/>
      <c r="AX166" s="300"/>
      <c r="AY166" s="301"/>
      <c r="AZ166" s="230"/>
      <c r="BA166" s="300" t="s">
        <v>234</v>
      </c>
      <c r="BB166" s="295"/>
      <c r="BC166" s="228">
        <f t="shared" si="195"/>
        <v>0</v>
      </c>
      <c r="BD166" s="228">
        <f t="shared" si="196"/>
        <v>0</v>
      </c>
      <c r="BE166" s="228">
        <f t="shared" si="155"/>
        <v>1</v>
      </c>
      <c r="BF166" s="228" t="str">
        <f t="shared" si="164"/>
        <v>ALIVE</v>
      </c>
      <c r="BG166" s="208" t="str">
        <f t="shared" si="156"/>
        <v>Aucune</v>
      </c>
      <c r="BH166" s="208" t="str">
        <f t="shared" si="157"/>
        <v>Aucune</v>
      </c>
      <c r="BI166" s="208" t="str">
        <f t="shared" si="158"/>
        <v>Aucune</v>
      </c>
      <c r="BJ166" s="208" t="str">
        <f t="shared" si="188"/>
        <v>NON</v>
      </c>
      <c r="BK166" s="208" t="str">
        <f t="shared" si="159"/>
        <v>NON</v>
      </c>
      <c r="BL166" s="208" t="str">
        <f t="shared" si="189"/>
        <v>Inconnu</v>
      </c>
      <c r="BM166" s="208" t="str">
        <f t="shared" si="197"/>
        <v>Inconnu</v>
      </c>
      <c r="BN166" s="208" t="str">
        <f t="shared" si="198"/>
        <v>Inconnu</v>
      </c>
      <c r="BO166" s="208" t="str">
        <f t="shared" si="190"/>
        <v>Inconnu</v>
      </c>
      <c r="BP166" s="208" t="str">
        <f t="shared" si="199"/>
        <v>Inconnu</v>
      </c>
      <c r="BQ166" s="208" t="str">
        <f t="shared" si="200"/>
        <v>Inconnu</v>
      </c>
      <c r="BR166" s="208" t="str">
        <f t="shared" si="201"/>
        <v>Aucune</v>
      </c>
      <c r="BS166" s="208">
        <f t="shared" si="186"/>
        <v>0</v>
      </c>
      <c r="BT166" s="229" t="e">
        <f>VLOOKUP($I166,Lieu_Activité!$A:$B,2,FALSE)</f>
        <v>#N/A</v>
      </c>
      <c r="BU166" s="208" t="str">
        <f t="shared" si="160"/>
        <v>Aucun</v>
      </c>
      <c r="BV166" s="208" t="str">
        <f t="shared" si="161"/>
        <v>Aucun</v>
      </c>
      <c r="BW166" s="207" t="str">
        <f t="shared" si="185"/>
        <v>NON</v>
      </c>
      <c r="BX166" s="288"/>
    </row>
    <row r="167" spans="1:76" ht="12" customHeight="1" x14ac:dyDescent="0.25">
      <c r="A167" s="231" t="s">
        <v>253</v>
      </c>
      <c r="B167" s="234"/>
      <c r="C167" s="227"/>
      <c r="D167" s="257"/>
      <c r="E167" s="278">
        <f t="shared" si="191"/>
        <v>0</v>
      </c>
      <c r="F167" s="278" t="str">
        <f t="shared" si="162"/>
        <v xml:space="preserve"> </v>
      </c>
      <c r="G167" s="256"/>
      <c r="H167" s="256"/>
      <c r="I167" s="256"/>
      <c r="J167" s="256"/>
      <c r="K167" s="256"/>
      <c r="L167" s="257"/>
      <c r="M167" s="243"/>
      <c r="N167" s="232"/>
      <c r="O167" s="232"/>
      <c r="P167" s="265" t="str">
        <f>IFERROR(VLOOKUP(O167,Références!$K$11:$N$19,2)," ")</f>
        <v xml:space="preserve"> </v>
      </c>
      <c r="Q167" s="265" t="str">
        <f>IFERROR(VLOOKUP(O167,Références!$K$11:$N$19,3)," ")</f>
        <v xml:space="preserve"> </v>
      </c>
      <c r="R167" s="265" t="str">
        <f>IFERROR(VLOOKUP(O167,Références!$K$11:$N$19,4)," ")</f>
        <v xml:space="preserve"> </v>
      </c>
      <c r="S167" s="256"/>
      <c r="T167" s="256"/>
      <c r="U167" s="256"/>
      <c r="V167" s="256"/>
      <c r="W167" s="256"/>
      <c r="X167" s="257"/>
      <c r="Y167" s="256"/>
      <c r="Z167" s="256"/>
      <c r="AA167" s="256"/>
      <c r="AB167" s="235"/>
      <c r="AC167" s="235"/>
      <c r="AD167" s="235"/>
      <c r="AE167" s="235"/>
      <c r="AF167" s="235"/>
      <c r="AG167" s="235"/>
      <c r="AH167" s="235"/>
      <c r="AI167" s="235">
        <f t="shared" si="192"/>
        <v>0</v>
      </c>
      <c r="AJ167" s="257"/>
      <c r="AK167" s="256">
        <f t="shared" si="193"/>
        <v>0</v>
      </c>
      <c r="AL167" s="257"/>
      <c r="AM167" s="266">
        <f t="shared" si="194"/>
        <v>0</v>
      </c>
      <c r="AN167" s="256"/>
      <c r="AO167" s="276"/>
      <c r="AP167" s="261" t="str">
        <f t="shared" si="163"/>
        <v xml:space="preserve"> </v>
      </c>
      <c r="AQ167" s="256"/>
      <c r="AR167" s="295"/>
      <c r="AS167" s="295"/>
      <c r="AT167" s="263"/>
      <c r="AU167" s="277"/>
      <c r="AV167" s="263"/>
      <c r="AW167" s="230"/>
      <c r="AX167" s="300"/>
      <c r="AY167" s="301"/>
      <c r="AZ167" s="230"/>
      <c r="BA167" s="300" t="s">
        <v>234</v>
      </c>
      <c r="BB167" s="295"/>
      <c r="BC167" s="228">
        <f t="shared" si="195"/>
        <v>0</v>
      </c>
      <c r="BD167" s="228">
        <f t="shared" si="196"/>
        <v>0</v>
      </c>
      <c r="BE167" s="228">
        <f t="shared" si="155"/>
        <v>1</v>
      </c>
      <c r="BF167" s="228" t="str">
        <f t="shared" si="164"/>
        <v>ALIVE</v>
      </c>
      <c r="BG167" s="208" t="str">
        <f t="shared" si="156"/>
        <v>Aucune</v>
      </c>
      <c r="BH167" s="208" t="str">
        <f t="shared" si="157"/>
        <v>Aucune</v>
      </c>
      <c r="BI167" s="208" t="str">
        <f t="shared" si="158"/>
        <v>Aucune</v>
      </c>
      <c r="BJ167" s="208" t="str">
        <f t="shared" si="188"/>
        <v>NON</v>
      </c>
      <c r="BK167" s="208" t="str">
        <f t="shared" si="159"/>
        <v>NON</v>
      </c>
      <c r="BL167" s="208" t="str">
        <f t="shared" si="189"/>
        <v>Inconnu</v>
      </c>
      <c r="BM167" s="208" t="str">
        <f t="shared" si="197"/>
        <v>Inconnu</v>
      </c>
      <c r="BN167" s="208" t="str">
        <f t="shared" si="198"/>
        <v>Inconnu</v>
      </c>
      <c r="BO167" s="208" t="str">
        <f t="shared" si="190"/>
        <v>Inconnu</v>
      </c>
      <c r="BP167" s="208" t="str">
        <f t="shared" si="199"/>
        <v>Inconnu</v>
      </c>
      <c r="BQ167" s="208" t="str">
        <f t="shared" si="200"/>
        <v>Inconnu</v>
      </c>
      <c r="BR167" s="208" t="str">
        <f t="shared" si="201"/>
        <v>Aucune</v>
      </c>
      <c r="BS167" s="208">
        <f t="shared" si="186"/>
        <v>0</v>
      </c>
      <c r="BT167" s="229" t="e">
        <f>VLOOKUP($I167,Lieu_Activité!$A:$B,2,FALSE)</f>
        <v>#N/A</v>
      </c>
      <c r="BU167" s="208" t="str">
        <f t="shared" si="160"/>
        <v>Aucun</v>
      </c>
      <c r="BV167" s="208" t="str">
        <f t="shared" si="161"/>
        <v>Aucun</v>
      </c>
      <c r="BW167" s="207" t="str">
        <f t="shared" si="185"/>
        <v>NON</v>
      </c>
      <c r="BX167" s="288"/>
    </row>
    <row r="168" spans="1:76" ht="12" customHeight="1" x14ac:dyDescent="0.25">
      <c r="A168" s="231" t="s">
        <v>253</v>
      </c>
      <c r="B168" s="267"/>
      <c r="C168" s="227"/>
      <c r="D168" s="257"/>
      <c r="E168" s="278">
        <f t="shared" si="191"/>
        <v>0</v>
      </c>
      <c r="F168" s="278" t="str">
        <f t="shared" si="162"/>
        <v xml:space="preserve"> </v>
      </c>
      <c r="G168" s="256"/>
      <c r="H168" s="256"/>
      <c r="I168" s="256"/>
      <c r="J168" s="256"/>
      <c r="K168" s="256"/>
      <c r="L168" s="257"/>
      <c r="M168" s="243"/>
      <c r="N168" s="232"/>
      <c r="O168" s="232"/>
      <c r="P168" s="265" t="str">
        <f>IFERROR(VLOOKUP(O168,Références!$K$11:$N$19,2)," ")</f>
        <v xml:space="preserve"> </v>
      </c>
      <c r="Q168" s="265" t="str">
        <f>IFERROR(VLOOKUP(O168,Références!$K$11:$N$19,3)," ")</f>
        <v xml:space="preserve"> </v>
      </c>
      <c r="R168" s="265" t="str">
        <f>IFERROR(VLOOKUP(O168,Références!$K$11:$N$19,4)," ")</f>
        <v xml:space="preserve"> </v>
      </c>
      <c r="S168" s="256"/>
      <c r="T168" s="256"/>
      <c r="U168" s="256"/>
      <c r="V168" s="256"/>
      <c r="W168" s="256"/>
      <c r="X168" s="257"/>
      <c r="Y168" s="256"/>
      <c r="Z168" s="256"/>
      <c r="AA168" s="256"/>
      <c r="AB168" s="235"/>
      <c r="AC168" s="235"/>
      <c r="AD168" s="235"/>
      <c r="AE168" s="235"/>
      <c r="AF168" s="235"/>
      <c r="AG168" s="235"/>
      <c r="AH168" s="235"/>
      <c r="AI168" s="235">
        <f t="shared" si="192"/>
        <v>0</v>
      </c>
      <c r="AJ168" s="257"/>
      <c r="AK168" s="256">
        <f t="shared" si="193"/>
        <v>0</v>
      </c>
      <c r="AL168" s="257"/>
      <c r="AM168" s="266">
        <f t="shared" si="194"/>
        <v>0</v>
      </c>
      <c r="AN168" s="256"/>
      <c r="AO168" s="276"/>
      <c r="AP168" s="261" t="str">
        <f t="shared" si="163"/>
        <v xml:space="preserve"> </v>
      </c>
      <c r="AQ168" s="256"/>
      <c r="AR168" s="295"/>
      <c r="AS168" s="295"/>
      <c r="AT168" s="263"/>
      <c r="AU168" s="277"/>
      <c r="AV168" s="263"/>
      <c r="AW168" s="230"/>
      <c r="AX168" s="300"/>
      <c r="AY168" s="301"/>
      <c r="AZ168" s="230"/>
      <c r="BA168" s="300"/>
      <c r="BB168" s="295"/>
      <c r="BC168" s="228">
        <f t="shared" si="195"/>
        <v>0</v>
      </c>
      <c r="BD168" s="228">
        <f t="shared" si="196"/>
        <v>0</v>
      </c>
      <c r="BE168" s="228">
        <f t="shared" si="155"/>
        <v>1</v>
      </c>
      <c r="BF168" s="228" t="str">
        <f t="shared" si="164"/>
        <v>ALIVE</v>
      </c>
      <c r="BG168" s="208" t="str">
        <f t="shared" si="156"/>
        <v>Aucune</v>
      </c>
      <c r="BH168" s="208" t="str">
        <f t="shared" si="157"/>
        <v>Aucune</v>
      </c>
      <c r="BI168" s="208" t="str">
        <f t="shared" si="158"/>
        <v>Aucune</v>
      </c>
      <c r="BJ168" s="208" t="str">
        <f t="shared" si="188"/>
        <v>NON</v>
      </c>
      <c r="BK168" s="208" t="str">
        <f t="shared" si="159"/>
        <v>NON</v>
      </c>
      <c r="BL168" s="208" t="str">
        <f t="shared" si="189"/>
        <v>Inconnu</v>
      </c>
      <c r="BM168" s="208" t="str">
        <f t="shared" si="197"/>
        <v>Inconnu</v>
      </c>
      <c r="BN168" s="208" t="str">
        <f t="shared" si="198"/>
        <v>Inconnu</v>
      </c>
      <c r="BO168" s="208" t="str">
        <f t="shared" si="190"/>
        <v>Inconnu</v>
      </c>
      <c r="BP168" s="208" t="str">
        <f t="shared" si="199"/>
        <v>Inconnu</v>
      </c>
      <c r="BQ168" s="208" t="str">
        <f t="shared" si="200"/>
        <v>Inconnu</v>
      </c>
      <c r="BR168" s="208" t="str">
        <f t="shared" si="201"/>
        <v>Aucune</v>
      </c>
      <c r="BS168" s="208">
        <f t="shared" si="186"/>
        <v>0</v>
      </c>
      <c r="BT168" s="229" t="e">
        <f>VLOOKUP($I168,Lieu_Activité!$A:$B,2,FALSE)</f>
        <v>#N/A</v>
      </c>
      <c r="BU168" s="208" t="str">
        <f t="shared" si="160"/>
        <v>Aucun</v>
      </c>
      <c r="BV168" s="208" t="str">
        <f t="shared" si="161"/>
        <v>Aucun</v>
      </c>
      <c r="BW168" s="207" t="str">
        <f t="shared" si="185"/>
        <v>NON</v>
      </c>
      <c r="BX168" s="288"/>
    </row>
    <row r="169" spans="1:76" ht="12" customHeight="1" x14ac:dyDescent="0.25">
      <c r="A169" s="231" t="s">
        <v>253</v>
      </c>
      <c r="B169" s="234"/>
      <c r="C169" s="227"/>
      <c r="D169" s="257"/>
      <c r="E169" s="278">
        <f t="shared" ref="E169:E180" si="202">(L169-D169)/365</f>
        <v>0</v>
      </c>
      <c r="F169" s="278" t="str">
        <f t="shared" si="162"/>
        <v xml:space="preserve"> </v>
      </c>
      <c r="G169" s="256"/>
      <c r="H169" s="256"/>
      <c r="I169" s="256"/>
      <c r="J169" s="256"/>
      <c r="K169" s="256"/>
      <c r="L169" s="257"/>
      <c r="M169" s="243"/>
      <c r="N169" s="232"/>
      <c r="O169" s="232"/>
      <c r="P169" s="265" t="str">
        <f>IFERROR(VLOOKUP(O169,Références!$K$11:$N$19,2)," ")</f>
        <v xml:space="preserve"> </v>
      </c>
      <c r="Q169" s="265" t="str">
        <f>IFERROR(VLOOKUP(O169,Références!$K$11:$N$19,3)," ")</f>
        <v xml:space="preserve"> </v>
      </c>
      <c r="R169" s="265" t="str">
        <f>IFERROR(VLOOKUP(O169,Références!$K$11:$N$19,4)," ")</f>
        <v xml:space="preserve"> </v>
      </c>
      <c r="S169" s="256"/>
      <c r="T169" s="256"/>
      <c r="U169" s="256"/>
      <c r="V169" s="256"/>
      <c r="W169" s="256"/>
      <c r="X169" s="257"/>
      <c r="Y169" s="256"/>
      <c r="Z169" s="256"/>
      <c r="AA169" s="256"/>
      <c r="AB169" s="235"/>
      <c r="AC169" s="235"/>
      <c r="AD169" s="235"/>
      <c r="AE169" s="235"/>
      <c r="AF169" s="235"/>
      <c r="AG169" s="235"/>
      <c r="AH169" s="235"/>
      <c r="AI169" s="235">
        <f>SUM(AF169,AH169)</f>
        <v>0</v>
      </c>
      <c r="AJ169" s="257"/>
      <c r="AK169" s="256">
        <f>(AJ169-L169)</f>
        <v>0</v>
      </c>
      <c r="AL169" s="257"/>
      <c r="AM169" s="266">
        <f>(AL169-L169)</f>
        <v>0</v>
      </c>
      <c r="AN169" s="256"/>
      <c r="AO169" s="276"/>
      <c r="AP169" s="261" t="str">
        <f t="shared" si="163"/>
        <v xml:space="preserve"> </v>
      </c>
      <c r="AQ169" s="256"/>
      <c r="AR169" s="295"/>
      <c r="AS169" s="295"/>
      <c r="AT169" s="263"/>
      <c r="AU169" s="277"/>
      <c r="AV169" s="263"/>
      <c r="AW169" s="230"/>
      <c r="AX169" s="300"/>
      <c r="AY169" s="301"/>
      <c r="AZ169" s="230"/>
      <c r="BA169" s="300" t="s">
        <v>234</v>
      </c>
      <c r="BB169" s="295"/>
      <c r="BC169" s="228">
        <f>IF(BG169="Aucune",0,1)</f>
        <v>0</v>
      </c>
      <c r="BD169" s="228">
        <f>IF(BH169="Aucune",0,1)</f>
        <v>0</v>
      </c>
      <c r="BE169" s="228">
        <f t="shared" si="155"/>
        <v>1</v>
      </c>
      <c r="BF169" s="228" t="str">
        <f t="shared" si="164"/>
        <v>ALIVE</v>
      </c>
      <c r="BG169" s="208" t="str">
        <f t="shared" si="156"/>
        <v>Aucune</v>
      </c>
      <c r="BH169" s="208" t="str">
        <f t="shared" si="157"/>
        <v>Aucune</v>
      </c>
      <c r="BI169" s="208" t="str">
        <f t="shared" si="158"/>
        <v>Aucune</v>
      </c>
      <c r="BJ169" s="208" t="str">
        <f t="shared" si="188"/>
        <v>NON</v>
      </c>
      <c r="BK169" s="208" t="str">
        <f t="shared" si="159"/>
        <v>NON</v>
      </c>
      <c r="BL169" s="208" t="str">
        <f t="shared" si="189"/>
        <v>Inconnu</v>
      </c>
      <c r="BM169" s="208" t="str">
        <f>IF($O169&lt;&gt;"HTX",IF($O169&lt;&gt;"LVAD",BL169,"Inconnu"),"Inconnu")</f>
        <v>Inconnu</v>
      </c>
      <c r="BN169" s="208" t="str">
        <f>IF($O169="HTX",BL169,IF($O169="LVAD",BL169,"Inconnu"))</f>
        <v>Inconnu</v>
      </c>
      <c r="BO169" s="208" t="str">
        <f t="shared" si="190"/>
        <v>Inconnu</v>
      </c>
      <c r="BP169" s="208" t="str">
        <f>IF($O169&lt;&gt;"HTX",IF($O169&lt;&gt;"LVAD",BO169,"Inconnu"),"Inconnu")</f>
        <v>Inconnu</v>
      </c>
      <c r="BQ169" s="208" t="str">
        <f>IF($O169="HTX",BO169,IF($O169="LVAD",BO169,"Inconnu"))</f>
        <v>Inconnu</v>
      </c>
      <c r="BR169" s="208" t="str">
        <f>IF(BH169="Aucune",IF(BI169="Aucune","Aucune","Transfusé"),"Transfusé")</f>
        <v>Aucune</v>
      </c>
      <c r="BS169" s="208">
        <f t="shared" si="186"/>
        <v>0</v>
      </c>
      <c r="BT169" s="229" t="e">
        <f>VLOOKUP($I169,Lieu_Activité!$A:$B,2,FALSE)</f>
        <v>#N/A</v>
      </c>
      <c r="BU169" s="208" t="str">
        <f t="shared" si="160"/>
        <v>Aucun</v>
      </c>
      <c r="BV169" s="208" t="str">
        <f t="shared" si="161"/>
        <v>Aucun</v>
      </c>
      <c r="BW169" s="207" t="str">
        <f t="shared" si="185"/>
        <v>NON</v>
      </c>
      <c r="BX169" s="288"/>
    </row>
    <row r="170" spans="1:76" ht="12" customHeight="1" x14ac:dyDescent="0.25">
      <c r="A170" s="226" t="s">
        <v>254</v>
      </c>
      <c r="B170" s="234"/>
      <c r="C170" s="227"/>
      <c r="D170" s="257"/>
      <c r="E170" s="278">
        <f t="shared" si="202"/>
        <v>0</v>
      </c>
      <c r="F170" s="278" t="str">
        <f t="shared" si="162"/>
        <v xml:space="preserve"> </v>
      </c>
      <c r="G170" s="256"/>
      <c r="H170" s="256"/>
      <c r="I170" s="256"/>
      <c r="J170" s="256"/>
      <c r="K170" s="256"/>
      <c r="L170" s="257"/>
      <c r="M170" s="243"/>
      <c r="N170" s="232"/>
      <c r="O170" s="232"/>
      <c r="P170" s="265" t="str">
        <f>IFERROR(VLOOKUP(O170,Références!$K$11:$N$19,2)," ")</f>
        <v xml:space="preserve"> </v>
      </c>
      <c r="Q170" s="265" t="str">
        <f>IFERROR(VLOOKUP(O170,Références!$K$11:$N$19,3)," ")</f>
        <v xml:space="preserve"> </v>
      </c>
      <c r="R170" s="265" t="str">
        <f>IFERROR(VLOOKUP(O170,Références!$K$11:$N$19,4)," ")</f>
        <v xml:space="preserve"> </v>
      </c>
      <c r="S170" s="256"/>
      <c r="T170" s="256"/>
      <c r="U170" s="256"/>
      <c r="V170" s="256"/>
      <c r="W170" s="256"/>
      <c r="X170" s="257"/>
      <c r="Y170" s="256"/>
      <c r="Z170" s="256"/>
      <c r="AA170" s="256"/>
      <c r="AB170" s="235"/>
      <c r="AC170" s="235"/>
      <c r="AD170" s="235"/>
      <c r="AE170" s="235"/>
      <c r="AF170" s="235"/>
      <c r="AG170" s="235"/>
      <c r="AH170" s="235"/>
      <c r="AI170" s="235">
        <f>SUM(AF170,AH170)</f>
        <v>0</v>
      </c>
      <c r="AJ170" s="257"/>
      <c r="AK170" s="256">
        <f>(AJ170-L170)</f>
        <v>0</v>
      </c>
      <c r="AL170" s="257"/>
      <c r="AM170" s="266">
        <f>(AL170-L170)</f>
        <v>0</v>
      </c>
      <c r="AN170" s="256"/>
      <c r="AO170" s="276"/>
      <c r="AP170" s="261" t="str">
        <f t="shared" si="163"/>
        <v xml:space="preserve"> </v>
      </c>
      <c r="AQ170" s="256"/>
      <c r="AR170" s="295"/>
      <c r="AS170" s="295"/>
      <c r="AT170" s="263"/>
      <c r="AU170" s="277"/>
      <c r="AV170" s="263"/>
      <c r="AW170" s="230"/>
      <c r="AX170" s="300"/>
      <c r="AY170" s="301"/>
      <c r="AZ170" s="230"/>
      <c r="BA170" s="300" t="s">
        <v>234</v>
      </c>
      <c r="BB170" s="295"/>
      <c r="BC170" s="228">
        <f>IF(BG170="Aucune",0,1)</f>
        <v>0</v>
      </c>
      <c r="BD170" s="228">
        <f>IF(BH170="Aucune",0,1)</f>
        <v>0</v>
      </c>
      <c r="BE170" s="228">
        <f t="shared" si="155"/>
        <v>1</v>
      </c>
      <c r="BF170" s="228" t="str">
        <f t="shared" si="164"/>
        <v>ALIVE</v>
      </c>
      <c r="BG170" s="208" t="str">
        <f t="shared" si="156"/>
        <v>Aucune</v>
      </c>
      <c r="BH170" s="208" t="str">
        <f t="shared" si="157"/>
        <v>Aucune</v>
      </c>
      <c r="BI170" s="208" t="str">
        <f t="shared" si="158"/>
        <v>Aucune</v>
      </c>
      <c r="BJ170" s="208" t="str">
        <f t="shared" si="188"/>
        <v>NON</v>
      </c>
      <c r="BK170" s="208" t="str">
        <f t="shared" si="159"/>
        <v>NON</v>
      </c>
      <c r="BL170" s="208" t="str">
        <f t="shared" si="189"/>
        <v>Inconnu</v>
      </c>
      <c r="BM170" s="208" t="str">
        <f>IF($O170&lt;&gt;"HTX",IF($O170&lt;&gt;"LVAD",BL170,"Inconnu"),"Inconnu")</f>
        <v>Inconnu</v>
      </c>
      <c r="BN170" s="208" t="str">
        <f>IF($O170="HTX",BL170,IF($O170="LVAD",BL170,"Inconnu"))</f>
        <v>Inconnu</v>
      </c>
      <c r="BO170" s="208" t="str">
        <f t="shared" si="190"/>
        <v>Inconnu</v>
      </c>
      <c r="BP170" s="208" t="str">
        <f>IF($O170&lt;&gt;"HTX",IF($O170&lt;&gt;"LVAD",BO170,"Inconnu"),"Inconnu")</f>
        <v>Inconnu</v>
      </c>
      <c r="BQ170" s="208" t="str">
        <f>IF($O170="HTX",BO170,IF($O170="LVAD",BO170,"Inconnu"))</f>
        <v>Inconnu</v>
      </c>
      <c r="BR170" s="208" t="str">
        <f>IF(BH170="Aucune",IF(BI170="Aucune","Aucune","Transfusé"),"Transfusé")</f>
        <v>Aucune</v>
      </c>
      <c r="BS170" s="208">
        <f t="shared" si="186"/>
        <v>0</v>
      </c>
      <c r="BT170" s="229" t="e">
        <f>VLOOKUP($I170,Lieu_Activité!$A:$B,2,FALSE)</f>
        <v>#N/A</v>
      </c>
      <c r="BU170" s="208" t="str">
        <f t="shared" si="160"/>
        <v>Aucun</v>
      </c>
      <c r="BV170" s="208" t="str">
        <f t="shared" si="161"/>
        <v>Aucun</v>
      </c>
      <c r="BW170" s="207" t="str">
        <f t="shared" si="185"/>
        <v>NON</v>
      </c>
      <c r="BX170" s="288"/>
    </row>
    <row r="171" spans="1:76" ht="12" customHeight="1" x14ac:dyDescent="0.25">
      <c r="A171" s="226" t="s">
        <v>254</v>
      </c>
      <c r="B171" s="234"/>
      <c r="C171" s="227"/>
      <c r="D171" s="257"/>
      <c r="E171" s="278">
        <f t="shared" si="202"/>
        <v>0</v>
      </c>
      <c r="F171" s="278" t="str">
        <f t="shared" si="162"/>
        <v xml:space="preserve"> </v>
      </c>
      <c r="G171" s="256"/>
      <c r="H171" s="256"/>
      <c r="I171" s="256"/>
      <c r="J171" s="256"/>
      <c r="K171" s="256"/>
      <c r="L171" s="257"/>
      <c r="M171" s="243"/>
      <c r="N171" s="232"/>
      <c r="O171" s="232"/>
      <c r="P171" s="265" t="str">
        <f>IFERROR(VLOOKUP(O171,Références!$K$11:$N$19,2)," ")</f>
        <v xml:space="preserve"> </v>
      </c>
      <c r="Q171" s="265" t="str">
        <f>IFERROR(VLOOKUP(O171,Références!$K$11:$N$19,3)," ")</f>
        <v xml:space="preserve"> </v>
      </c>
      <c r="R171" s="265" t="str">
        <f>IFERROR(VLOOKUP(O171,Références!$K$11:$N$19,4)," ")</f>
        <v xml:space="preserve"> </v>
      </c>
      <c r="S171" s="256"/>
      <c r="T171" s="256"/>
      <c r="U171" s="256"/>
      <c r="V171" s="256"/>
      <c r="W171" s="256"/>
      <c r="X171" s="257"/>
      <c r="Y171" s="256"/>
      <c r="Z171" s="256"/>
      <c r="AA171" s="256"/>
      <c r="AB171" s="235"/>
      <c r="AC171" s="235"/>
      <c r="AD171" s="235"/>
      <c r="AE171" s="235"/>
      <c r="AF171" s="235"/>
      <c r="AG171" s="235"/>
      <c r="AH171" s="235"/>
      <c r="AI171" s="235">
        <f t="shared" si="175"/>
        <v>0</v>
      </c>
      <c r="AJ171" s="257"/>
      <c r="AK171" s="256">
        <f t="shared" si="176"/>
        <v>0</v>
      </c>
      <c r="AL171" s="257"/>
      <c r="AM171" s="266">
        <f t="shared" si="177"/>
        <v>0</v>
      </c>
      <c r="AN171" s="256"/>
      <c r="AO171" s="276"/>
      <c r="AP171" s="261" t="str">
        <f t="shared" si="163"/>
        <v xml:space="preserve"> </v>
      </c>
      <c r="AQ171" s="256"/>
      <c r="AR171" s="295"/>
      <c r="AS171" s="295"/>
      <c r="AT171" s="263"/>
      <c r="AU171" s="277"/>
      <c r="AV171" s="263"/>
      <c r="AW171" s="230"/>
      <c r="AX171" s="300"/>
      <c r="AY171" s="301"/>
      <c r="AZ171" s="230"/>
      <c r="BA171" s="300" t="s">
        <v>234</v>
      </c>
      <c r="BB171" s="301"/>
      <c r="BC171" s="228">
        <f t="shared" si="178"/>
        <v>0</v>
      </c>
      <c r="BD171" s="228">
        <f t="shared" si="179"/>
        <v>0</v>
      </c>
      <c r="BE171" s="228">
        <f t="shared" si="155"/>
        <v>1</v>
      </c>
      <c r="BF171" s="228" t="str">
        <f t="shared" si="164"/>
        <v>ALIVE</v>
      </c>
      <c r="BG171" s="208" t="str">
        <f t="shared" si="156"/>
        <v>Aucune</v>
      </c>
      <c r="BH171" s="208" t="str">
        <f t="shared" si="157"/>
        <v>Aucune</v>
      </c>
      <c r="BI171" s="208" t="str">
        <f t="shared" si="158"/>
        <v>Aucune</v>
      </c>
      <c r="BJ171" s="208" t="str">
        <f t="shared" si="188"/>
        <v>NON</v>
      </c>
      <c r="BK171" s="208" t="str">
        <f t="shared" si="159"/>
        <v>NON</v>
      </c>
      <c r="BL171" s="208" t="str">
        <f t="shared" si="189"/>
        <v>Inconnu</v>
      </c>
      <c r="BM171" s="208" t="str">
        <f t="shared" si="180"/>
        <v>Inconnu</v>
      </c>
      <c r="BN171" s="208" t="str">
        <f t="shared" si="181"/>
        <v>Inconnu</v>
      </c>
      <c r="BO171" s="208" t="str">
        <f t="shared" si="190"/>
        <v>Inconnu</v>
      </c>
      <c r="BP171" s="208" t="str">
        <f t="shared" si="182"/>
        <v>Inconnu</v>
      </c>
      <c r="BQ171" s="208" t="str">
        <f t="shared" si="183"/>
        <v>Inconnu</v>
      </c>
      <c r="BR171" s="208" t="str">
        <f t="shared" si="184"/>
        <v>Aucune</v>
      </c>
      <c r="BS171" s="208">
        <f t="shared" si="186"/>
        <v>0</v>
      </c>
      <c r="BT171" s="229" t="e">
        <f>VLOOKUP($I171,Lieu_Activité!$A:$B,2,FALSE)</f>
        <v>#N/A</v>
      </c>
      <c r="BU171" s="208" t="str">
        <f t="shared" si="160"/>
        <v>Aucun</v>
      </c>
      <c r="BV171" s="208" t="str">
        <f t="shared" si="161"/>
        <v>Aucun</v>
      </c>
      <c r="BW171" s="207" t="str">
        <f t="shared" si="185"/>
        <v>NON</v>
      </c>
      <c r="BX171" s="288"/>
    </row>
    <row r="172" spans="1:76" ht="12" customHeight="1" x14ac:dyDescent="0.25">
      <c r="A172" s="226" t="s">
        <v>254</v>
      </c>
      <c r="B172" s="234"/>
      <c r="C172" s="227"/>
      <c r="D172" s="257"/>
      <c r="E172" s="278">
        <f t="shared" si="202"/>
        <v>0</v>
      </c>
      <c r="F172" s="278" t="str">
        <f t="shared" si="162"/>
        <v xml:space="preserve"> </v>
      </c>
      <c r="G172" s="256"/>
      <c r="H172" s="256"/>
      <c r="I172" s="256"/>
      <c r="J172" s="256"/>
      <c r="K172" s="256"/>
      <c r="L172" s="257"/>
      <c r="M172" s="243"/>
      <c r="N172" s="232"/>
      <c r="O172" s="232"/>
      <c r="P172" s="265" t="str">
        <f>IFERROR(VLOOKUP(O172,Références!$K$11:$N$19,2)," ")</f>
        <v xml:space="preserve"> </v>
      </c>
      <c r="Q172" s="265" t="str">
        <f>IFERROR(VLOOKUP(O172,Références!$K$11:$N$19,3)," ")</f>
        <v xml:space="preserve"> </v>
      </c>
      <c r="R172" s="265" t="str">
        <f>IFERROR(VLOOKUP(O172,Références!$K$11:$N$19,4)," ")</f>
        <v xml:space="preserve"> </v>
      </c>
      <c r="S172" s="256"/>
      <c r="T172" s="256"/>
      <c r="U172" s="256"/>
      <c r="V172" s="256"/>
      <c r="W172" s="256"/>
      <c r="X172" s="257"/>
      <c r="Y172" s="256"/>
      <c r="Z172" s="256"/>
      <c r="AA172" s="256"/>
      <c r="AB172" s="235"/>
      <c r="AC172" s="235"/>
      <c r="AD172" s="235"/>
      <c r="AE172" s="235"/>
      <c r="AF172" s="235"/>
      <c r="AG172" s="235"/>
      <c r="AH172" s="235"/>
      <c r="AI172" s="235">
        <f t="shared" si="175"/>
        <v>0</v>
      </c>
      <c r="AJ172" s="257"/>
      <c r="AK172" s="256">
        <f t="shared" si="176"/>
        <v>0</v>
      </c>
      <c r="AL172" s="257"/>
      <c r="AM172" s="266">
        <f t="shared" si="177"/>
        <v>0</v>
      </c>
      <c r="AN172" s="256"/>
      <c r="AO172" s="276"/>
      <c r="AP172" s="261" t="str">
        <f t="shared" si="163"/>
        <v xml:space="preserve"> </v>
      </c>
      <c r="AQ172" s="256"/>
      <c r="AR172" s="297"/>
      <c r="AS172" s="295"/>
      <c r="AT172" s="263"/>
      <c r="AU172" s="277"/>
      <c r="AV172" s="263"/>
      <c r="AW172" s="230"/>
      <c r="AX172" s="300"/>
      <c r="AY172" s="301"/>
      <c r="AZ172" s="230"/>
      <c r="BA172" s="300" t="s">
        <v>234</v>
      </c>
      <c r="BB172" s="295"/>
      <c r="BC172" s="228">
        <f t="shared" si="178"/>
        <v>0</v>
      </c>
      <c r="BD172" s="228">
        <f t="shared" si="179"/>
        <v>0</v>
      </c>
      <c r="BE172" s="228">
        <f t="shared" si="155"/>
        <v>1</v>
      </c>
      <c r="BF172" s="228" t="str">
        <f t="shared" si="164"/>
        <v>ALIVE</v>
      </c>
      <c r="BG172" s="208" t="str">
        <f t="shared" si="156"/>
        <v>Aucune</v>
      </c>
      <c r="BH172" s="208" t="str">
        <f t="shared" si="157"/>
        <v>Aucune</v>
      </c>
      <c r="BI172" s="208" t="str">
        <f t="shared" si="158"/>
        <v>Aucune</v>
      </c>
      <c r="BJ172" s="208" t="str">
        <f t="shared" si="188"/>
        <v>NON</v>
      </c>
      <c r="BK172" s="208" t="str">
        <f t="shared" si="159"/>
        <v>NON</v>
      </c>
      <c r="BL172" s="208" t="str">
        <f t="shared" si="189"/>
        <v>Inconnu</v>
      </c>
      <c r="BM172" s="208" t="str">
        <f t="shared" si="180"/>
        <v>Inconnu</v>
      </c>
      <c r="BN172" s="208" t="str">
        <f t="shared" si="181"/>
        <v>Inconnu</v>
      </c>
      <c r="BO172" s="208" t="str">
        <f t="shared" si="190"/>
        <v>Inconnu</v>
      </c>
      <c r="BP172" s="208" t="str">
        <f t="shared" si="182"/>
        <v>Inconnu</v>
      </c>
      <c r="BQ172" s="208" t="str">
        <f t="shared" si="183"/>
        <v>Inconnu</v>
      </c>
      <c r="BR172" s="208" t="str">
        <f t="shared" si="184"/>
        <v>Aucune</v>
      </c>
      <c r="BS172" s="208">
        <f t="shared" si="186"/>
        <v>0</v>
      </c>
      <c r="BT172" s="229" t="e">
        <f>VLOOKUP($I172,Lieu_Activité!$A:$B,2,FALSE)</f>
        <v>#N/A</v>
      </c>
      <c r="BU172" s="208" t="str">
        <f t="shared" si="160"/>
        <v>Aucun</v>
      </c>
      <c r="BV172" s="208" t="str">
        <f t="shared" si="161"/>
        <v>Aucun</v>
      </c>
      <c r="BW172" s="207" t="str">
        <f t="shared" si="185"/>
        <v>NON</v>
      </c>
      <c r="BX172" s="288"/>
    </row>
    <row r="173" spans="1:76" ht="12" customHeight="1" x14ac:dyDescent="0.25">
      <c r="A173" s="226" t="s">
        <v>254</v>
      </c>
      <c r="B173" s="234"/>
      <c r="C173" s="227"/>
      <c r="D173" s="257"/>
      <c r="E173" s="278">
        <f t="shared" si="202"/>
        <v>0</v>
      </c>
      <c r="F173" s="278" t="str">
        <f t="shared" si="162"/>
        <v xml:space="preserve"> </v>
      </c>
      <c r="G173" s="256"/>
      <c r="H173" s="256"/>
      <c r="I173" s="256"/>
      <c r="J173" s="256"/>
      <c r="K173" s="256"/>
      <c r="L173" s="257"/>
      <c r="M173" s="243"/>
      <c r="N173" s="232"/>
      <c r="O173" s="232"/>
      <c r="P173" s="265" t="str">
        <f>IFERROR(VLOOKUP(O173,Références!$K$11:$N$19,2)," ")</f>
        <v xml:space="preserve"> </v>
      </c>
      <c r="Q173" s="265" t="str">
        <f>IFERROR(VLOOKUP(O173,Références!$K$11:$N$19,3)," ")</f>
        <v xml:space="preserve"> </v>
      </c>
      <c r="R173" s="265" t="str">
        <f>IFERROR(VLOOKUP(O173,Références!$K$11:$N$19,4)," ")</f>
        <v xml:space="preserve"> </v>
      </c>
      <c r="S173" s="256"/>
      <c r="T173" s="256"/>
      <c r="U173" s="256"/>
      <c r="V173" s="256"/>
      <c r="W173" s="256"/>
      <c r="X173" s="257"/>
      <c r="Y173" s="256"/>
      <c r="Z173" s="256"/>
      <c r="AA173" s="256"/>
      <c r="AB173" s="235"/>
      <c r="AC173" s="235"/>
      <c r="AD173" s="235"/>
      <c r="AE173" s="235"/>
      <c r="AF173" s="235"/>
      <c r="AG173" s="235"/>
      <c r="AH173" s="235"/>
      <c r="AI173" s="235">
        <f t="shared" si="175"/>
        <v>0</v>
      </c>
      <c r="AJ173" s="257"/>
      <c r="AK173" s="256">
        <f t="shared" si="176"/>
        <v>0</v>
      </c>
      <c r="AL173" s="257"/>
      <c r="AM173" s="266">
        <f t="shared" si="177"/>
        <v>0</v>
      </c>
      <c r="AN173" s="256"/>
      <c r="AO173" s="276"/>
      <c r="AP173" s="261" t="str">
        <f t="shared" si="163"/>
        <v xml:space="preserve"> </v>
      </c>
      <c r="AQ173" s="256"/>
      <c r="AR173" s="295"/>
      <c r="AS173" s="295"/>
      <c r="AT173" s="263"/>
      <c r="AU173" s="277"/>
      <c r="AV173" s="263"/>
      <c r="AW173" s="230"/>
      <c r="AX173" s="300"/>
      <c r="AY173" s="301"/>
      <c r="AZ173" s="230"/>
      <c r="BA173" s="300" t="s">
        <v>234</v>
      </c>
      <c r="BB173" s="295"/>
      <c r="BC173" s="228">
        <f t="shared" si="178"/>
        <v>0</v>
      </c>
      <c r="BD173" s="228">
        <f t="shared" si="179"/>
        <v>0</v>
      </c>
      <c r="BE173" s="228">
        <f t="shared" si="155"/>
        <v>1</v>
      </c>
      <c r="BF173" s="228" t="str">
        <f t="shared" si="164"/>
        <v>ALIVE</v>
      </c>
      <c r="BG173" s="208" t="str">
        <f t="shared" si="156"/>
        <v>Aucune</v>
      </c>
      <c r="BH173" s="208" t="str">
        <f t="shared" si="157"/>
        <v>Aucune</v>
      </c>
      <c r="BI173" s="208" t="str">
        <f t="shared" si="158"/>
        <v>Aucune</v>
      </c>
      <c r="BJ173" s="208" t="str">
        <f t="shared" si="188"/>
        <v>NON</v>
      </c>
      <c r="BK173" s="208" t="str">
        <f t="shared" si="159"/>
        <v>NON</v>
      </c>
      <c r="BL173" s="208" t="str">
        <f t="shared" si="189"/>
        <v>Inconnu</v>
      </c>
      <c r="BM173" s="208" t="str">
        <f t="shared" si="180"/>
        <v>Inconnu</v>
      </c>
      <c r="BN173" s="208" t="str">
        <f t="shared" si="181"/>
        <v>Inconnu</v>
      </c>
      <c r="BO173" s="208" t="str">
        <f t="shared" si="190"/>
        <v>Inconnu</v>
      </c>
      <c r="BP173" s="208" t="str">
        <f t="shared" si="182"/>
        <v>Inconnu</v>
      </c>
      <c r="BQ173" s="208" t="str">
        <f t="shared" si="183"/>
        <v>Inconnu</v>
      </c>
      <c r="BR173" s="208" t="str">
        <f t="shared" si="184"/>
        <v>Aucune</v>
      </c>
      <c r="BS173" s="208">
        <f t="shared" si="186"/>
        <v>0</v>
      </c>
      <c r="BT173" s="229" t="e">
        <f>VLOOKUP($I173,Lieu_Activité!$A:$B,2,FALSE)</f>
        <v>#N/A</v>
      </c>
      <c r="BU173" s="208" t="str">
        <f t="shared" si="160"/>
        <v>Aucun</v>
      </c>
      <c r="BV173" s="208" t="str">
        <f t="shared" si="161"/>
        <v>Aucun</v>
      </c>
      <c r="BW173" s="207" t="str">
        <f t="shared" si="185"/>
        <v>NON</v>
      </c>
      <c r="BX173" s="288"/>
    </row>
    <row r="174" spans="1:76" ht="12.75" customHeight="1" x14ac:dyDescent="0.25">
      <c r="A174" s="226" t="s">
        <v>254</v>
      </c>
      <c r="B174" s="234"/>
      <c r="C174" s="227"/>
      <c r="D174" s="257"/>
      <c r="E174" s="278">
        <f t="shared" si="202"/>
        <v>0</v>
      </c>
      <c r="F174" s="278" t="str">
        <f t="shared" si="162"/>
        <v xml:space="preserve"> </v>
      </c>
      <c r="G174" s="256"/>
      <c r="H174" s="256"/>
      <c r="I174" s="256"/>
      <c r="J174" s="256"/>
      <c r="K174" s="256"/>
      <c r="L174" s="257"/>
      <c r="M174" s="243"/>
      <c r="N174" s="232"/>
      <c r="O174" s="232"/>
      <c r="P174" s="265" t="str">
        <f>IFERROR(VLOOKUP(O174,Références!$K$11:$N$19,2)," ")</f>
        <v xml:space="preserve"> </v>
      </c>
      <c r="Q174" s="265" t="str">
        <f>IFERROR(VLOOKUP(O174,Références!$K$11:$N$19,3)," ")</f>
        <v xml:space="preserve"> </v>
      </c>
      <c r="R174" s="265" t="str">
        <f>IFERROR(VLOOKUP(O174,Références!$K$11:$N$19,4)," ")</f>
        <v xml:space="preserve"> </v>
      </c>
      <c r="S174" s="256"/>
      <c r="T174" s="256"/>
      <c r="U174" s="256"/>
      <c r="V174" s="256"/>
      <c r="W174" s="256"/>
      <c r="X174" s="257"/>
      <c r="Y174" s="256"/>
      <c r="Z174" s="256"/>
      <c r="AA174" s="256"/>
      <c r="AB174" s="235"/>
      <c r="AC174" s="235"/>
      <c r="AD174" s="235"/>
      <c r="AE174" s="235"/>
      <c r="AF174" s="235"/>
      <c r="AG174" s="235"/>
      <c r="AH174" s="235"/>
      <c r="AI174" s="235">
        <f t="shared" si="175"/>
        <v>0</v>
      </c>
      <c r="AJ174" s="257"/>
      <c r="AK174" s="256">
        <f t="shared" si="176"/>
        <v>0</v>
      </c>
      <c r="AL174" s="257"/>
      <c r="AM174" s="266">
        <f t="shared" si="177"/>
        <v>0</v>
      </c>
      <c r="AN174" s="256"/>
      <c r="AO174" s="276"/>
      <c r="AP174" s="261" t="str">
        <f t="shared" si="163"/>
        <v xml:space="preserve"> </v>
      </c>
      <c r="AQ174" s="256"/>
      <c r="AR174" s="295"/>
      <c r="AS174" s="295"/>
      <c r="AT174" s="263"/>
      <c r="AU174" s="277"/>
      <c r="AV174" s="263"/>
      <c r="AW174" s="230"/>
      <c r="AX174" s="300"/>
      <c r="AY174" s="301"/>
      <c r="AZ174" s="230"/>
      <c r="BA174" s="300" t="s">
        <v>234</v>
      </c>
      <c r="BB174" s="295"/>
      <c r="BC174" s="228">
        <f t="shared" si="178"/>
        <v>0</v>
      </c>
      <c r="BD174" s="228">
        <f t="shared" si="179"/>
        <v>0</v>
      </c>
      <c r="BE174" s="228">
        <f t="shared" si="155"/>
        <v>1</v>
      </c>
      <c r="BF174" s="228" t="str">
        <f t="shared" si="164"/>
        <v>ALIVE</v>
      </c>
      <c r="BG174" s="208" t="str">
        <f t="shared" si="156"/>
        <v>Aucune</v>
      </c>
      <c r="BH174" s="208" t="str">
        <f t="shared" si="157"/>
        <v>Aucune</v>
      </c>
      <c r="BI174" s="208" t="str">
        <f t="shared" si="158"/>
        <v>Aucune</v>
      </c>
      <c r="BJ174" s="208" t="str">
        <f t="shared" si="188"/>
        <v>NON</v>
      </c>
      <c r="BK174" s="208" t="str">
        <f t="shared" si="159"/>
        <v>NON</v>
      </c>
      <c r="BL174" s="208" t="str">
        <f t="shared" si="189"/>
        <v>Inconnu</v>
      </c>
      <c r="BM174" s="208" t="str">
        <f t="shared" si="180"/>
        <v>Inconnu</v>
      </c>
      <c r="BN174" s="208" t="str">
        <f t="shared" si="181"/>
        <v>Inconnu</v>
      </c>
      <c r="BO174" s="208" t="str">
        <f t="shared" si="190"/>
        <v>Inconnu</v>
      </c>
      <c r="BP174" s="208" t="str">
        <f t="shared" si="182"/>
        <v>Inconnu</v>
      </c>
      <c r="BQ174" s="208" t="str">
        <f t="shared" si="183"/>
        <v>Inconnu</v>
      </c>
      <c r="BR174" s="208" t="str">
        <f t="shared" si="184"/>
        <v>Aucune</v>
      </c>
      <c r="BS174" s="208">
        <f t="shared" si="186"/>
        <v>0</v>
      </c>
      <c r="BT174" s="229" t="e">
        <f>VLOOKUP($I174,Lieu_Activité!$A:$B,2,FALSE)</f>
        <v>#N/A</v>
      </c>
      <c r="BU174" s="208" t="str">
        <f t="shared" si="160"/>
        <v>Aucun</v>
      </c>
      <c r="BV174" s="208" t="str">
        <f t="shared" si="161"/>
        <v>Aucun</v>
      </c>
      <c r="BW174" s="207" t="str">
        <f t="shared" si="185"/>
        <v>NON</v>
      </c>
      <c r="BX174" s="288"/>
    </row>
    <row r="175" spans="1:76" ht="12" customHeight="1" x14ac:dyDescent="0.25">
      <c r="A175" s="226" t="s">
        <v>254</v>
      </c>
      <c r="B175" s="234"/>
      <c r="C175" s="227"/>
      <c r="D175" s="257"/>
      <c r="E175" s="278">
        <f t="shared" si="202"/>
        <v>0</v>
      </c>
      <c r="F175" s="278" t="str">
        <f t="shared" si="162"/>
        <v xml:space="preserve"> </v>
      </c>
      <c r="G175" s="256"/>
      <c r="H175" s="256"/>
      <c r="I175" s="256"/>
      <c r="J175" s="256"/>
      <c r="K175" s="256"/>
      <c r="L175" s="257"/>
      <c r="M175" s="243"/>
      <c r="N175" s="232"/>
      <c r="O175" s="232"/>
      <c r="P175" s="265" t="str">
        <f>IFERROR(VLOOKUP(O175,Références!$K$11:$N$19,2)," ")</f>
        <v xml:space="preserve"> </v>
      </c>
      <c r="Q175" s="265" t="str">
        <f>IFERROR(VLOOKUP(O175,Références!$K$11:$N$19,3)," ")</f>
        <v xml:space="preserve"> </v>
      </c>
      <c r="R175" s="265" t="str">
        <f>IFERROR(VLOOKUP(O175,Références!$K$11:$N$19,4)," ")</f>
        <v xml:space="preserve"> </v>
      </c>
      <c r="S175" s="256"/>
      <c r="T175" s="256"/>
      <c r="U175" s="256"/>
      <c r="V175" s="256"/>
      <c r="W175" s="256"/>
      <c r="X175" s="257"/>
      <c r="Y175" s="256"/>
      <c r="Z175" s="256"/>
      <c r="AA175" s="256"/>
      <c r="AB175" s="235"/>
      <c r="AC175" s="235"/>
      <c r="AD175" s="235"/>
      <c r="AE175" s="235"/>
      <c r="AF175" s="235"/>
      <c r="AG175" s="235"/>
      <c r="AH175" s="235"/>
      <c r="AI175" s="235">
        <f t="shared" si="175"/>
        <v>0</v>
      </c>
      <c r="AJ175" s="257"/>
      <c r="AK175" s="256">
        <f t="shared" si="176"/>
        <v>0</v>
      </c>
      <c r="AL175" s="257"/>
      <c r="AM175" s="266">
        <f t="shared" si="177"/>
        <v>0</v>
      </c>
      <c r="AN175" s="256"/>
      <c r="AO175" s="276"/>
      <c r="AP175" s="261" t="str">
        <f t="shared" si="163"/>
        <v xml:space="preserve"> </v>
      </c>
      <c r="AQ175" s="256"/>
      <c r="AR175" s="295"/>
      <c r="AS175" s="295"/>
      <c r="AT175" s="263"/>
      <c r="AU175" s="277"/>
      <c r="AV175" s="263"/>
      <c r="AW175" s="230"/>
      <c r="AX175" s="300"/>
      <c r="AY175" s="301"/>
      <c r="AZ175" s="230"/>
      <c r="BA175" s="300"/>
      <c r="BB175" s="295"/>
      <c r="BC175" s="228">
        <f t="shared" si="178"/>
        <v>0</v>
      </c>
      <c r="BD175" s="228">
        <f t="shared" si="179"/>
        <v>0</v>
      </c>
      <c r="BE175" s="228">
        <f t="shared" si="155"/>
        <v>1</v>
      </c>
      <c r="BF175" s="228" t="str">
        <f t="shared" si="164"/>
        <v>ALIVE</v>
      </c>
      <c r="BG175" s="208" t="str">
        <f t="shared" si="156"/>
        <v>Aucune</v>
      </c>
      <c r="BH175" s="208" t="str">
        <f t="shared" si="157"/>
        <v>Aucune</v>
      </c>
      <c r="BI175" s="208" t="str">
        <f t="shared" si="158"/>
        <v>Aucune</v>
      </c>
      <c r="BJ175" s="208" t="str">
        <f t="shared" si="188"/>
        <v>NON</v>
      </c>
      <c r="BK175" s="208" t="str">
        <f t="shared" si="159"/>
        <v>NON</v>
      </c>
      <c r="BL175" s="208" t="str">
        <f t="shared" si="189"/>
        <v>Inconnu</v>
      </c>
      <c r="BM175" s="208" t="str">
        <f t="shared" si="180"/>
        <v>Inconnu</v>
      </c>
      <c r="BN175" s="208" t="str">
        <f t="shared" si="181"/>
        <v>Inconnu</v>
      </c>
      <c r="BO175" s="208" t="str">
        <f t="shared" si="190"/>
        <v>Inconnu</v>
      </c>
      <c r="BP175" s="208" t="str">
        <f t="shared" si="182"/>
        <v>Inconnu</v>
      </c>
      <c r="BQ175" s="208" t="str">
        <f t="shared" si="183"/>
        <v>Inconnu</v>
      </c>
      <c r="BR175" s="208" t="str">
        <f t="shared" si="184"/>
        <v>Aucune</v>
      </c>
      <c r="BS175" s="208">
        <f t="shared" si="186"/>
        <v>0</v>
      </c>
      <c r="BT175" s="229" t="e">
        <f>VLOOKUP($I175,Lieu_Activité!$A:$B,2,FALSE)</f>
        <v>#N/A</v>
      </c>
      <c r="BU175" s="208" t="str">
        <f t="shared" si="160"/>
        <v>Aucun</v>
      </c>
      <c r="BV175" s="208" t="str">
        <f t="shared" si="161"/>
        <v>Aucun</v>
      </c>
      <c r="BW175" s="207" t="str">
        <f t="shared" si="185"/>
        <v>NON</v>
      </c>
      <c r="BX175" s="288"/>
    </row>
    <row r="176" spans="1:76" ht="12" customHeight="1" x14ac:dyDescent="0.25">
      <c r="A176" s="226" t="s">
        <v>254</v>
      </c>
      <c r="B176" s="234"/>
      <c r="C176" s="227"/>
      <c r="D176" s="257"/>
      <c r="E176" s="278">
        <f t="shared" si="202"/>
        <v>0</v>
      </c>
      <c r="F176" s="278" t="str">
        <f t="shared" si="162"/>
        <v xml:space="preserve"> </v>
      </c>
      <c r="G176" s="256"/>
      <c r="H176" s="256"/>
      <c r="I176" s="256"/>
      <c r="J176" s="256"/>
      <c r="K176" s="256"/>
      <c r="L176" s="257"/>
      <c r="M176" s="243"/>
      <c r="N176" s="232"/>
      <c r="O176" s="232"/>
      <c r="P176" s="265" t="str">
        <f>IFERROR(VLOOKUP(O176,Références!$K$11:$N$19,2)," ")</f>
        <v xml:space="preserve"> </v>
      </c>
      <c r="Q176" s="265" t="str">
        <f>IFERROR(VLOOKUP(O176,Références!$K$11:$N$19,3)," ")</f>
        <v xml:space="preserve"> </v>
      </c>
      <c r="R176" s="265" t="str">
        <f>IFERROR(VLOOKUP(O176,Références!$K$11:$N$19,4)," ")</f>
        <v xml:space="preserve"> </v>
      </c>
      <c r="S176" s="256"/>
      <c r="T176" s="256"/>
      <c r="U176" s="256"/>
      <c r="V176" s="256"/>
      <c r="W176" s="256"/>
      <c r="X176" s="257"/>
      <c r="Y176" s="256"/>
      <c r="Z176" s="256"/>
      <c r="AA176" s="256"/>
      <c r="AB176" s="235"/>
      <c r="AC176" s="235"/>
      <c r="AD176" s="235"/>
      <c r="AE176" s="235"/>
      <c r="AF176" s="235"/>
      <c r="AG176" s="235"/>
      <c r="AH176" s="235"/>
      <c r="AI176" s="235">
        <f t="shared" si="175"/>
        <v>0</v>
      </c>
      <c r="AJ176" s="257"/>
      <c r="AK176" s="256">
        <f t="shared" si="176"/>
        <v>0</v>
      </c>
      <c r="AL176" s="257"/>
      <c r="AM176" s="266">
        <f t="shared" si="177"/>
        <v>0</v>
      </c>
      <c r="AN176" s="256"/>
      <c r="AO176" s="276"/>
      <c r="AP176" s="261" t="str">
        <f t="shared" si="163"/>
        <v xml:space="preserve"> </v>
      </c>
      <c r="AQ176" s="256"/>
      <c r="AR176" s="295"/>
      <c r="AS176" s="295"/>
      <c r="AT176" s="263"/>
      <c r="AU176" s="277"/>
      <c r="AV176" s="263"/>
      <c r="AW176" s="230"/>
      <c r="AX176" s="300"/>
      <c r="AY176" s="301"/>
      <c r="AZ176" s="230"/>
      <c r="BA176" s="300" t="s">
        <v>234</v>
      </c>
      <c r="BB176" s="295"/>
      <c r="BC176" s="228">
        <f t="shared" si="178"/>
        <v>0</v>
      </c>
      <c r="BD176" s="228">
        <f t="shared" si="179"/>
        <v>0</v>
      </c>
      <c r="BE176" s="228">
        <f t="shared" si="155"/>
        <v>1</v>
      </c>
      <c r="BF176" s="228" t="str">
        <f t="shared" si="164"/>
        <v>ALIVE</v>
      </c>
      <c r="BG176" s="208" t="str">
        <f t="shared" si="156"/>
        <v>Aucune</v>
      </c>
      <c r="BH176" s="208" t="str">
        <f t="shared" si="157"/>
        <v>Aucune</v>
      </c>
      <c r="BI176" s="208" t="str">
        <f t="shared" si="158"/>
        <v>Aucune</v>
      </c>
      <c r="BJ176" s="208" t="str">
        <f t="shared" si="188"/>
        <v>NON</v>
      </c>
      <c r="BK176" s="208" t="str">
        <f t="shared" si="159"/>
        <v>NON</v>
      </c>
      <c r="BL176" s="208" t="str">
        <f t="shared" si="189"/>
        <v>Inconnu</v>
      </c>
      <c r="BM176" s="208" t="str">
        <f t="shared" si="180"/>
        <v>Inconnu</v>
      </c>
      <c r="BN176" s="208" t="str">
        <f t="shared" si="181"/>
        <v>Inconnu</v>
      </c>
      <c r="BO176" s="208" t="str">
        <f t="shared" si="190"/>
        <v>Inconnu</v>
      </c>
      <c r="BP176" s="208" t="str">
        <f t="shared" si="182"/>
        <v>Inconnu</v>
      </c>
      <c r="BQ176" s="208" t="str">
        <f t="shared" si="183"/>
        <v>Inconnu</v>
      </c>
      <c r="BR176" s="208" t="str">
        <f t="shared" si="184"/>
        <v>Aucune</v>
      </c>
      <c r="BS176" s="208">
        <f t="shared" si="186"/>
        <v>0</v>
      </c>
      <c r="BT176" s="229" t="e">
        <f>VLOOKUP($I176,Lieu_Activité!$A:$B,2,FALSE)</f>
        <v>#N/A</v>
      </c>
      <c r="BU176" s="208" t="str">
        <f t="shared" si="160"/>
        <v>Aucun</v>
      </c>
      <c r="BV176" s="208" t="str">
        <f t="shared" si="161"/>
        <v>Aucun</v>
      </c>
      <c r="BW176" s="207" t="str">
        <f t="shared" si="185"/>
        <v>NON</v>
      </c>
      <c r="BX176" s="288"/>
    </row>
    <row r="177" spans="1:76" ht="12" customHeight="1" x14ac:dyDescent="0.25">
      <c r="A177" s="226" t="s">
        <v>254</v>
      </c>
      <c r="B177" s="234"/>
      <c r="C177" s="227"/>
      <c r="D177" s="257"/>
      <c r="E177" s="278">
        <f t="shared" si="202"/>
        <v>0</v>
      </c>
      <c r="F177" s="278" t="str">
        <f t="shared" si="162"/>
        <v xml:space="preserve"> </v>
      </c>
      <c r="G177" s="256"/>
      <c r="H177" s="256"/>
      <c r="I177" s="256"/>
      <c r="J177" s="256"/>
      <c r="K177" s="256"/>
      <c r="L177" s="257"/>
      <c r="M177" s="243"/>
      <c r="N177" s="232"/>
      <c r="O177" s="232"/>
      <c r="P177" s="265" t="str">
        <f>IFERROR(VLOOKUP(O177,Références!$K$11:$N$19,2)," ")</f>
        <v xml:space="preserve"> </v>
      </c>
      <c r="Q177" s="265" t="str">
        <f>IFERROR(VLOOKUP(O177,Références!$K$11:$N$19,3)," ")</f>
        <v xml:space="preserve"> </v>
      </c>
      <c r="R177" s="265" t="str">
        <f>IFERROR(VLOOKUP(O177,Références!$K$11:$N$19,4)," ")</f>
        <v xml:space="preserve"> </v>
      </c>
      <c r="S177" s="256"/>
      <c r="T177" s="256"/>
      <c r="U177" s="256"/>
      <c r="V177" s="256"/>
      <c r="W177" s="256"/>
      <c r="X177" s="257"/>
      <c r="Y177" s="256"/>
      <c r="Z177" s="256"/>
      <c r="AA177" s="256"/>
      <c r="AB177" s="235"/>
      <c r="AC177" s="235"/>
      <c r="AD177" s="235"/>
      <c r="AE177" s="235"/>
      <c r="AF177" s="235"/>
      <c r="AG177" s="235"/>
      <c r="AH177" s="235"/>
      <c r="AI177" s="235">
        <f t="shared" si="175"/>
        <v>0</v>
      </c>
      <c r="AJ177" s="257"/>
      <c r="AK177" s="256">
        <f t="shared" si="176"/>
        <v>0</v>
      </c>
      <c r="AL177" s="257"/>
      <c r="AM177" s="266">
        <f t="shared" si="177"/>
        <v>0</v>
      </c>
      <c r="AN177" s="256"/>
      <c r="AO177" s="276"/>
      <c r="AP177" s="261" t="str">
        <f t="shared" si="163"/>
        <v xml:space="preserve"> </v>
      </c>
      <c r="AQ177" s="256"/>
      <c r="AR177" s="295"/>
      <c r="AS177" s="295"/>
      <c r="AT177" s="263"/>
      <c r="AU177" s="277"/>
      <c r="AV177" s="263"/>
      <c r="AW177" s="230"/>
      <c r="AX177" s="300"/>
      <c r="AY177" s="301"/>
      <c r="AZ177" s="230"/>
      <c r="BA177" s="300" t="s">
        <v>234</v>
      </c>
      <c r="BB177" s="295"/>
      <c r="BC177" s="228">
        <f t="shared" si="178"/>
        <v>0</v>
      </c>
      <c r="BD177" s="228">
        <f t="shared" si="179"/>
        <v>0</v>
      </c>
      <c r="BE177" s="228">
        <f t="shared" si="155"/>
        <v>1</v>
      </c>
      <c r="BF177" s="228" t="str">
        <f t="shared" si="164"/>
        <v>ALIVE</v>
      </c>
      <c r="BG177" s="208" t="str">
        <f t="shared" si="156"/>
        <v>Aucune</v>
      </c>
      <c r="BH177" s="208" t="str">
        <f t="shared" si="157"/>
        <v>Aucune</v>
      </c>
      <c r="BI177" s="208" t="str">
        <f t="shared" si="158"/>
        <v>Aucune</v>
      </c>
      <c r="BJ177" s="208" t="str">
        <f t="shared" si="188"/>
        <v>NON</v>
      </c>
      <c r="BK177" s="208" t="str">
        <f t="shared" si="159"/>
        <v>NON</v>
      </c>
      <c r="BL177" s="208" t="str">
        <f t="shared" si="189"/>
        <v>Inconnu</v>
      </c>
      <c r="BM177" s="208" t="str">
        <f t="shared" si="180"/>
        <v>Inconnu</v>
      </c>
      <c r="BN177" s="208" t="str">
        <f t="shared" si="181"/>
        <v>Inconnu</v>
      </c>
      <c r="BO177" s="208" t="str">
        <f t="shared" si="190"/>
        <v>Inconnu</v>
      </c>
      <c r="BP177" s="208" t="str">
        <f t="shared" si="182"/>
        <v>Inconnu</v>
      </c>
      <c r="BQ177" s="208" t="str">
        <f t="shared" si="183"/>
        <v>Inconnu</v>
      </c>
      <c r="BR177" s="208" t="str">
        <f t="shared" si="184"/>
        <v>Aucune</v>
      </c>
      <c r="BS177" s="208">
        <f t="shared" si="186"/>
        <v>0</v>
      </c>
      <c r="BT177" s="229" t="e">
        <f>VLOOKUP($I177,Lieu_Activité!$A:$B,2,FALSE)</f>
        <v>#N/A</v>
      </c>
      <c r="BU177" s="208" t="str">
        <f t="shared" si="160"/>
        <v>Aucun</v>
      </c>
      <c r="BV177" s="208" t="str">
        <f t="shared" si="161"/>
        <v>Aucun</v>
      </c>
      <c r="BW177" s="207" t="str">
        <f t="shared" si="185"/>
        <v>NON</v>
      </c>
      <c r="BX177" s="288"/>
    </row>
    <row r="178" spans="1:76" ht="12.75" customHeight="1" x14ac:dyDescent="0.25">
      <c r="A178" s="226" t="s">
        <v>254</v>
      </c>
      <c r="B178" s="268"/>
      <c r="C178" s="227"/>
      <c r="D178" s="257"/>
      <c r="E178" s="278">
        <f t="shared" si="202"/>
        <v>0</v>
      </c>
      <c r="F178" s="278" t="str">
        <f t="shared" si="162"/>
        <v xml:space="preserve"> </v>
      </c>
      <c r="G178" s="256"/>
      <c r="H178" s="256"/>
      <c r="I178" s="256"/>
      <c r="J178" s="256"/>
      <c r="K178" s="256"/>
      <c r="L178" s="257"/>
      <c r="M178" s="243"/>
      <c r="N178" s="232"/>
      <c r="O178" s="265"/>
      <c r="P178" s="265" t="str">
        <f>IFERROR(VLOOKUP(O178,Références!$K$11:$N$19,2)," ")</f>
        <v xml:space="preserve"> </v>
      </c>
      <c r="Q178" s="265" t="str">
        <f>IFERROR(VLOOKUP(O178,Références!$K$11:$N$19,3)," ")</f>
        <v xml:space="preserve"> </v>
      </c>
      <c r="R178" s="265" t="str">
        <f>IFERROR(VLOOKUP(O178,Références!$K$11:$N$19,4)," ")</f>
        <v xml:space="preserve"> </v>
      </c>
      <c r="S178" s="256"/>
      <c r="T178" s="256"/>
      <c r="U178" s="256"/>
      <c r="V178" s="256"/>
      <c r="W178" s="256"/>
      <c r="X178" s="257"/>
      <c r="Y178" s="256"/>
      <c r="Z178" s="256"/>
      <c r="AA178" s="256"/>
      <c r="AB178" s="235"/>
      <c r="AC178" s="235"/>
      <c r="AD178" s="235"/>
      <c r="AE178" s="235"/>
      <c r="AF178" s="235"/>
      <c r="AG178" s="235"/>
      <c r="AH178" s="235"/>
      <c r="AI178" s="235">
        <f t="shared" si="175"/>
        <v>0</v>
      </c>
      <c r="AJ178" s="257"/>
      <c r="AK178" s="256">
        <f t="shared" si="176"/>
        <v>0</v>
      </c>
      <c r="AL178" s="257"/>
      <c r="AM178" s="266">
        <f t="shared" si="177"/>
        <v>0</v>
      </c>
      <c r="AN178" s="256"/>
      <c r="AO178" s="276"/>
      <c r="AP178" s="261" t="str">
        <f t="shared" si="163"/>
        <v xml:space="preserve"> </v>
      </c>
      <c r="AQ178" s="256"/>
      <c r="AR178" s="295"/>
      <c r="AS178" s="295"/>
      <c r="AT178" s="263"/>
      <c r="AU178" s="277"/>
      <c r="AV178" s="263"/>
      <c r="AW178" s="230"/>
      <c r="AX178" s="300"/>
      <c r="AY178" s="301"/>
      <c r="AZ178" s="230"/>
      <c r="BA178" s="302" t="s">
        <v>246</v>
      </c>
      <c r="BB178" s="295"/>
      <c r="BC178" s="228">
        <f t="shared" si="178"/>
        <v>0</v>
      </c>
      <c r="BD178" s="228">
        <f t="shared" si="179"/>
        <v>0</v>
      </c>
      <c r="BE178" s="228">
        <f t="shared" si="155"/>
        <v>1</v>
      </c>
      <c r="BF178" s="228" t="str">
        <f t="shared" si="164"/>
        <v>ALIVE</v>
      </c>
      <c r="BG178" s="208" t="str">
        <f t="shared" si="156"/>
        <v>Aucune</v>
      </c>
      <c r="BH178" s="208" t="str">
        <f t="shared" si="157"/>
        <v>Aucune</v>
      </c>
      <c r="BI178" s="208" t="str">
        <f t="shared" si="158"/>
        <v>Aucune</v>
      </c>
      <c r="BJ178" s="208" t="str">
        <f t="shared" si="188"/>
        <v>NON</v>
      </c>
      <c r="BK178" s="208" t="str">
        <f t="shared" si="159"/>
        <v>NON</v>
      </c>
      <c r="BL178" s="208" t="str">
        <f t="shared" si="189"/>
        <v>Inconnu</v>
      </c>
      <c r="BM178" s="208" t="str">
        <f t="shared" si="180"/>
        <v>Inconnu</v>
      </c>
      <c r="BN178" s="208" t="str">
        <f t="shared" si="181"/>
        <v>Inconnu</v>
      </c>
      <c r="BO178" s="208" t="str">
        <f t="shared" si="190"/>
        <v>Inconnu</v>
      </c>
      <c r="BP178" s="208" t="str">
        <f t="shared" si="182"/>
        <v>Inconnu</v>
      </c>
      <c r="BQ178" s="208" t="str">
        <f t="shared" si="183"/>
        <v>Inconnu</v>
      </c>
      <c r="BR178" s="208" t="str">
        <f t="shared" si="184"/>
        <v>Aucune</v>
      </c>
      <c r="BS178" s="208">
        <f t="shared" si="186"/>
        <v>0</v>
      </c>
      <c r="BT178" s="229" t="e">
        <f>VLOOKUP($I178,Lieu_Activité!$A:$B,2,FALSE)</f>
        <v>#N/A</v>
      </c>
      <c r="BU178" s="208" t="str">
        <f t="shared" si="160"/>
        <v>Aucun</v>
      </c>
      <c r="BV178" s="208" t="str">
        <f t="shared" si="161"/>
        <v>Aucun</v>
      </c>
      <c r="BW178" s="207" t="str">
        <f t="shared" si="185"/>
        <v>NON</v>
      </c>
      <c r="BX178" s="288"/>
    </row>
    <row r="179" spans="1:76" ht="12" customHeight="1" x14ac:dyDescent="0.25">
      <c r="A179" s="226" t="s">
        <v>254</v>
      </c>
      <c r="B179" s="234"/>
      <c r="C179" s="227"/>
      <c r="D179" s="257"/>
      <c r="E179" s="278">
        <f t="shared" si="202"/>
        <v>0</v>
      </c>
      <c r="F179" s="278" t="str">
        <f t="shared" si="162"/>
        <v xml:space="preserve"> </v>
      </c>
      <c r="G179" s="256"/>
      <c r="H179" s="256"/>
      <c r="I179" s="256"/>
      <c r="J179" s="256"/>
      <c r="K179" s="256"/>
      <c r="L179" s="257"/>
      <c r="M179" s="243"/>
      <c r="N179" s="232"/>
      <c r="O179" s="232"/>
      <c r="P179" s="265" t="str">
        <f>IFERROR(VLOOKUP(O179,Références!$K$11:$N$19,2)," ")</f>
        <v xml:space="preserve"> </v>
      </c>
      <c r="Q179" s="265" t="str">
        <f>IFERROR(VLOOKUP(O179,Références!$K$11:$N$19,3)," ")</f>
        <v xml:space="preserve"> </v>
      </c>
      <c r="R179" s="265" t="str">
        <f>IFERROR(VLOOKUP(O179,Références!$K$11:$N$19,4)," ")</f>
        <v xml:space="preserve"> </v>
      </c>
      <c r="S179" s="256"/>
      <c r="T179" s="256"/>
      <c r="U179" s="256"/>
      <c r="V179" s="256"/>
      <c r="W179" s="256"/>
      <c r="X179" s="257"/>
      <c r="Y179" s="256"/>
      <c r="Z179" s="256"/>
      <c r="AA179" s="256"/>
      <c r="AB179" s="235"/>
      <c r="AC179" s="235"/>
      <c r="AD179" s="235"/>
      <c r="AE179" s="235"/>
      <c r="AF179" s="235"/>
      <c r="AG179" s="235"/>
      <c r="AH179" s="235"/>
      <c r="AI179" s="235">
        <f t="shared" si="175"/>
        <v>0</v>
      </c>
      <c r="AJ179" s="257"/>
      <c r="AK179" s="256">
        <f t="shared" si="176"/>
        <v>0</v>
      </c>
      <c r="AL179" s="257"/>
      <c r="AM179" s="266">
        <f t="shared" si="177"/>
        <v>0</v>
      </c>
      <c r="AN179" s="256"/>
      <c r="AO179" s="276"/>
      <c r="AP179" s="261" t="str">
        <f t="shared" si="163"/>
        <v xml:space="preserve"> </v>
      </c>
      <c r="AQ179" s="256"/>
      <c r="AR179" s="295"/>
      <c r="AS179" s="295"/>
      <c r="AT179" s="263"/>
      <c r="AU179" s="277"/>
      <c r="AV179" s="263"/>
      <c r="AW179" s="230"/>
      <c r="AX179" s="300"/>
      <c r="AY179" s="301"/>
      <c r="AZ179" s="230"/>
      <c r="BA179" s="300" t="s">
        <v>234</v>
      </c>
      <c r="BB179" s="295"/>
      <c r="BC179" s="228">
        <f t="shared" si="178"/>
        <v>0</v>
      </c>
      <c r="BD179" s="228">
        <f t="shared" si="179"/>
        <v>0</v>
      </c>
      <c r="BE179" s="228">
        <f t="shared" si="155"/>
        <v>1</v>
      </c>
      <c r="BF179" s="228" t="str">
        <f t="shared" si="164"/>
        <v>ALIVE</v>
      </c>
      <c r="BG179" s="208" t="str">
        <f t="shared" si="156"/>
        <v>Aucune</v>
      </c>
      <c r="BH179" s="208" t="str">
        <f t="shared" si="157"/>
        <v>Aucune</v>
      </c>
      <c r="BI179" s="208" t="str">
        <f t="shared" si="158"/>
        <v>Aucune</v>
      </c>
      <c r="BJ179" s="208" t="str">
        <f t="shared" si="188"/>
        <v>NON</v>
      </c>
      <c r="BK179" s="208" t="str">
        <f t="shared" si="159"/>
        <v>NON</v>
      </c>
      <c r="BL179" s="208" t="str">
        <f t="shared" si="189"/>
        <v>Inconnu</v>
      </c>
      <c r="BM179" s="208" t="str">
        <f t="shared" si="180"/>
        <v>Inconnu</v>
      </c>
      <c r="BN179" s="208" t="str">
        <f t="shared" si="181"/>
        <v>Inconnu</v>
      </c>
      <c r="BO179" s="208" t="str">
        <f t="shared" si="190"/>
        <v>Inconnu</v>
      </c>
      <c r="BP179" s="208" t="str">
        <f t="shared" si="182"/>
        <v>Inconnu</v>
      </c>
      <c r="BQ179" s="208" t="str">
        <f t="shared" si="183"/>
        <v>Inconnu</v>
      </c>
      <c r="BR179" s="208" t="str">
        <f t="shared" si="184"/>
        <v>Aucune</v>
      </c>
      <c r="BS179" s="208">
        <f t="shared" si="186"/>
        <v>0</v>
      </c>
      <c r="BT179" s="229" t="e">
        <f>VLOOKUP($I179,Lieu_Activité!$A:$B,2,FALSE)</f>
        <v>#N/A</v>
      </c>
      <c r="BU179" s="208" t="str">
        <f t="shared" si="160"/>
        <v>Aucun</v>
      </c>
      <c r="BV179" s="208" t="str">
        <f t="shared" si="161"/>
        <v>Aucun</v>
      </c>
      <c r="BW179" s="207" t="str">
        <f t="shared" si="185"/>
        <v>NON</v>
      </c>
      <c r="BX179" s="288"/>
    </row>
    <row r="180" spans="1:76" ht="12" customHeight="1" x14ac:dyDescent="0.25">
      <c r="A180" s="226" t="s">
        <v>254</v>
      </c>
      <c r="B180" s="234"/>
      <c r="C180" s="227"/>
      <c r="D180" s="257"/>
      <c r="E180" s="278">
        <f t="shared" si="202"/>
        <v>0</v>
      </c>
      <c r="F180" s="278" t="str">
        <f t="shared" si="162"/>
        <v xml:space="preserve"> </v>
      </c>
      <c r="G180" s="256"/>
      <c r="H180" s="256"/>
      <c r="I180" s="256"/>
      <c r="J180" s="256"/>
      <c r="K180" s="256"/>
      <c r="L180" s="257"/>
      <c r="M180" s="243"/>
      <c r="N180" s="232"/>
      <c r="O180" s="232"/>
      <c r="P180" s="265" t="str">
        <f>IFERROR(VLOOKUP(O180,Références!$K$11:$N$19,2)," ")</f>
        <v xml:space="preserve"> </v>
      </c>
      <c r="Q180" s="265" t="str">
        <f>IFERROR(VLOOKUP(O180,Références!$K$11:$N$19,3)," ")</f>
        <v xml:space="preserve"> </v>
      </c>
      <c r="R180" s="265" t="str">
        <f>IFERROR(VLOOKUP(O180,Références!$K$11:$N$19,4)," ")</f>
        <v xml:space="preserve"> </v>
      </c>
      <c r="S180" s="256"/>
      <c r="T180" s="256"/>
      <c r="U180" s="256"/>
      <c r="V180" s="256"/>
      <c r="W180" s="256"/>
      <c r="X180" s="257"/>
      <c r="Y180" s="256"/>
      <c r="Z180" s="256"/>
      <c r="AA180" s="256"/>
      <c r="AB180" s="235"/>
      <c r="AC180" s="235"/>
      <c r="AD180" s="235"/>
      <c r="AE180" s="235"/>
      <c r="AF180" s="235"/>
      <c r="AG180" s="235"/>
      <c r="AH180" s="235"/>
      <c r="AI180" s="235">
        <f t="shared" si="175"/>
        <v>0</v>
      </c>
      <c r="AJ180" s="257"/>
      <c r="AK180" s="256">
        <f t="shared" si="176"/>
        <v>0</v>
      </c>
      <c r="AL180" s="257"/>
      <c r="AM180" s="266">
        <f t="shared" si="177"/>
        <v>0</v>
      </c>
      <c r="AN180" s="256"/>
      <c r="AO180" s="276"/>
      <c r="AP180" s="261" t="str">
        <f t="shared" si="163"/>
        <v xml:space="preserve"> </v>
      </c>
      <c r="AQ180" s="256"/>
      <c r="AR180" s="295"/>
      <c r="AS180" s="295"/>
      <c r="AT180" s="263"/>
      <c r="AU180" s="277"/>
      <c r="AV180" s="263"/>
      <c r="AW180" s="230"/>
      <c r="AX180" s="300"/>
      <c r="AY180" s="301"/>
      <c r="AZ180" s="230"/>
      <c r="BA180" s="300" t="s">
        <v>234</v>
      </c>
      <c r="BB180" s="295"/>
      <c r="BC180" s="228">
        <f t="shared" si="178"/>
        <v>0</v>
      </c>
      <c r="BD180" s="228">
        <f t="shared" si="179"/>
        <v>0</v>
      </c>
      <c r="BE180" s="228">
        <f t="shared" si="155"/>
        <v>1</v>
      </c>
      <c r="BF180" s="228" t="str">
        <f t="shared" si="164"/>
        <v>ALIVE</v>
      </c>
      <c r="BG180" s="208" t="str">
        <f t="shared" si="156"/>
        <v>Aucune</v>
      </c>
      <c r="BH180" s="208" t="str">
        <f t="shared" si="157"/>
        <v>Aucune</v>
      </c>
      <c r="BI180" s="208" t="str">
        <f t="shared" si="158"/>
        <v>Aucune</v>
      </c>
      <c r="BJ180" s="208" t="str">
        <f t="shared" si="188"/>
        <v>NON</v>
      </c>
      <c r="BK180" s="208" t="str">
        <f t="shared" si="159"/>
        <v>NON</v>
      </c>
      <c r="BL180" s="208" t="str">
        <f t="shared" si="189"/>
        <v>Inconnu</v>
      </c>
      <c r="BM180" s="208" t="str">
        <f t="shared" si="180"/>
        <v>Inconnu</v>
      </c>
      <c r="BN180" s="208" t="str">
        <f t="shared" si="181"/>
        <v>Inconnu</v>
      </c>
      <c r="BO180" s="208" t="str">
        <f t="shared" si="190"/>
        <v>Inconnu</v>
      </c>
      <c r="BP180" s="208" t="str">
        <f t="shared" si="182"/>
        <v>Inconnu</v>
      </c>
      <c r="BQ180" s="208" t="str">
        <f t="shared" si="183"/>
        <v>Inconnu</v>
      </c>
      <c r="BR180" s="208" t="str">
        <f t="shared" si="184"/>
        <v>Aucune</v>
      </c>
      <c r="BS180" s="208">
        <f t="shared" si="186"/>
        <v>0</v>
      </c>
      <c r="BT180" s="229" t="e">
        <f>VLOOKUP($I180,Lieu_Activité!$A:$B,2,FALSE)</f>
        <v>#N/A</v>
      </c>
      <c r="BU180" s="208" t="str">
        <f t="shared" si="160"/>
        <v>Aucun</v>
      </c>
      <c r="BV180" s="208" t="str">
        <f t="shared" si="161"/>
        <v>Aucun</v>
      </c>
      <c r="BW180" s="207" t="str">
        <f t="shared" si="185"/>
        <v>NON</v>
      </c>
      <c r="BX180" s="288"/>
    </row>
    <row r="181" spans="1:76" ht="12" customHeight="1" x14ac:dyDescent="0.25">
      <c r="A181" s="226" t="s">
        <v>254</v>
      </c>
      <c r="B181" s="234"/>
      <c r="C181" s="227"/>
      <c r="D181" s="257"/>
      <c r="E181" s="278">
        <f>(L181-D181)/365</f>
        <v>0</v>
      </c>
      <c r="F181" s="278" t="str">
        <f t="shared" si="162"/>
        <v xml:space="preserve"> </v>
      </c>
      <c r="G181" s="256"/>
      <c r="H181" s="256"/>
      <c r="I181" s="256"/>
      <c r="J181" s="256"/>
      <c r="K181" s="256"/>
      <c r="L181" s="257"/>
      <c r="M181" s="243"/>
      <c r="N181" s="232"/>
      <c r="O181" s="232"/>
      <c r="P181" s="265" t="str">
        <f>IFERROR(VLOOKUP(O181,Références!$K$11:$N$19,2)," ")</f>
        <v xml:space="preserve"> </v>
      </c>
      <c r="Q181" s="265" t="str">
        <f>IFERROR(VLOOKUP(O181,Références!$K$11:$N$19,3)," ")</f>
        <v xml:space="preserve"> </v>
      </c>
      <c r="R181" s="265" t="str">
        <f>IFERROR(VLOOKUP(O181,Références!$K$11:$N$19,4)," ")</f>
        <v xml:space="preserve"> </v>
      </c>
      <c r="S181" s="256"/>
      <c r="T181" s="256"/>
      <c r="U181" s="256"/>
      <c r="V181" s="256"/>
      <c r="W181" s="256"/>
      <c r="X181" s="257"/>
      <c r="Y181" s="256"/>
      <c r="Z181" s="256"/>
      <c r="AA181" s="256"/>
      <c r="AB181" s="235"/>
      <c r="AC181" s="235"/>
      <c r="AD181" s="235"/>
      <c r="AE181" s="235"/>
      <c r="AF181" s="235"/>
      <c r="AG181" s="235"/>
      <c r="AH181" s="235"/>
      <c r="AI181" s="235">
        <f>SUM(AF181,AH181)</f>
        <v>0</v>
      </c>
      <c r="AJ181" s="257"/>
      <c r="AK181" s="256">
        <f>(AJ181-L181)</f>
        <v>0</v>
      </c>
      <c r="AL181" s="257"/>
      <c r="AM181" s="266">
        <f>(AL181-L181)</f>
        <v>0</v>
      </c>
      <c r="AN181" s="256"/>
      <c r="AO181" s="276"/>
      <c r="AP181" s="261" t="str">
        <f t="shared" si="163"/>
        <v xml:space="preserve"> </v>
      </c>
      <c r="AQ181" s="256"/>
      <c r="AR181" s="295"/>
      <c r="AS181" s="295"/>
      <c r="AT181" s="263"/>
      <c r="AU181" s="277"/>
      <c r="AV181" s="263"/>
      <c r="AW181" s="230"/>
      <c r="AX181" s="300"/>
      <c r="AY181" s="301"/>
      <c r="AZ181" s="230"/>
      <c r="BA181" s="300" t="s">
        <v>234</v>
      </c>
      <c r="BB181" s="295"/>
      <c r="BC181" s="228">
        <f>IF(BG181="Aucune",0,1)</f>
        <v>0</v>
      </c>
      <c r="BD181" s="228">
        <f>IF(BH181="Aucune",0,1)</f>
        <v>0</v>
      </c>
      <c r="BE181" s="228">
        <f t="shared" si="155"/>
        <v>1</v>
      </c>
      <c r="BF181" s="228" t="str">
        <f t="shared" si="164"/>
        <v>ALIVE</v>
      </c>
      <c r="BG181" s="208" t="str">
        <f t="shared" si="156"/>
        <v>Aucune</v>
      </c>
      <c r="BH181" s="208" t="str">
        <f t="shared" si="157"/>
        <v>Aucune</v>
      </c>
      <c r="BI181" s="208" t="str">
        <f t="shared" si="158"/>
        <v>Aucune</v>
      </c>
      <c r="BJ181" s="208" t="str">
        <f t="shared" si="188"/>
        <v>NON</v>
      </c>
      <c r="BK181" s="208" t="str">
        <f t="shared" si="159"/>
        <v>NON</v>
      </c>
      <c r="BL181" s="208" t="str">
        <f t="shared" si="189"/>
        <v>Inconnu</v>
      </c>
      <c r="BM181" s="208" t="str">
        <f>IF($O181&lt;&gt;"HTX",IF($O181&lt;&gt;"LVAD",BL181,"Inconnu"),"Inconnu")</f>
        <v>Inconnu</v>
      </c>
      <c r="BN181" s="208" t="str">
        <f>IF($O181="HTX",BL181,IF($O181="LVAD",BL181,"Inconnu"))</f>
        <v>Inconnu</v>
      </c>
      <c r="BO181" s="208" t="str">
        <f t="shared" si="190"/>
        <v>Inconnu</v>
      </c>
      <c r="BP181" s="208" t="str">
        <f>IF($O181&lt;&gt;"HTX",IF($O181&lt;&gt;"LVAD",BO181,"Inconnu"),"Inconnu")</f>
        <v>Inconnu</v>
      </c>
      <c r="BQ181" s="208" t="str">
        <f>IF($O181="HTX",BO181,IF($O181="LVAD",BO181,"Inconnu"))</f>
        <v>Inconnu</v>
      </c>
      <c r="BR181" s="208" t="str">
        <f>IF(BH181="Aucune",IF(BI181="Aucune","Aucune","Transfusé"),"Transfusé")</f>
        <v>Aucune</v>
      </c>
      <c r="BS181" s="208">
        <f t="shared" si="186"/>
        <v>0</v>
      </c>
      <c r="BT181" s="229" t="e">
        <f>VLOOKUP($I181,Lieu_Activité!$A:$B,2,FALSE)</f>
        <v>#N/A</v>
      </c>
      <c r="BU181" s="208" t="str">
        <f t="shared" si="160"/>
        <v>Aucun</v>
      </c>
      <c r="BV181" s="208" t="str">
        <f t="shared" si="161"/>
        <v>Aucun</v>
      </c>
      <c r="BW181" s="207" t="str">
        <f t="shared" si="185"/>
        <v>NON</v>
      </c>
      <c r="BX181" s="288"/>
    </row>
    <row r="182" spans="1:76" ht="12.75" customHeight="1" x14ac:dyDescent="0.25">
      <c r="A182" s="226" t="s">
        <v>254</v>
      </c>
      <c r="B182" s="234"/>
      <c r="C182" s="227"/>
      <c r="D182" s="257"/>
      <c r="E182" s="278">
        <f>(L182-D182)/365</f>
        <v>0</v>
      </c>
      <c r="F182" s="278" t="str">
        <f t="shared" si="162"/>
        <v xml:space="preserve"> </v>
      </c>
      <c r="G182" s="256"/>
      <c r="H182" s="256"/>
      <c r="I182" s="256"/>
      <c r="J182" s="256"/>
      <c r="K182" s="256"/>
      <c r="L182" s="257"/>
      <c r="M182" s="243"/>
      <c r="N182" s="232"/>
      <c r="O182" s="232"/>
      <c r="P182" s="265" t="str">
        <f>IFERROR(VLOOKUP(O182,Références!$K$11:$N$19,2)," ")</f>
        <v xml:space="preserve"> </v>
      </c>
      <c r="Q182" s="265" t="str">
        <f>IFERROR(VLOOKUP(O182,Références!$K$11:$N$19,3)," ")</f>
        <v xml:space="preserve"> </v>
      </c>
      <c r="R182" s="265" t="str">
        <f>IFERROR(VLOOKUP(O182,Références!$K$11:$N$19,4)," ")</f>
        <v xml:space="preserve"> </v>
      </c>
      <c r="S182" s="256"/>
      <c r="T182" s="256"/>
      <c r="U182" s="256"/>
      <c r="V182" s="256"/>
      <c r="W182" s="256"/>
      <c r="X182" s="257"/>
      <c r="Y182" s="256"/>
      <c r="Z182" s="256"/>
      <c r="AA182" s="256"/>
      <c r="AB182" s="235"/>
      <c r="AC182" s="235"/>
      <c r="AD182" s="235"/>
      <c r="AE182" s="235"/>
      <c r="AF182" s="235"/>
      <c r="AG182" s="235"/>
      <c r="AH182" s="235"/>
      <c r="AI182" s="235">
        <f>SUM(AF182,AH182)</f>
        <v>0</v>
      </c>
      <c r="AJ182" s="257"/>
      <c r="AK182" s="256">
        <f>(AJ182-L182)</f>
        <v>0</v>
      </c>
      <c r="AL182" s="257"/>
      <c r="AM182" s="266">
        <f>(AL182-L182)</f>
        <v>0</v>
      </c>
      <c r="AN182" s="256"/>
      <c r="AO182" s="276"/>
      <c r="AP182" s="261" t="str">
        <f t="shared" si="163"/>
        <v xml:space="preserve"> </v>
      </c>
      <c r="AQ182" s="256"/>
      <c r="AR182" s="295"/>
      <c r="AS182" s="295"/>
      <c r="AT182" s="263"/>
      <c r="AU182" s="277"/>
      <c r="AV182" s="263"/>
      <c r="AW182" s="230"/>
      <c r="AX182" s="300"/>
      <c r="AY182" s="301"/>
      <c r="AZ182" s="230"/>
      <c r="BA182" s="300" t="s">
        <v>234</v>
      </c>
      <c r="BB182" s="295"/>
      <c r="BC182" s="228">
        <f>IF(BG182="Aucune",0,1)</f>
        <v>0</v>
      </c>
      <c r="BD182" s="228">
        <f>IF(BH182="Aucune",0,1)</f>
        <v>0</v>
      </c>
      <c r="BE182" s="228">
        <f t="shared" si="155"/>
        <v>1</v>
      </c>
      <c r="BF182" s="228" t="str">
        <f t="shared" si="164"/>
        <v>ALIVE</v>
      </c>
      <c r="BG182" s="208" t="str">
        <f t="shared" si="156"/>
        <v>Aucune</v>
      </c>
      <c r="BH182" s="208" t="str">
        <f t="shared" si="157"/>
        <v>Aucune</v>
      </c>
      <c r="BI182" s="208" t="str">
        <f t="shared" si="158"/>
        <v>Aucune</v>
      </c>
      <c r="BJ182" s="208" t="str">
        <f t="shared" si="188"/>
        <v>NON</v>
      </c>
      <c r="BK182" s="208" t="str">
        <f t="shared" si="159"/>
        <v>NON</v>
      </c>
      <c r="BL182" s="208" t="str">
        <f t="shared" si="189"/>
        <v>Inconnu</v>
      </c>
      <c r="BM182" s="208" t="str">
        <f>IF($O182&lt;&gt;"HTX",IF($O182&lt;&gt;"LVAD",BL182,"Inconnu"),"Inconnu")</f>
        <v>Inconnu</v>
      </c>
      <c r="BN182" s="208" t="str">
        <f>IF($O182="HTX",BL182,IF($O182="LVAD",BL182,"Inconnu"))</f>
        <v>Inconnu</v>
      </c>
      <c r="BO182" s="208" t="str">
        <f t="shared" si="190"/>
        <v>Inconnu</v>
      </c>
      <c r="BP182" s="208" t="str">
        <f>IF($O182&lt;&gt;"HTX",IF($O182&lt;&gt;"LVAD",BO182,"Inconnu"),"Inconnu")</f>
        <v>Inconnu</v>
      </c>
      <c r="BQ182" s="208" t="str">
        <f>IF($O182="HTX",BO182,IF($O182="LVAD",BO182,"Inconnu"))</f>
        <v>Inconnu</v>
      </c>
      <c r="BR182" s="208" t="str">
        <f>IF(BH182="Aucune",IF(BI182="Aucune","Aucune","Transfusé"),"Transfusé")</f>
        <v>Aucune</v>
      </c>
      <c r="BS182" s="208">
        <f t="shared" si="186"/>
        <v>0</v>
      </c>
      <c r="BT182" s="229" t="e">
        <f>VLOOKUP($I182,Lieu_Activité!$A:$B,2,FALSE)</f>
        <v>#N/A</v>
      </c>
      <c r="BU182" s="208" t="str">
        <f t="shared" si="160"/>
        <v>Aucun</v>
      </c>
      <c r="BV182" s="208" t="str">
        <f t="shared" si="161"/>
        <v>Aucun</v>
      </c>
      <c r="BW182" s="207" t="str">
        <f t="shared" si="185"/>
        <v>NON</v>
      </c>
      <c r="BX182" s="288"/>
    </row>
    <row r="183" spans="1:76" ht="12" customHeight="1" x14ac:dyDescent="0.25">
      <c r="A183" s="231" t="s">
        <v>282</v>
      </c>
      <c r="B183" s="234"/>
      <c r="C183" s="227"/>
      <c r="D183" s="257"/>
      <c r="E183" s="278">
        <f t="shared" ref="E183:E201" si="203">(L183-D183)/365</f>
        <v>0</v>
      </c>
      <c r="F183" s="278" t="str">
        <f t="shared" si="162"/>
        <v xml:space="preserve"> </v>
      </c>
      <c r="G183" s="256"/>
      <c r="H183" s="256"/>
      <c r="I183" s="256"/>
      <c r="J183" s="256"/>
      <c r="K183" s="256"/>
      <c r="L183" s="257"/>
      <c r="M183" s="243"/>
      <c r="N183" s="232"/>
      <c r="O183" s="232"/>
      <c r="P183" s="265" t="str">
        <f>IFERROR(VLOOKUP(O183,Références!$K$11:$N$19,2)," ")</f>
        <v xml:space="preserve"> </v>
      </c>
      <c r="Q183" s="265" t="str">
        <f>IFERROR(VLOOKUP(O183,Références!$K$11:$N$19,3)," ")</f>
        <v xml:space="preserve"> </v>
      </c>
      <c r="R183" s="265" t="str">
        <f>IFERROR(VLOOKUP(O183,Références!$K$11:$N$19,4)," ")</f>
        <v xml:space="preserve"> </v>
      </c>
      <c r="S183" s="256"/>
      <c r="T183" s="256"/>
      <c r="U183" s="256"/>
      <c r="V183" s="256"/>
      <c r="W183" s="256"/>
      <c r="X183" s="257"/>
      <c r="Y183" s="256"/>
      <c r="Z183" s="256"/>
      <c r="AA183" s="256"/>
      <c r="AB183" s="235"/>
      <c r="AC183" s="235"/>
      <c r="AD183" s="274"/>
      <c r="AE183" s="235"/>
      <c r="AF183" s="235"/>
      <c r="AG183" s="235"/>
      <c r="AH183" s="235"/>
      <c r="AI183" s="235">
        <f t="shared" ref="AI183:AI201" si="204">SUM(AF183,AH183)</f>
        <v>0</v>
      </c>
      <c r="AJ183" s="257"/>
      <c r="AK183" s="256">
        <f t="shared" ref="AK183:AK201" si="205">(AJ183-L183)</f>
        <v>0</v>
      </c>
      <c r="AL183" s="257"/>
      <c r="AM183" s="266">
        <f t="shared" ref="AM183:AM201" si="206">(AL183-L183)</f>
        <v>0</v>
      </c>
      <c r="AN183" s="256"/>
      <c r="AO183" s="276"/>
      <c r="AP183" s="261" t="str">
        <f t="shared" si="163"/>
        <v xml:space="preserve"> </v>
      </c>
      <c r="AQ183" s="256"/>
      <c r="AR183" s="295"/>
      <c r="AS183" s="295"/>
      <c r="AT183" s="263"/>
      <c r="AU183" s="277"/>
      <c r="AV183" s="263"/>
      <c r="AW183" s="230"/>
      <c r="AX183" s="300"/>
      <c r="AY183" s="301"/>
      <c r="AZ183" s="230"/>
      <c r="BA183" s="300" t="s">
        <v>234</v>
      </c>
      <c r="BB183" s="295"/>
      <c r="BC183" s="228">
        <f t="shared" ref="BC183:BC201" si="207">IF(BG183="Aucune",0,1)</f>
        <v>0</v>
      </c>
      <c r="BD183" s="228">
        <f t="shared" ref="BD183:BD201" si="208">IF(BH183="Aucune",0,1)</f>
        <v>0</v>
      </c>
      <c r="BE183" s="228">
        <f t="shared" si="155"/>
        <v>1</v>
      </c>
      <c r="BF183" s="228" t="str">
        <f t="shared" si="164"/>
        <v>ALIVE</v>
      </c>
      <c r="BG183" s="208" t="str">
        <f t="shared" si="156"/>
        <v>Aucune</v>
      </c>
      <c r="BH183" s="208" t="str">
        <f t="shared" si="157"/>
        <v>Aucune</v>
      </c>
      <c r="BI183" s="208" t="str">
        <f t="shared" si="158"/>
        <v>Aucune</v>
      </c>
      <c r="BJ183" s="208" t="str">
        <f t="shared" si="188"/>
        <v>NON</v>
      </c>
      <c r="BK183" s="208" t="str">
        <f t="shared" si="159"/>
        <v>NON</v>
      </c>
      <c r="BL183" s="208" t="str">
        <f t="shared" si="189"/>
        <v>Inconnu</v>
      </c>
      <c r="BM183" s="208" t="str">
        <f t="shared" ref="BM183:BM201" si="209">IF($O183&lt;&gt;"HTX",IF($O183&lt;&gt;"LVAD",BL183,"Inconnu"),"Inconnu")</f>
        <v>Inconnu</v>
      </c>
      <c r="BN183" s="208" t="str">
        <f t="shared" ref="BN183:BN201" si="210">IF($O183="HTX",BL183,IF($O183="LVAD",BL183,"Inconnu"))</f>
        <v>Inconnu</v>
      </c>
      <c r="BO183" s="208" t="str">
        <f t="shared" si="190"/>
        <v>Inconnu</v>
      </c>
      <c r="BP183" s="208" t="str">
        <f t="shared" ref="BP183:BP201" si="211">IF($O183&lt;&gt;"HTX",IF($O183&lt;&gt;"LVAD",BO183,"Inconnu"),"Inconnu")</f>
        <v>Inconnu</v>
      </c>
      <c r="BQ183" s="208" t="str">
        <f t="shared" ref="BQ183:BQ201" si="212">IF($O183="HTX",BO183,IF($O183="LVAD",BO183,"Inconnu"))</f>
        <v>Inconnu</v>
      </c>
      <c r="BR183" s="208" t="str">
        <f t="shared" ref="BR183:BR201" si="213">IF(BH183="Aucune",IF(BI183="Aucune","Aucune","Transfusé"),"Transfusé")</f>
        <v>Aucune</v>
      </c>
      <c r="BS183" s="208">
        <f t="shared" si="186"/>
        <v>0</v>
      </c>
      <c r="BT183" s="229" t="e">
        <f>VLOOKUP($I183,Lieu_Activité!$A:$B,2,FALSE)</f>
        <v>#N/A</v>
      </c>
      <c r="BU183" s="208" t="str">
        <f t="shared" si="160"/>
        <v>Aucun</v>
      </c>
      <c r="BV183" s="208" t="str">
        <f t="shared" si="161"/>
        <v>Aucun</v>
      </c>
      <c r="BW183" s="207" t="str">
        <f t="shared" si="185"/>
        <v>NON</v>
      </c>
      <c r="BX183" s="288"/>
    </row>
    <row r="184" spans="1:76" ht="12" customHeight="1" x14ac:dyDescent="0.25">
      <c r="A184" s="231" t="s">
        <v>282</v>
      </c>
      <c r="B184" s="234"/>
      <c r="C184" s="227"/>
      <c r="D184" s="257"/>
      <c r="E184" s="278">
        <f t="shared" si="203"/>
        <v>0</v>
      </c>
      <c r="F184" s="278" t="str">
        <f t="shared" si="162"/>
        <v xml:space="preserve"> </v>
      </c>
      <c r="G184" s="256"/>
      <c r="H184" s="256"/>
      <c r="I184" s="256"/>
      <c r="J184" s="256"/>
      <c r="K184" s="256"/>
      <c r="L184" s="257"/>
      <c r="M184" s="243"/>
      <c r="N184" s="232"/>
      <c r="O184" s="232"/>
      <c r="P184" s="265" t="str">
        <f>IFERROR(VLOOKUP(O184,Références!$K$11:$N$19,2)," ")</f>
        <v xml:space="preserve"> </v>
      </c>
      <c r="Q184" s="265" t="str">
        <f>IFERROR(VLOOKUP(O184,Références!$K$11:$N$19,3)," ")</f>
        <v xml:space="preserve"> </v>
      </c>
      <c r="R184" s="265" t="str">
        <f>IFERROR(VLOOKUP(O184,Références!$K$11:$N$19,4)," ")</f>
        <v xml:space="preserve"> </v>
      </c>
      <c r="S184" s="256"/>
      <c r="T184" s="256"/>
      <c r="U184" s="256"/>
      <c r="V184" s="256"/>
      <c r="W184" s="256"/>
      <c r="X184" s="257"/>
      <c r="Y184" s="256"/>
      <c r="Z184" s="256"/>
      <c r="AA184" s="256"/>
      <c r="AB184" s="235"/>
      <c r="AC184" s="235"/>
      <c r="AD184" s="235"/>
      <c r="AE184" s="235"/>
      <c r="AF184" s="235"/>
      <c r="AG184" s="235"/>
      <c r="AH184" s="235"/>
      <c r="AI184" s="235">
        <f t="shared" si="204"/>
        <v>0</v>
      </c>
      <c r="AJ184" s="257"/>
      <c r="AK184" s="256">
        <f t="shared" si="205"/>
        <v>0</v>
      </c>
      <c r="AL184" s="257"/>
      <c r="AM184" s="266">
        <f t="shared" si="206"/>
        <v>0</v>
      </c>
      <c r="AN184" s="256"/>
      <c r="AO184" s="276"/>
      <c r="AP184" s="261" t="str">
        <f t="shared" si="163"/>
        <v xml:space="preserve"> </v>
      </c>
      <c r="AQ184" s="256"/>
      <c r="AR184" s="295"/>
      <c r="AS184" s="295"/>
      <c r="AT184" s="263"/>
      <c r="AU184" s="277"/>
      <c r="AV184" s="263"/>
      <c r="AW184" s="230"/>
      <c r="AX184" s="300"/>
      <c r="AY184" s="301"/>
      <c r="AZ184" s="230"/>
      <c r="BA184" s="300"/>
      <c r="BB184" s="295"/>
      <c r="BC184" s="228">
        <f t="shared" si="207"/>
        <v>0</v>
      </c>
      <c r="BD184" s="228">
        <f t="shared" si="208"/>
        <v>0</v>
      </c>
      <c r="BE184" s="228">
        <f t="shared" si="155"/>
        <v>1</v>
      </c>
      <c r="BF184" s="228" t="str">
        <f t="shared" si="164"/>
        <v>ALIVE</v>
      </c>
      <c r="BG184" s="208" t="str">
        <f t="shared" si="156"/>
        <v>Aucune</v>
      </c>
      <c r="BH184" s="208" t="str">
        <f t="shared" si="157"/>
        <v>Aucune</v>
      </c>
      <c r="BI184" s="208" t="str">
        <f t="shared" si="158"/>
        <v>Aucune</v>
      </c>
      <c r="BJ184" s="208" t="str">
        <f t="shared" si="188"/>
        <v>NON</v>
      </c>
      <c r="BK184" s="208" t="str">
        <f t="shared" si="159"/>
        <v>NON</v>
      </c>
      <c r="BL184" s="208" t="str">
        <f t="shared" si="189"/>
        <v>Inconnu</v>
      </c>
      <c r="BM184" s="208" t="str">
        <f t="shared" si="209"/>
        <v>Inconnu</v>
      </c>
      <c r="BN184" s="208" t="str">
        <f t="shared" si="210"/>
        <v>Inconnu</v>
      </c>
      <c r="BO184" s="208" t="str">
        <f t="shared" si="190"/>
        <v>Inconnu</v>
      </c>
      <c r="BP184" s="208" t="str">
        <f t="shared" si="211"/>
        <v>Inconnu</v>
      </c>
      <c r="BQ184" s="208" t="str">
        <f t="shared" si="212"/>
        <v>Inconnu</v>
      </c>
      <c r="BR184" s="208" t="str">
        <f t="shared" si="213"/>
        <v>Aucune</v>
      </c>
      <c r="BS184" s="208">
        <f t="shared" si="186"/>
        <v>0</v>
      </c>
      <c r="BT184" s="229" t="e">
        <f>VLOOKUP($I184,Lieu_Activité!$A:$B,2,FALSE)</f>
        <v>#N/A</v>
      </c>
      <c r="BU184" s="208" t="str">
        <f t="shared" si="160"/>
        <v>Aucun</v>
      </c>
      <c r="BV184" s="208" t="str">
        <f t="shared" si="161"/>
        <v>Aucun</v>
      </c>
      <c r="BW184" s="207" t="str">
        <f t="shared" ref="BW184:BW214" si="214">IF(M184="","NON","OUI")</f>
        <v>NON</v>
      </c>
      <c r="BX184" s="288"/>
    </row>
    <row r="185" spans="1:76" ht="12.75" customHeight="1" x14ac:dyDescent="0.25">
      <c r="A185" s="231" t="s">
        <v>282</v>
      </c>
      <c r="B185" s="234"/>
      <c r="C185" s="227"/>
      <c r="D185" s="257"/>
      <c r="E185" s="278">
        <f t="shared" si="203"/>
        <v>0</v>
      </c>
      <c r="F185" s="278" t="str">
        <f t="shared" si="162"/>
        <v xml:space="preserve"> </v>
      </c>
      <c r="G185" s="256"/>
      <c r="H185" s="256"/>
      <c r="I185" s="256"/>
      <c r="J185" s="256"/>
      <c r="K185" s="256"/>
      <c r="L185" s="257"/>
      <c r="M185" s="243"/>
      <c r="N185" s="232"/>
      <c r="O185" s="265"/>
      <c r="P185" s="265" t="str">
        <f>IFERROR(VLOOKUP(O185,Références!$K$11:$N$19,2)," ")</f>
        <v xml:space="preserve"> </v>
      </c>
      <c r="Q185" s="265" t="str">
        <f>IFERROR(VLOOKUP(O185,Références!$K$11:$N$19,3)," ")</f>
        <v xml:space="preserve"> </v>
      </c>
      <c r="R185" s="265" t="str">
        <f>IFERROR(VLOOKUP(O185,Références!$K$11:$N$19,4)," ")</f>
        <v xml:space="preserve"> </v>
      </c>
      <c r="S185" s="256"/>
      <c r="T185" s="256"/>
      <c r="U185" s="256"/>
      <c r="V185" s="256"/>
      <c r="W185" s="256"/>
      <c r="X185" s="257"/>
      <c r="Y185" s="256"/>
      <c r="Z185" s="256"/>
      <c r="AA185" s="256"/>
      <c r="AB185" s="235"/>
      <c r="AC185" s="235"/>
      <c r="AD185" s="235"/>
      <c r="AE185" s="235"/>
      <c r="AF185" s="235"/>
      <c r="AG185" s="235"/>
      <c r="AH185" s="235"/>
      <c r="AI185" s="235">
        <f t="shared" si="204"/>
        <v>0</v>
      </c>
      <c r="AJ185" s="257"/>
      <c r="AK185" s="256">
        <f t="shared" si="205"/>
        <v>0</v>
      </c>
      <c r="AL185" s="257"/>
      <c r="AM185" s="266">
        <f t="shared" si="206"/>
        <v>0</v>
      </c>
      <c r="AN185" s="256"/>
      <c r="AO185" s="276"/>
      <c r="AP185" s="261" t="str">
        <f t="shared" si="163"/>
        <v xml:space="preserve"> </v>
      </c>
      <c r="AQ185" s="256"/>
      <c r="AR185" s="297"/>
      <c r="AS185" s="295"/>
      <c r="AT185" s="263"/>
      <c r="AU185" s="277"/>
      <c r="AV185" s="263"/>
      <c r="AW185" s="230"/>
      <c r="AX185" s="300"/>
      <c r="AY185" s="301"/>
      <c r="AZ185" s="230"/>
      <c r="BA185" s="300" t="s">
        <v>234</v>
      </c>
      <c r="BB185" s="295"/>
      <c r="BC185" s="228">
        <f t="shared" si="207"/>
        <v>0</v>
      </c>
      <c r="BD185" s="228">
        <f t="shared" si="208"/>
        <v>0</v>
      </c>
      <c r="BE185" s="228">
        <f t="shared" si="155"/>
        <v>1</v>
      </c>
      <c r="BF185" s="228" t="str">
        <f t="shared" si="164"/>
        <v>ALIVE</v>
      </c>
      <c r="BG185" s="208" t="str">
        <f t="shared" si="156"/>
        <v>Aucune</v>
      </c>
      <c r="BH185" s="208" t="str">
        <f t="shared" si="157"/>
        <v>Aucune</v>
      </c>
      <c r="BI185" s="208" t="str">
        <f t="shared" si="158"/>
        <v>Aucune</v>
      </c>
      <c r="BJ185" s="208" t="str">
        <f t="shared" si="188"/>
        <v>NON</v>
      </c>
      <c r="BK185" s="208" t="str">
        <f t="shared" si="159"/>
        <v>NON</v>
      </c>
      <c r="BL185" s="208" t="str">
        <f t="shared" si="189"/>
        <v>Inconnu</v>
      </c>
      <c r="BM185" s="208" t="str">
        <f t="shared" si="209"/>
        <v>Inconnu</v>
      </c>
      <c r="BN185" s="208" t="str">
        <f t="shared" si="210"/>
        <v>Inconnu</v>
      </c>
      <c r="BO185" s="208" t="str">
        <f t="shared" si="190"/>
        <v>Inconnu</v>
      </c>
      <c r="BP185" s="208" t="str">
        <f t="shared" si="211"/>
        <v>Inconnu</v>
      </c>
      <c r="BQ185" s="208" t="str">
        <f t="shared" si="212"/>
        <v>Inconnu</v>
      </c>
      <c r="BR185" s="208" t="str">
        <f t="shared" si="213"/>
        <v>Aucune</v>
      </c>
      <c r="BS185" s="208">
        <f t="shared" si="186"/>
        <v>0</v>
      </c>
      <c r="BT185" s="229" t="e">
        <f>VLOOKUP($I185,Lieu_Activité!$A:$B,2,FALSE)</f>
        <v>#N/A</v>
      </c>
      <c r="BU185" s="208" t="str">
        <f t="shared" si="160"/>
        <v>Aucun</v>
      </c>
      <c r="BV185" s="208" t="str">
        <f t="shared" si="161"/>
        <v>Aucun</v>
      </c>
      <c r="BW185" s="207" t="str">
        <f t="shared" si="214"/>
        <v>NON</v>
      </c>
      <c r="BX185" s="288"/>
    </row>
    <row r="186" spans="1:76" ht="12" customHeight="1" x14ac:dyDescent="0.25">
      <c r="A186" s="231" t="s">
        <v>282</v>
      </c>
      <c r="B186" s="267"/>
      <c r="C186" s="227"/>
      <c r="D186" s="257"/>
      <c r="E186" s="278">
        <f t="shared" si="203"/>
        <v>0</v>
      </c>
      <c r="F186" s="278" t="str">
        <f t="shared" si="162"/>
        <v xml:space="preserve"> </v>
      </c>
      <c r="G186" s="256"/>
      <c r="H186" s="256"/>
      <c r="I186" s="256"/>
      <c r="J186" s="256"/>
      <c r="K186" s="256"/>
      <c r="L186" s="257"/>
      <c r="M186" s="243"/>
      <c r="N186" s="232"/>
      <c r="O186" s="232"/>
      <c r="P186" s="265" t="str">
        <f>IFERROR(VLOOKUP(O186,Références!$K$11:$N$19,2)," ")</f>
        <v xml:space="preserve"> </v>
      </c>
      <c r="Q186" s="265" t="str">
        <f>IFERROR(VLOOKUP(O186,Références!$K$11:$N$19,3)," ")</f>
        <v xml:space="preserve"> </v>
      </c>
      <c r="R186" s="265" t="str">
        <f>IFERROR(VLOOKUP(O186,Références!$K$11:$N$19,4)," ")</f>
        <v xml:space="preserve"> </v>
      </c>
      <c r="S186" s="256"/>
      <c r="T186" s="256"/>
      <c r="U186" s="256"/>
      <c r="V186" s="256"/>
      <c r="W186" s="256"/>
      <c r="X186" s="257"/>
      <c r="Y186" s="256"/>
      <c r="Z186" s="256"/>
      <c r="AA186" s="256"/>
      <c r="AB186" s="235"/>
      <c r="AC186" s="235"/>
      <c r="AD186" s="235"/>
      <c r="AE186" s="235"/>
      <c r="AF186" s="235"/>
      <c r="AG186" s="235"/>
      <c r="AH186" s="235"/>
      <c r="AI186" s="235">
        <f t="shared" si="204"/>
        <v>0</v>
      </c>
      <c r="AJ186" s="257"/>
      <c r="AK186" s="256">
        <f t="shared" si="205"/>
        <v>0</v>
      </c>
      <c r="AL186" s="257"/>
      <c r="AM186" s="266">
        <f t="shared" si="206"/>
        <v>0</v>
      </c>
      <c r="AN186" s="256"/>
      <c r="AO186" s="276"/>
      <c r="AP186" s="261" t="str">
        <f t="shared" si="163"/>
        <v xml:space="preserve"> </v>
      </c>
      <c r="AQ186" s="256"/>
      <c r="AR186" s="295"/>
      <c r="AS186" s="295"/>
      <c r="AT186" s="263"/>
      <c r="AU186" s="277"/>
      <c r="AV186" s="263"/>
      <c r="AW186" s="230"/>
      <c r="AX186" s="300"/>
      <c r="AY186" s="301"/>
      <c r="AZ186" s="230"/>
      <c r="BA186" s="300"/>
      <c r="BB186" s="295"/>
      <c r="BC186" s="228">
        <f t="shared" si="207"/>
        <v>0</v>
      </c>
      <c r="BD186" s="228">
        <f t="shared" si="208"/>
        <v>0</v>
      </c>
      <c r="BE186" s="228">
        <f t="shared" si="155"/>
        <v>1</v>
      </c>
      <c r="BF186" s="228" t="str">
        <f t="shared" si="164"/>
        <v>ALIVE</v>
      </c>
      <c r="BG186" s="208" t="str">
        <f t="shared" si="156"/>
        <v>Aucune</v>
      </c>
      <c r="BH186" s="208" t="str">
        <f t="shared" si="157"/>
        <v>Aucune</v>
      </c>
      <c r="BI186" s="208" t="str">
        <f t="shared" si="158"/>
        <v>Aucune</v>
      </c>
      <c r="BJ186" s="208" t="str">
        <f t="shared" si="188"/>
        <v>NON</v>
      </c>
      <c r="BK186" s="208" t="str">
        <f t="shared" si="159"/>
        <v>NON</v>
      </c>
      <c r="BL186" s="208" t="str">
        <f t="shared" si="189"/>
        <v>Inconnu</v>
      </c>
      <c r="BM186" s="208" t="str">
        <f t="shared" si="209"/>
        <v>Inconnu</v>
      </c>
      <c r="BN186" s="208" t="str">
        <f t="shared" si="210"/>
        <v>Inconnu</v>
      </c>
      <c r="BO186" s="208" t="str">
        <f t="shared" si="190"/>
        <v>Inconnu</v>
      </c>
      <c r="BP186" s="208" t="str">
        <f t="shared" si="211"/>
        <v>Inconnu</v>
      </c>
      <c r="BQ186" s="208" t="str">
        <f t="shared" si="212"/>
        <v>Inconnu</v>
      </c>
      <c r="BR186" s="208" t="str">
        <f t="shared" si="213"/>
        <v>Aucune</v>
      </c>
      <c r="BS186" s="208">
        <f t="shared" si="186"/>
        <v>0</v>
      </c>
      <c r="BT186" s="229" t="e">
        <f>VLOOKUP($I186,Lieu_Activité!$A:$B,2,FALSE)</f>
        <v>#N/A</v>
      </c>
      <c r="BU186" s="208" t="str">
        <f t="shared" si="160"/>
        <v>Aucun</v>
      </c>
      <c r="BV186" s="208" t="str">
        <f t="shared" si="161"/>
        <v>Aucun</v>
      </c>
      <c r="BW186" s="207" t="str">
        <f t="shared" si="214"/>
        <v>NON</v>
      </c>
      <c r="BX186" s="288"/>
    </row>
    <row r="187" spans="1:76" ht="12" customHeight="1" x14ac:dyDescent="0.25">
      <c r="A187" s="231" t="s">
        <v>282</v>
      </c>
      <c r="B187" s="234"/>
      <c r="C187" s="227"/>
      <c r="D187" s="257"/>
      <c r="E187" s="278">
        <f t="shared" si="203"/>
        <v>0</v>
      </c>
      <c r="F187" s="278" t="str">
        <f t="shared" si="162"/>
        <v xml:space="preserve"> </v>
      </c>
      <c r="G187" s="256"/>
      <c r="H187" s="256"/>
      <c r="I187" s="256"/>
      <c r="J187" s="256"/>
      <c r="K187" s="256"/>
      <c r="L187" s="257"/>
      <c r="M187" s="243"/>
      <c r="N187" s="232"/>
      <c r="O187" s="232"/>
      <c r="P187" s="265" t="str">
        <f>IFERROR(VLOOKUP(O187,Références!$K$11:$N$19,2)," ")</f>
        <v xml:space="preserve"> </v>
      </c>
      <c r="Q187" s="265" t="str">
        <f>IFERROR(VLOOKUP(O187,Références!$K$11:$N$19,3)," ")</f>
        <v xml:space="preserve"> </v>
      </c>
      <c r="R187" s="265" t="str">
        <f>IFERROR(VLOOKUP(O187,Références!$K$11:$N$19,4)," ")</f>
        <v xml:space="preserve"> </v>
      </c>
      <c r="S187" s="256"/>
      <c r="T187" s="256"/>
      <c r="U187" s="256"/>
      <c r="V187" s="256"/>
      <c r="W187" s="256"/>
      <c r="X187" s="257"/>
      <c r="Y187" s="256"/>
      <c r="Z187" s="256"/>
      <c r="AA187" s="256"/>
      <c r="AB187" s="235"/>
      <c r="AC187" s="235"/>
      <c r="AD187" s="235"/>
      <c r="AE187" s="235"/>
      <c r="AF187" s="235"/>
      <c r="AG187" s="235"/>
      <c r="AH187" s="235"/>
      <c r="AI187" s="235">
        <f t="shared" si="204"/>
        <v>0</v>
      </c>
      <c r="AJ187" s="257"/>
      <c r="AK187" s="256">
        <f t="shared" si="205"/>
        <v>0</v>
      </c>
      <c r="AL187" s="257"/>
      <c r="AM187" s="266">
        <f t="shared" si="206"/>
        <v>0</v>
      </c>
      <c r="AN187" s="256"/>
      <c r="AO187" s="276"/>
      <c r="AP187" s="261" t="str">
        <f t="shared" si="163"/>
        <v xml:space="preserve"> </v>
      </c>
      <c r="AQ187" s="256"/>
      <c r="AR187" s="295"/>
      <c r="AS187" s="295"/>
      <c r="AT187" s="263"/>
      <c r="AU187" s="277"/>
      <c r="AV187" s="263"/>
      <c r="AW187" s="230"/>
      <c r="AX187" s="300"/>
      <c r="AY187" s="301"/>
      <c r="AZ187" s="230"/>
      <c r="BA187" s="300" t="s">
        <v>234</v>
      </c>
      <c r="BB187" s="295"/>
      <c r="BC187" s="228">
        <f t="shared" si="207"/>
        <v>0</v>
      </c>
      <c r="BD187" s="228">
        <f t="shared" si="208"/>
        <v>0</v>
      </c>
      <c r="BE187" s="228">
        <f t="shared" si="155"/>
        <v>1</v>
      </c>
      <c r="BF187" s="228" t="str">
        <f t="shared" si="164"/>
        <v>ALIVE</v>
      </c>
      <c r="BG187" s="208" t="str">
        <f t="shared" si="156"/>
        <v>Aucune</v>
      </c>
      <c r="BH187" s="208" t="str">
        <f t="shared" si="157"/>
        <v>Aucune</v>
      </c>
      <c r="BI187" s="208" t="str">
        <f t="shared" si="158"/>
        <v>Aucune</v>
      </c>
      <c r="BJ187" s="208" t="str">
        <f t="shared" si="188"/>
        <v>NON</v>
      </c>
      <c r="BK187" s="208" t="str">
        <f t="shared" si="159"/>
        <v>NON</v>
      </c>
      <c r="BL187" s="208" t="str">
        <f t="shared" si="189"/>
        <v>Inconnu</v>
      </c>
      <c r="BM187" s="208" t="str">
        <f t="shared" si="209"/>
        <v>Inconnu</v>
      </c>
      <c r="BN187" s="208" t="str">
        <f t="shared" si="210"/>
        <v>Inconnu</v>
      </c>
      <c r="BO187" s="208" t="str">
        <f t="shared" si="190"/>
        <v>Inconnu</v>
      </c>
      <c r="BP187" s="208" t="str">
        <f t="shared" si="211"/>
        <v>Inconnu</v>
      </c>
      <c r="BQ187" s="208" t="str">
        <f t="shared" si="212"/>
        <v>Inconnu</v>
      </c>
      <c r="BR187" s="208" t="str">
        <f t="shared" si="213"/>
        <v>Aucune</v>
      </c>
      <c r="BS187" s="208">
        <f t="shared" si="186"/>
        <v>0</v>
      </c>
      <c r="BT187" s="229" t="e">
        <f>VLOOKUP($I187,Lieu_Activité!$A:$B,2,FALSE)</f>
        <v>#N/A</v>
      </c>
      <c r="BU187" s="208" t="str">
        <f t="shared" si="160"/>
        <v>Aucun</v>
      </c>
      <c r="BV187" s="208" t="str">
        <f t="shared" si="161"/>
        <v>Aucun</v>
      </c>
      <c r="BW187" s="207" t="str">
        <f t="shared" si="214"/>
        <v>NON</v>
      </c>
      <c r="BX187" s="288"/>
    </row>
    <row r="188" spans="1:76" ht="12" customHeight="1" x14ac:dyDescent="0.25">
      <c r="A188" s="231" t="s">
        <v>282</v>
      </c>
      <c r="B188" s="234"/>
      <c r="C188" s="227"/>
      <c r="D188" s="257"/>
      <c r="E188" s="278">
        <f t="shared" si="203"/>
        <v>0</v>
      </c>
      <c r="F188" s="278" t="str">
        <f t="shared" si="162"/>
        <v xml:space="preserve"> </v>
      </c>
      <c r="G188" s="256"/>
      <c r="H188" s="256"/>
      <c r="I188" s="256"/>
      <c r="J188" s="256"/>
      <c r="K188" s="256"/>
      <c r="L188" s="257"/>
      <c r="M188" s="243"/>
      <c r="N188" s="232"/>
      <c r="O188" s="232"/>
      <c r="P188" s="265" t="str">
        <f>IFERROR(VLOOKUP(O188,Références!$K$11:$N$19,2)," ")</f>
        <v xml:space="preserve"> </v>
      </c>
      <c r="Q188" s="265" t="str">
        <f>IFERROR(VLOOKUP(O188,Références!$K$11:$N$19,3)," ")</f>
        <v xml:space="preserve"> </v>
      </c>
      <c r="R188" s="265" t="str">
        <f>IFERROR(VLOOKUP(O188,Références!$K$11:$N$19,4)," ")</f>
        <v xml:space="preserve"> </v>
      </c>
      <c r="S188" s="256"/>
      <c r="T188" s="256"/>
      <c r="U188" s="256"/>
      <c r="V188" s="256"/>
      <c r="W188" s="256"/>
      <c r="X188" s="257"/>
      <c r="Y188" s="256"/>
      <c r="Z188" s="256"/>
      <c r="AA188" s="256"/>
      <c r="AB188" s="235"/>
      <c r="AC188" s="235"/>
      <c r="AD188" s="235"/>
      <c r="AE188" s="235"/>
      <c r="AF188" s="235"/>
      <c r="AG188" s="235"/>
      <c r="AH188" s="235"/>
      <c r="AI188" s="235">
        <f t="shared" si="204"/>
        <v>0</v>
      </c>
      <c r="AJ188" s="257"/>
      <c r="AK188" s="256">
        <f t="shared" si="205"/>
        <v>0</v>
      </c>
      <c r="AL188" s="257"/>
      <c r="AM188" s="266">
        <f t="shared" si="206"/>
        <v>0</v>
      </c>
      <c r="AN188" s="256"/>
      <c r="AO188" s="276"/>
      <c r="AP188" s="261" t="str">
        <f t="shared" si="163"/>
        <v xml:space="preserve"> </v>
      </c>
      <c r="AQ188" s="256"/>
      <c r="AR188" s="295"/>
      <c r="AS188" s="295"/>
      <c r="AT188" s="263"/>
      <c r="AU188" s="277"/>
      <c r="AV188" s="263"/>
      <c r="AW188" s="230"/>
      <c r="AX188" s="300"/>
      <c r="AY188" s="301"/>
      <c r="AZ188" s="230"/>
      <c r="BA188" s="300" t="s">
        <v>234</v>
      </c>
      <c r="BB188" s="295"/>
      <c r="BC188" s="228">
        <f t="shared" si="207"/>
        <v>0</v>
      </c>
      <c r="BD188" s="228">
        <f t="shared" si="208"/>
        <v>0</v>
      </c>
      <c r="BE188" s="228">
        <f t="shared" si="155"/>
        <v>1</v>
      </c>
      <c r="BF188" s="228" t="str">
        <f t="shared" si="164"/>
        <v>ALIVE</v>
      </c>
      <c r="BG188" s="208" t="str">
        <f t="shared" si="156"/>
        <v>Aucune</v>
      </c>
      <c r="BH188" s="208" t="str">
        <f t="shared" si="157"/>
        <v>Aucune</v>
      </c>
      <c r="BI188" s="208" t="str">
        <f t="shared" si="158"/>
        <v>Aucune</v>
      </c>
      <c r="BJ188" s="208" t="str">
        <f t="shared" si="188"/>
        <v>NON</v>
      </c>
      <c r="BK188" s="208" t="str">
        <f t="shared" si="159"/>
        <v>NON</v>
      </c>
      <c r="BL188" s="208" t="str">
        <f t="shared" si="189"/>
        <v>Inconnu</v>
      </c>
      <c r="BM188" s="208" t="str">
        <f t="shared" si="209"/>
        <v>Inconnu</v>
      </c>
      <c r="BN188" s="208" t="str">
        <f t="shared" si="210"/>
        <v>Inconnu</v>
      </c>
      <c r="BO188" s="208" t="str">
        <f t="shared" si="190"/>
        <v>Inconnu</v>
      </c>
      <c r="BP188" s="208" t="str">
        <f t="shared" si="211"/>
        <v>Inconnu</v>
      </c>
      <c r="BQ188" s="208" t="str">
        <f t="shared" si="212"/>
        <v>Inconnu</v>
      </c>
      <c r="BR188" s="208" t="str">
        <f t="shared" si="213"/>
        <v>Aucune</v>
      </c>
      <c r="BS188" s="208">
        <f t="shared" ref="BS188:BS301" si="215">AF188+AH188</f>
        <v>0</v>
      </c>
      <c r="BT188" s="229" t="e">
        <f>VLOOKUP($I188,Lieu_Activité!$A:$B,2,FALSE)</f>
        <v>#N/A</v>
      </c>
      <c r="BU188" s="208" t="str">
        <f t="shared" si="160"/>
        <v>Aucun</v>
      </c>
      <c r="BV188" s="208" t="str">
        <f t="shared" si="161"/>
        <v>Aucun</v>
      </c>
      <c r="BW188" s="207" t="str">
        <f t="shared" si="214"/>
        <v>NON</v>
      </c>
      <c r="BX188" s="288"/>
    </row>
    <row r="189" spans="1:76" ht="12.75" customHeight="1" x14ac:dyDescent="0.25">
      <c r="A189" s="231" t="s">
        <v>282</v>
      </c>
      <c r="B189" s="234"/>
      <c r="C189" s="227"/>
      <c r="D189" s="257"/>
      <c r="E189" s="278">
        <f t="shared" si="203"/>
        <v>0</v>
      </c>
      <c r="F189" s="278" t="str">
        <f t="shared" si="162"/>
        <v xml:space="preserve"> </v>
      </c>
      <c r="G189" s="256"/>
      <c r="H189" s="256"/>
      <c r="I189" s="256"/>
      <c r="J189" s="256"/>
      <c r="K189" s="256"/>
      <c r="L189" s="257"/>
      <c r="M189" s="243"/>
      <c r="N189" s="232"/>
      <c r="O189" s="265"/>
      <c r="P189" s="265" t="str">
        <f>IFERROR(VLOOKUP(O189,Références!$K$11:$N$19,2)," ")</f>
        <v xml:space="preserve"> </v>
      </c>
      <c r="Q189" s="265" t="str">
        <f>IFERROR(VLOOKUP(O189,Références!$K$11:$N$19,3)," ")</f>
        <v xml:space="preserve"> </v>
      </c>
      <c r="R189" s="265" t="str">
        <f>IFERROR(VLOOKUP(O189,Références!$K$11:$N$19,4)," ")</f>
        <v xml:space="preserve"> </v>
      </c>
      <c r="S189" s="256"/>
      <c r="T189" s="256"/>
      <c r="U189" s="256"/>
      <c r="V189" s="256"/>
      <c r="W189" s="256"/>
      <c r="X189" s="257"/>
      <c r="Y189" s="256"/>
      <c r="Z189" s="256"/>
      <c r="AA189" s="256"/>
      <c r="AB189" s="235"/>
      <c r="AC189" s="235"/>
      <c r="AD189" s="235"/>
      <c r="AE189" s="235"/>
      <c r="AF189" s="235"/>
      <c r="AG189" s="235"/>
      <c r="AH189" s="235"/>
      <c r="AI189" s="235">
        <f t="shared" si="204"/>
        <v>0</v>
      </c>
      <c r="AJ189" s="257"/>
      <c r="AK189" s="256">
        <f t="shared" si="205"/>
        <v>0</v>
      </c>
      <c r="AL189" s="257"/>
      <c r="AM189" s="266">
        <f t="shared" si="206"/>
        <v>0</v>
      </c>
      <c r="AN189" s="256"/>
      <c r="AO189" s="276"/>
      <c r="AP189" s="261" t="str">
        <f t="shared" si="163"/>
        <v xml:space="preserve"> </v>
      </c>
      <c r="AQ189" s="256"/>
      <c r="AR189" s="295"/>
      <c r="AS189" s="295"/>
      <c r="AT189" s="263"/>
      <c r="AU189" s="277"/>
      <c r="AV189" s="263"/>
      <c r="AW189" s="230"/>
      <c r="AX189" s="300"/>
      <c r="AY189" s="301"/>
      <c r="AZ189" s="230"/>
      <c r="BA189" s="300" t="s">
        <v>234</v>
      </c>
      <c r="BB189" s="295"/>
      <c r="BC189" s="228">
        <f t="shared" si="207"/>
        <v>0</v>
      </c>
      <c r="BD189" s="228">
        <f t="shared" si="208"/>
        <v>0</v>
      </c>
      <c r="BE189" s="228">
        <f t="shared" si="155"/>
        <v>1</v>
      </c>
      <c r="BF189" s="228" t="str">
        <f t="shared" si="164"/>
        <v>ALIVE</v>
      </c>
      <c r="BG189" s="208" t="str">
        <f t="shared" si="156"/>
        <v>Aucune</v>
      </c>
      <c r="BH189" s="208" t="str">
        <f t="shared" si="157"/>
        <v>Aucune</v>
      </c>
      <c r="BI189" s="208" t="str">
        <f t="shared" si="158"/>
        <v>Aucune</v>
      </c>
      <c r="BJ189" s="208" t="str">
        <f t="shared" si="188"/>
        <v>NON</v>
      </c>
      <c r="BK189" s="208" t="str">
        <f t="shared" si="159"/>
        <v>NON</v>
      </c>
      <c r="BL189" s="208" t="str">
        <f t="shared" si="189"/>
        <v>Inconnu</v>
      </c>
      <c r="BM189" s="208" t="str">
        <f t="shared" si="209"/>
        <v>Inconnu</v>
      </c>
      <c r="BN189" s="208" t="str">
        <f t="shared" si="210"/>
        <v>Inconnu</v>
      </c>
      <c r="BO189" s="208" t="str">
        <f t="shared" si="190"/>
        <v>Inconnu</v>
      </c>
      <c r="BP189" s="208" t="str">
        <f t="shared" si="211"/>
        <v>Inconnu</v>
      </c>
      <c r="BQ189" s="208" t="str">
        <f t="shared" si="212"/>
        <v>Inconnu</v>
      </c>
      <c r="BR189" s="208" t="str">
        <f t="shared" si="213"/>
        <v>Aucune</v>
      </c>
      <c r="BS189" s="208">
        <f t="shared" si="215"/>
        <v>0</v>
      </c>
      <c r="BT189" s="229" t="e">
        <f>VLOOKUP($I189,Lieu_Activité!$A:$B,2,FALSE)</f>
        <v>#N/A</v>
      </c>
      <c r="BU189" s="208" t="str">
        <f t="shared" si="160"/>
        <v>Aucun</v>
      </c>
      <c r="BV189" s="208" t="str">
        <f t="shared" si="161"/>
        <v>Aucun</v>
      </c>
      <c r="BW189" s="207" t="str">
        <f t="shared" si="214"/>
        <v>NON</v>
      </c>
      <c r="BX189" s="288"/>
    </row>
    <row r="190" spans="1:76" ht="12" customHeight="1" x14ac:dyDescent="0.25">
      <c r="A190" s="231" t="s">
        <v>282</v>
      </c>
      <c r="B190" s="234"/>
      <c r="C190" s="227"/>
      <c r="D190" s="257"/>
      <c r="E190" s="278">
        <f t="shared" si="203"/>
        <v>0</v>
      </c>
      <c r="F190" s="278" t="str">
        <f t="shared" si="162"/>
        <v xml:space="preserve"> </v>
      </c>
      <c r="G190" s="256"/>
      <c r="H190" s="256"/>
      <c r="I190" s="256"/>
      <c r="J190" s="256"/>
      <c r="K190" s="256"/>
      <c r="L190" s="257"/>
      <c r="M190" s="243"/>
      <c r="N190" s="232"/>
      <c r="O190" s="232"/>
      <c r="P190" s="265" t="str">
        <f>IFERROR(VLOOKUP(O190,Références!$K$11:$N$19,2)," ")</f>
        <v xml:space="preserve"> </v>
      </c>
      <c r="Q190" s="265" t="str">
        <f>IFERROR(VLOOKUP(O190,Références!$K$11:$N$19,3)," ")</f>
        <v xml:space="preserve"> </v>
      </c>
      <c r="R190" s="265" t="str">
        <f>IFERROR(VLOOKUP(O190,Références!$K$11:$N$19,4)," ")</f>
        <v xml:space="preserve"> </v>
      </c>
      <c r="S190" s="256"/>
      <c r="T190" s="256"/>
      <c r="U190" s="256"/>
      <c r="V190" s="256"/>
      <c r="W190" s="256"/>
      <c r="X190" s="257"/>
      <c r="Y190" s="256"/>
      <c r="Z190" s="256"/>
      <c r="AA190" s="256"/>
      <c r="AB190" s="235"/>
      <c r="AC190" s="235"/>
      <c r="AD190" s="235"/>
      <c r="AE190" s="235"/>
      <c r="AF190" s="235"/>
      <c r="AG190" s="235"/>
      <c r="AH190" s="235"/>
      <c r="AI190" s="235">
        <f t="shared" si="204"/>
        <v>0</v>
      </c>
      <c r="AJ190" s="257"/>
      <c r="AK190" s="256">
        <f t="shared" si="205"/>
        <v>0</v>
      </c>
      <c r="AL190" s="257"/>
      <c r="AM190" s="266">
        <f t="shared" si="206"/>
        <v>0</v>
      </c>
      <c r="AN190" s="256"/>
      <c r="AO190" s="276"/>
      <c r="AP190" s="261" t="str">
        <f t="shared" si="163"/>
        <v xml:space="preserve"> </v>
      </c>
      <c r="AQ190" s="256"/>
      <c r="AR190" s="295"/>
      <c r="AS190" s="295"/>
      <c r="AT190" s="263"/>
      <c r="AU190" s="277"/>
      <c r="AV190" s="263"/>
      <c r="AW190" s="230"/>
      <c r="AX190" s="300"/>
      <c r="AY190" s="301"/>
      <c r="AZ190" s="230"/>
      <c r="BA190" s="300"/>
      <c r="BB190" s="295"/>
      <c r="BC190" s="228">
        <f t="shared" si="207"/>
        <v>0</v>
      </c>
      <c r="BD190" s="228">
        <f t="shared" si="208"/>
        <v>0</v>
      </c>
      <c r="BE190" s="228">
        <f t="shared" si="155"/>
        <v>1</v>
      </c>
      <c r="BF190" s="228" t="str">
        <f t="shared" si="164"/>
        <v>ALIVE</v>
      </c>
      <c r="BG190" s="208" t="str">
        <f t="shared" si="156"/>
        <v>Aucune</v>
      </c>
      <c r="BH190" s="208" t="str">
        <f t="shared" si="157"/>
        <v>Aucune</v>
      </c>
      <c r="BI190" s="208" t="str">
        <f t="shared" si="158"/>
        <v>Aucune</v>
      </c>
      <c r="BJ190" s="208" t="str">
        <f t="shared" si="188"/>
        <v>NON</v>
      </c>
      <c r="BK190" s="208" t="str">
        <f t="shared" si="159"/>
        <v>NON</v>
      </c>
      <c r="BL190" s="208" t="str">
        <f t="shared" si="189"/>
        <v>Inconnu</v>
      </c>
      <c r="BM190" s="208" t="str">
        <f t="shared" si="209"/>
        <v>Inconnu</v>
      </c>
      <c r="BN190" s="208" t="str">
        <f t="shared" si="210"/>
        <v>Inconnu</v>
      </c>
      <c r="BO190" s="208" t="str">
        <f t="shared" si="190"/>
        <v>Inconnu</v>
      </c>
      <c r="BP190" s="208" t="str">
        <f t="shared" si="211"/>
        <v>Inconnu</v>
      </c>
      <c r="BQ190" s="208" t="str">
        <f t="shared" si="212"/>
        <v>Inconnu</v>
      </c>
      <c r="BR190" s="208" t="str">
        <f t="shared" si="213"/>
        <v>Aucune</v>
      </c>
      <c r="BS190" s="208">
        <f t="shared" si="215"/>
        <v>0</v>
      </c>
      <c r="BT190" s="229" t="e">
        <f>VLOOKUP($I190,Lieu_Activité!$A:$B,2,FALSE)</f>
        <v>#N/A</v>
      </c>
      <c r="BU190" s="208" t="str">
        <f t="shared" si="160"/>
        <v>Aucun</v>
      </c>
      <c r="BV190" s="208" t="str">
        <f t="shared" si="161"/>
        <v>Aucun</v>
      </c>
      <c r="BW190" s="207" t="str">
        <f t="shared" si="214"/>
        <v>NON</v>
      </c>
      <c r="BX190" s="288"/>
    </row>
    <row r="191" spans="1:76" ht="12" customHeight="1" x14ac:dyDescent="0.25">
      <c r="A191" s="231" t="s">
        <v>282</v>
      </c>
      <c r="B191" s="234"/>
      <c r="C191" s="227"/>
      <c r="D191" s="257"/>
      <c r="E191" s="278">
        <f t="shared" si="203"/>
        <v>0</v>
      </c>
      <c r="F191" s="278" t="str">
        <f t="shared" si="162"/>
        <v xml:space="preserve"> </v>
      </c>
      <c r="G191" s="256"/>
      <c r="H191" s="256"/>
      <c r="I191" s="256"/>
      <c r="J191" s="256"/>
      <c r="K191" s="256"/>
      <c r="L191" s="257"/>
      <c r="M191" s="243"/>
      <c r="N191" s="232"/>
      <c r="O191" s="232"/>
      <c r="P191" s="265" t="str">
        <f>IFERROR(VLOOKUP(O191,Références!$K$11:$N$19,2)," ")</f>
        <v xml:space="preserve"> </v>
      </c>
      <c r="Q191" s="265" t="str">
        <f>IFERROR(VLOOKUP(O191,Références!$K$11:$N$19,3)," ")</f>
        <v xml:space="preserve"> </v>
      </c>
      <c r="R191" s="265" t="str">
        <f>IFERROR(VLOOKUP(O191,Références!$K$11:$N$19,4)," ")</f>
        <v xml:space="preserve"> </v>
      </c>
      <c r="S191" s="256"/>
      <c r="T191" s="256"/>
      <c r="U191" s="256"/>
      <c r="V191" s="256"/>
      <c r="W191" s="256"/>
      <c r="X191" s="257"/>
      <c r="Y191" s="256"/>
      <c r="Z191" s="256"/>
      <c r="AA191" s="256"/>
      <c r="AB191" s="235"/>
      <c r="AC191" s="235"/>
      <c r="AD191" s="235"/>
      <c r="AE191" s="235"/>
      <c r="AF191" s="235"/>
      <c r="AG191" s="235"/>
      <c r="AH191" s="235"/>
      <c r="AI191" s="235">
        <f t="shared" si="204"/>
        <v>0</v>
      </c>
      <c r="AJ191" s="257"/>
      <c r="AK191" s="256">
        <f t="shared" si="205"/>
        <v>0</v>
      </c>
      <c r="AL191" s="257"/>
      <c r="AM191" s="266">
        <f t="shared" si="206"/>
        <v>0</v>
      </c>
      <c r="AN191" s="256"/>
      <c r="AO191" s="276"/>
      <c r="AP191" s="261" t="str">
        <f t="shared" si="163"/>
        <v xml:space="preserve"> </v>
      </c>
      <c r="AQ191" s="256"/>
      <c r="AR191" s="295"/>
      <c r="AS191" s="295"/>
      <c r="AT191" s="263"/>
      <c r="AU191" s="277"/>
      <c r="AV191" s="263"/>
      <c r="AW191" s="230"/>
      <c r="AX191" s="300"/>
      <c r="AY191" s="301"/>
      <c r="AZ191" s="300"/>
      <c r="BA191" s="300"/>
      <c r="BB191" s="295"/>
      <c r="BC191" s="228">
        <f t="shared" si="207"/>
        <v>0</v>
      </c>
      <c r="BD191" s="228">
        <f t="shared" si="208"/>
        <v>0</v>
      </c>
      <c r="BE191" s="228">
        <f t="shared" si="155"/>
        <v>1</v>
      </c>
      <c r="BF191" s="228" t="str">
        <f t="shared" si="164"/>
        <v>ALIVE</v>
      </c>
      <c r="BG191" s="208" t="str">
        <f t="shared" si="156"/>
        <v>Aucune</v>
      </c>
      <c r="BH191" s="208" t="str">
        <f t="shared" si="157"/>
        <v>Aucune</v>
      </c>
      <c r="BI191" s="208" t="str">
        <f t="shared" si="158"/>
        <v>Aucune</v>
      </c>
      <c r="BJ191" s="208" t="str">
        <f t="shared" ref="BJ191:BJ300" si="216">IF(X191&lt;&gt;"",IF(X191-L191&lt;2,"OUI","NON"),"NON")</f>
        <v>NON</v>
      </c>
      <c r="BK191" s="208" t="str">
        <f t="shared" si="159"/>
        <v>NON</v>
      </c>
      <c r="BL191" s="208" t="str">
        <f t="shared" ref="BL191:BL300" si="217">IF(AL191-L191&gt;0,AL191-L191,"Inconnu")</f>
        <v>Inconnu</v>
      </c>
      <c r="BM191" s="208" t="str">
        <f t="shared" si="209"/>
        <v>Inconnu</v>
      </c>
      <c r="BN191" s="208" t="str">
        <f t="shared" si="210"/>
        <v>Inconnu</v>
      </c>
      <c r="BO191" s="208" t="str">
        <f t="shared" ref="BO191:BO300" si="218">IF(AJ191-L191&gt;0,AJ191-L191,"Inconnu")</f>
        <v>Inconnu</v>
      </c>
      <c r="BP191" s="208" t="str">
        <f t="shared" si="211"/>
        <v>Inconnu</v>
      </c>
      <c r="BQ191" s="208" t="str">
        <f t="shared" si="212"/>
        <v>Inconnu</v>
      </c>
      <c r="BR191" s="208" t="str">
        <f t="shared" si="213"/>
        <v>Aucune</v>
      </c>
      <c r="BS191" s="208">
        <f t="shared" si="215"/>
        <v>0</v>
      </c>
      <c r="BT191" s="229" t="e">
        <f>VLOOKUP($I191,Lieu_Activité!$A:$B,2,FALSE)</f>
        <v>#N/A</v>
      </c>
      <c r="BU191" s="208" t="str">
        <f t="shared" si="160"/>
        <v>Aucun</v>
      </c>
      <c r="BV191" s="208" t="str">
        <f t="shared" si="161"/>
        <v>Aucun</v>
      </c>
      <c r="BW191" s="207" t="str">
        <f t="shared" si="214"/>
        <v>NON</v>
      </c>
      <c r="BX191" s="288"/>
    </row>
    <row r="192" spans="1:76" ht="12" customHeight="1" x14ac:dyDescent="0.25">
      <c r="A192" s="231" t="s">
        <v>282</v>
      </c>
      <c r="B192" s="234"/>
      <c r="C192" s="227"/>
      <c r="D192" s="257"/>
      <c r="E192" s="278">
        <f t="shared" si="203"/>
        <v>0</v>
      </c>
      <c r="F192" s="278" t="str">
        <f t="shared" si="162"/>
        <v xml:space="preserve"> </v>
      </c>
      <c r="G192" s="256"/>
      <c r="H192" s="256"/>
      <c r="I192" s="256"/>
      <c r="J192" s="256"/>
      <c r="K192" s="256"/>
      <c r="L192" s="257"/>
      <c r="M192" s="243"/>
      <c r="N192" s="232"/>
      <c r="O192" s="232"/>
      <c r="P192" s="265" t="str">
        <f>IFERROR(VLOOKUP(O192,Références!$K$11:$N$19,2)," ")</f>
        <v xml:space="preserve"> </v>
      </c>
      <c r="Q192" s="265" t="str">
        <f>IFERROR(VLOOKUP(O192,Références!$K$11:$N$19,3)," ")</f>
        <v xml:space="preserve"> </v>
      </c>
      <c r="R192" s="265" t="str">
        <f>IFERROR(VLOOKUP(O192,Références!$K$11:$N$19,4)," ")</f>
        <v xml:space="preserve"> </v>
      </c>
      <c r="S192" s="256"/>
      <c r="T192" s="256"/>
      <c r="U192" s="256"/>
      <c r="V192" s="256"/>
      <c r="W192" s="256"/>
      <c r="X192" s="257"/>
      <c r="Y192" s="256"/>
      <c r="Z192" s="256"/>
      <c r="AA192" s="256"/>
      <c r="AB192" s="235"/>
      <c r="AC192" s="235"/>
      <c r="AD192" s="274"/>
      <c r="AE192" s="235"/>
      <c r="AF192" s="235"/>
      <c r="AG192" s="235"/>
      <c r="AH192" s="235"/>
      <c r="AI192" s="235">
        <f t="shared" si="204"/>
        <v>0</v>
      </c>
      <c r="AJ192" s="257"/>
      <c r="AK192" s="256">
        <f t="shared" si="205"/>
        <v>0</v>
      </c>
      <c r="AL192" s="257"/>
      <c r="AM192" s="266">
        <f t="shared" si="206"/>
        <v>0</v>
      </c>
      <c r="AN192" s="256"/>
      <c r="AO192" s="276"/>
      <c r="AP192" s="261" t="str">
        <f t="shared" si="163"/>
        <v xml:space="preserve"> </v>
      </c>
      <c r="AQ192" s="256"/>
      <c r="AR192" s="295"/>
      <c r="AS192" s="295"/>
      <c r="AT192" s="263"/>
      <c r="AU192" s="277"/>
      <c r="AV192" s="263"/>
      <c r="AW192" s="230"/>
      <c r="AX192" s="300"/>
      <c r="AY192" s="301"/>
      <c r="AZ192" s="230"/>
      <c r="BA192" s="300" t="s">
        <v>234</v>
      </c>
      <c r="BB192" s="295"/>
      <c r="BC192" s="228">
        <f t="shared" si="207"/>
        <v>0</v>
      </c>
      <c r="BD192" s="228">
        <f t="shared" si="208"/>
        <v>0</v>
      </c>
      <c r="BE192" s="228">
        <f t="shared" si="155"/>
        <v>1</v>
      </c>
      <c r="BF192" s="228" t="str">
        <f t="shared" si="164"/>
        <v>ALIVE</v>
      </c>
      <c r="BG192" s="208" t="str">
        <f t="shared" si="156"/>
        <v>Aucune</v>
      </c>
      <c r="BH192" s="208" t="str">
        <f t="shared" si="157"/>
        <v>Aucune</v>
      </c>
      <c r="BI192" s="208" t="str">
        <f t="shared" si="158"/>
        <v>Aucune</v>
      </c>
      <c r="BJ192" s="208" t="str">
        <f t="shared" si="216"/>
        <v>NON</v>
      </c>
      <c r="BK192" s="208" t="str">
        <f t="shared" si="159"/>
        <v>NON</v>
      </c>
      <c r="BL192" s="208" t="str">
        <f t="shared" si="217"/>
        <v>Inconnu</v>
      </c>
      <c r="BM192" s="208" t="str">
        <f t="shared" si="209"/>
        <v>Inconnu</v>
      </c>
      <c r="BN192" s="208" t="str">
        <f t="shared" si="210"/>
        <v>Inconnu</v>
      </c>
      <c r="BO192" s="208" t="str">
        <f t="shared" si="218"/>
        <v>Inconnu</v>
      </c>
      <c r="BP192" s="208" t="str">
        <f t="shared" si="211"/>
        <v>Inconnu</v>
      </c>
      <c r="BQ192" s="208" t="str">
        <f t="shared" si="212"/>
        <v>Inconnu</v>
      </c>
      <c r="BR192" s="208" t="str">
        <f t="shared" si="213"/>
        <v>Aucune</v>
      </c>
      <c r="BS192" s="208">
        <f t="shared" si="215"/>
        <v>0</v>
      </c>
      <c r="BT192" s="229" t="e">
        <f>VLOOKUP($I192,Lieu_Activité!$A:$B,2,FALSE)</f>
        <v>#N/A</v>
      </c>
      <c r="BU192" s="208" t="str">
        <f t="shared" si="160"/>
        <v>Aucun</v>
      </c>
      <c r="BV192" s="208" t="str">
        <f t="shared" si="161"/>
        <v>Aucun</v>
      </c>
      <c r="BW192" s="207" t="str">
        <f t="shared" si="214"/>
        <v>NON</v>
      </c>
      <c r="BX192" s="288"/>
    </row>
    <row r="193" spans="1:76" ht="12.75" customHeight="1" x14ac:dyDescent="0.25">
      <c r="A193" s="231" t="s">
        <v>282</v>
      </c>
      <c r="B193" s="234"/>
      <c r="C193" s="227"/>
      <c r="D193" s="257"/>
      <c r="E193" s="278">
        <f t="shared" si="203"/>
        <v>0</v>
      </c>
      <c r="F193" s="278" t="str">
        <f t="shared" si="162"/>
        <v xml:space="preserve"> </v>
      </c>
      <c r="G193" s="256"/>
      <c r="H193" s="256"/>
      <c r="I193" s="256"/>
      <c r="J193" s="256"/>
      <c r="K193" s="256"/>
      <c r="L193" s="257"/>
      <c r="M193" s="243"/>
      <c r="N193" s="232"/>
      <c r="O193" s="265"/>
      <c r="P193" s="265" t="str">
        <f>IFERROR(VLOOKUP(O193,Références!$K$11:$N$19,2)," ")</f>
        <v xml:space="preserve"> </v>
      </c>
      <c r="Q193" s="265" t="str">
        <f>IFERROR(VLOOKUP(O193,Références!$K$11:$N$19,3)," ")</f>
        <v xml:space="preserve"> </v>
      </c>
      <c r="R193" s="265" t="str">
        <f>IFERROR(VLOOKUP(O193,Références!$K$11:$N$19,4)," ")</f>
        <v xml:space="preserve"> </v>
      </c>
      <c r="S193" s="256"/>
      <c r="T193" s="256"/>
      <c r="U193" s="256"/>
      <c r="V193" s="256"/>
      <c r="W193" s="256"/>
      <c r="X193" s="257"/>
      <c r="Y193" s="256"/>
      <c r="Z193" s="256"/>
      <c r="AA193" s="256"/>
      <c r="AB193" s="235"/>
      <c r="AC193" s="235"/>
      <c r="AD193" s="235"/>
      <c r="AE193" s="235"/>
      <c r="AF193" s="235"/>
      <c r="AG193" s="235"/>
      <c r="AH193" s="235"/>
      <c r="AI193" s="235">
        <f t="shared" si="204"/>
        <v>0</v>
      </c>
      <c r="AJ193" s="257"/>
      <c r="AK193" s="256">
        <f t="shared" si="205"/>
        <v>0</v>
      </c>
      <c r="AL193" s="257"/>
      <c r="AM193" s="266">
        <f t="shared" si="206"/>
        <v>0</v>
      </c>
      <c r="AN193" s="256"/>
      <c r="AO193" s="276"/>
      <c r="AP193" s="261" t="str">
        <f t="shared" si="163"/>
        <v xml:space="preserve"> </v>
      </c>
      <c r="AQ193" s="256"/>
      <c r="AR193" s="295"/>
      <c r="AS193" s="295"/>
      <c r="AT193" s="263"/>
      <c r="AU193" s="277"/>
      <c r="AV193" s="263"/>
      <c r="AW193" s="230"/>
      <c r="AX193" s="300"/>
      <c r="AY193" s="301"/>
      <c r="AZ193" s="230"/>
      <c r="BA193" s="300"/>
      <c r="BB193" s="295"/>
      <c r="BC193" s="228">
        <f t="shared" si="207"/>
        <v>0</v>
      </c>
      <c r="BD193" s="228">
        <f t="shared" si="208"/>
        <v>0</v>
      </c>
      <c r="BE193" s="228">
        <f t="shared" si="155"/>
        <v>1</v>
      </c>
      <c r="BF193" s="228" t="str">
        <f t="shared" si="164"/>
        <v>ALIVE</v>
      </c>
      <c r="BG193" s="208" t="str">
        <f t="shared" si="156"/>
        <v>Aucune</v>
      </c>
      <c r="BH193" s="208" t="str">
        <f t="shared" si="157"/>
        <v>Aucune</v>
      </c>
      <c r="BI193" s="208" t="str">
        <f t="shared" si="158"/>
        <v>Aucune</v>
      </c>
      <c r="BJ193" s="208" t="str">
        <f t="shared" si="216"/>
        <v>NON</v>
      </c>
      <c r="BK193" s="208" t="str">
        <f t="shared" si="159"/>
        <v>NON</v>
      </c>
      <c r="BL193" s="208" t="str">
        <f t="shared" si="217"/>
        <v>Inconnu</v>
      </c>
      <c r="BM193" s="208" t="str">
        <f t="shared" si="209"/>
        <v>Inconnu</v>
      </c>
      <c r="BN193" s="208" t="str">
        <f t="shared" si="210"/>
        <v>Inconnu</v>
      </c>
      <c r="BO193" s="208" t="str">
        <f t="shared" si="218"/>
        <v>Inconnu</v>
      </c>
      <c r="BP193" s="208" t="str">
        <f t="shared" si="211"/>
        <v>Inconnu</v>
      </c>
      <c r="BQ193" s="208" t="str">
        <f t="shared" si="212"/>
        <v>Inconnu</v>
      </c>
      <c r="BR193" s="208" t="str">
        <f t="shared" si="213"/>
        <v>Aucune</v>
      </c>
      <c r="BS193" s="208">
        <f t="shared" si="215"/>
        <v>0</v>
      </c>
      <c r="BT193" s="229" t="e">
        <f>VLOOKUP($I193,Lieu_Activité!$A:$B,2,FALSE)</f>
        <v>#N/A</v>
      </c>
      <c r="BU193" s="208" t="str">
        <f t="shared" si="160"/>
        <v>Aucun</v>
      </c>
      <c r="BV193" s="208" t="str">
        <f t="shared" si="161"/>
        <v>Aucun</v>
      </c>
      <c r="BW193" s="207" t="str">
        <f t="shared" si="214"/>
        <v>NON</v>
      </c>
      <c r="BX193" s="288"/>
    </row>
    <row r="194" spans="1:76" ht="12" customHeight="1" x14ac:dyDescent="0.25">
      <c r="A194" s="231" t="s">
        <v>282</v>
      </c>
      <c r="B194" s="267"/>
      <c r="C194" s="227"/>
      <c r="D194" s="257"/>
      <c r="E194" s="278">
        <f t="shared" si="203"/>
        <v>0</v>
      </c>
      <c r="F194" s="278" t="str">
        <f t="shared" si="162"/>
        <v xml:space="preserve"> </v>
      </c>
      <c r="G194" s="256"/>
      <c r="H194" s="256"/>
      <c r="I194" s="256"/>
      <c r="J194" s="256"/>
      <c r="K194" s="256"/>
      <c r="L194" s="257"/>
      <c r="M194" s="243"/>
      <c r="N194" s="232"/>
      <c r="O194" s="232"/>
      <c r="P194" s="265" t="str">
        <f>IFERROR(VLOOKUP(O194,Références!$K$11:$N$19,2)," ")</f>
        <v xml:space="preserve"> </v>
      </c>
      <c r="Q194" s="265" t="str">
        <f>IFERROR(VLOOKUP(O194,Références!$K$11:$N$19,3)," ")</f>
        <v xml:space="preserve"> </v>
      </c>
      <c r="R194" s="265" t="str">
        <f>IFERROR(VLOOKUP(O194,Références!$K$11:$N$19,4)," ")</f>
        <v xml:space="preserve"> </v>
      </c>
      <c r="S194" s="256"/>
      <c r="T194" s="256"/>
      <c r="U194" s="256"/>
      <c r="V194" s="256"/>
      <c r="W194" s="256"/>
      <c r="X194" s="257"/>
      <c r="Y194" s="256"/>
      <c r="Z194" s="256"/>
      <c r="AA194" s="256"/>
      <c r="AB194" s="235"/>
      <c r="AC194" s="235"/>
      <c r="AD194" s="235"/>
      <c r="AE194" s="235"/>
      <c r="AF194" s="235"/>
      <c r="AG194" s="235"/>
      <c r="AH194" s="235"/>
      <c r="AI194" s="235">
        <f t="shared" si="204"/>
        <v>0</v>
      </c>
      <c r="AJ194" s="257"/>
      <c r="AK194" s="256">
        <f t="shared" si="205"/>
        <v>0</v>
      </c>
      <c r="AL194" s="257"/>
      <c r="AM194" s="266">
        <f t="shared" si="206"/>
        <v>0</v>
      </c>
      <c r="AN194" s="256"/>
      <c r="AO194" s="276"/>
      <c r="AP194" s="261" t="str">
        <f t="shared" si="163"/>
        <v xml:space="preserve"> </v>
      </c>
      <c r="AQ194" s="256"/>
      <c r="AR194" s="295"/>
      <c r="AS194" s="295"/>
      <c r="AT194" s="263"/>
      <c r="AU194" s="277"/>
      <c r="AV194" s="263"/>
      <c r="AW194" s="230"/>
      <c r="AX194" s="300"/>
      <c r="AY194" s="301"/>
      <c r="AZ194" s="230"/>
      <c r="BA194" s="300"/>
      <c r="BB194" s="295"/>
      <c r="BC194" s="228">
        <f t="shared" si="207"/>
        <v>0</v>
      </c>
      <c r="BD194" s="228">
        <f t="shared" si="208"/>
        <v>0</v>
      </c>
      <c r="BE194" s="228">
        <f t="shared" ref="BE194:BE308" si="219">IF(AG194="Aucune",0,1)</f>
        <v>1</v>
      </c>
      <c r="BF194" s="228" t="str">
        <f t="shared" si="164"/>
        <v>ALIVE</v>
      </c>
      <c r="BG194" s="208" t="str">
        <f t="shared" ref="BG194:BG308" si="220">IF(AD194="","Aucune","Infection")</f>
        <v>Aucune</v>
      </c>
      <c r="BH194" s="208" t="str">
        <f t="shared" ref="BH194:BH308" si="221">IF(AI194&gt;0,"Transfusion","Aucune")</f>
        <v>Aucune</v>
      </c>
      <c r="BI194" s="208" t="str">
        <f t="shared" ref="BI194:BI308" si="222">IF(AG194="","Aucune","Transfusé")</f>
        <v>Aucune</v>
      </c>
      <c r="BJ194" s="208" t="str">
        <f t="shared" si="216"/>
        <v>NON</v>
      </c>
      <c r="BK194" s="208" t="str">
        <f t="shared" ref="BK194:BK308" si="223">IF(AS194="","NON","OUI")</f>
        <v>NON</v>
      </c>
      <c r="BL194" s="208" t="str">
        <f t="shared" si="217"/>
        <v>Inconnu</v>
      </c>
      <c r="BM194" s="208" t="str">
        <f t="shared" si="209"/>
        <v>Inconnu</v>
      </c>
      <c r="BN194" s="208" t="str">
        <f t="shared" si="210"/>
        <v>Inconnu</v>
      </c>
      <c r="BO194" s="208" t="str">
        <f t="shared" si="218"/>
        <v>Inconnu</v>
      </c>
      <c r="BP194" s="208" t="str">
        <f t="shared" si="211"/>
        <v>Inconnu</v>
      </c>
      <c r="BQ194" s="208" t="str">
        <f t="shared" si="212"/>
        <v>Inconnu</v>
      </c>
      <c r="BR194" s="208" t="str">
        <f t="shared" si="213"/>
        <v>Aucune</v>
      </c>
      <c r="BS194" s="208">
        <f t="shared" si="215"/>
        <v>0</v>
      </c>
      <c r="BT194" s="229" t="e">
        <f>VLOOKUP($I194,Lieu_Activité!$A:$B,2,FALSE)</f>
        <v>#N/A</v>
      </c>
      <c r="BU194" s="208" t="str">
        <f t="shared" ref="BU194:BU301" si="224">IF(AB194="","Aucun","AVC")</f>
        <v>Aucun</v>
      </c>
      <c r="BV194" s="208" t="str">
        <f t="shared" ref="BV194:BV308" si="225">IF(AC194="","Aucun","IM")</f>
        <v>Aucun</v>
      </c>
      <c r="BW194" s="207" t="str">
        <f t="shared" si="214"/>
        <v>NON</v>
      </c>
      <c r="BX194" s="288"/>
    </row>
    <row r="195" spans="1:76" ht="12" customHeight="1" x14ac:dyDescent="0.25">
      <c r="A195" s="231" t="s">
        <v>282</v>
      </c>
      <c r="B195" s="234"/>
      <c r="C195" s="227"/>
      <c r="D195" s="257"/>
      <c r="E195" s="278">
        <f t="shared" si="203"/>
        <v>0</v>
      </c>
      <c r="F195" s="278" t="str">
        <f t="shared" ref="F195:F307" si="226">IF(E195&lt;80," ","1")</f>
        <v xml:space="preserve"> </v>
      </c>
      <c r="G195" s="256"/>
      <c r="H195" s="256"/>
      <c r="I195" s="256"/>
      <c r="J195" s="256"/>
      <c r="K195" s="256"/>
      <c r="L195" s="257"/>
      <c r="M195" s="243"/>
      <c r="N195" s="232"/>
      <c r="O195" s="232"/>
      <c r="P195" s="265" t="str">
        <f>IFERROR(VLOOKUP(O195,Références!$K$11:$N$19,2)," ")</f>
        <v xml:space="preserve"> </v>
      </c>
      <c r="Q195" s="265" t="str">
        <f>IFERROR(VLOOKUP(O195,Références!$K$11:$N$19,3)," ")</f>
        <v xml:space="preserve"> </v>
      </c>
      <c r="R195" s="265" t="str">
        <f>IFERROR(VLOOKUP(O195,Références!$K$11:$N$19,4)," ")</f>
        <v xml:space="preserve"> </v>
      </c>
      <c r="S195" s="256"/>
      <c r="T195" s="256"/>
      <c r="U195" s="256"/>
      <c r="V195" s="256"/>
      <c r="W195" s="256"/>
      <c r="X195" s="257"/>
      <c r="Y195" s="256"/>
      <c r="Z195" s="256"/>
      <c r="AA195" s="256"/>
      <c r="AB195" s="235"/>
      <c r="AC195" s="235"/>
      <c r="AD195" s="235"/>
      <c r="AE195" s="235"/>
      <c r="AF195" s="235"/>
      <c r="AG195" s="235"/>
      <c r="AH195" s="235"/>
      <c r="AI195" s="235">
        <f t="shared" si="204"/>
        <v>0</v>
      </c>
      <c r="AJ195" s="257"/>
      <c r="AK195" s="256">
        <f t="shared" si="205"/>
        <v>0</v>
      </c>
      <c r="AL195" s="257"/>
      <c r="AM195" s="266">
        <f t="shared" si="206"/>
        <v>0</v>
      </c>
      <c r="AN195" s="256"/>
      <c r="AO195" s="276"/>
      <c r="AP195" s="261" t="str">
        <f t="shared" ref="AP195:AP270" si="227">IF(AO195=1,"ELECTIVE",IF(AO195=2,"URGENCY",IF(AO195=3,"EMERGENCY",IF(AO195=4,"SALVAGE"," "))))</f>
        <v xml:space="preserve"> </v>
      </c>
      <c r="AQ195" s="256"/>
      <c r="AR195" s="295"/>
      <c r="AS195" s="295"/>
      <c r="AT195" s="263"/>
      <c r="AU195" s="277"/>
      <c r="AV195" s="263"/>
      <c r="AW195" s="230"/>
      <c r="AX195" s="300"/>
      <c r="AY195" s="301"/>
      <c r="AZ195" s="300"/>
      <c r="BA195" s="300"/>
      <c r="BB195" s="295"/>
      <c r="BC195" s="228">
        <f t="shared" si="207"/>
        <v>0</v>
      </c>
      <c r="BD195" s="228">
        <f t="shared" si="208"/>
        <v>0</v>
      </c>
      <c r="BE195" s="228">
        <f t="shared" si="219"/>
        <v>1</v>
      </c>
      <c r="BF195" s="228" t="str">
        <f t="shared" ref="BF195:BF308" si="228">IF(AO195=1,"ELECTIVE",IF(AO195=2,"URGENCY",IF(AO195=3,"EMERGENCY",IF(AO195=4,"SALVAGE","ALIVE"))))</f>
        <v>ALIVE</v>
      </c>
      <c r="BG195" s="208" t="str">
        <f t="shared" si="220"/>
        <v>Aucune</v>
      </c>
      <c r="BH195" s="208" t="str">
        <f t="shared" si="221"/>
        <v>Aucune</v>
      </c>
      <c r="BI195" s="208" t="str">
        <f t="shared" si="222"/>
        <v>Aucune</v>
      </c>
      <c r="BJ195" s="208" t="str">
        <f t="shared" si="216"/>
        <v>NON</v>
      </c>
      <c r="BK195" s="208" t="str">
        <f t="shared" si="223"/>
        <v>NON</v>
      </c>
      <c r="BL195" s="208" t="str">
        <f t="shared" si="217"/>
        <v>Inconnu</v>
      </c>
      <c r="BM195" s="208" t="str">
        <f t="shared" si="209"/>
        <v>Inconnu</v>
      </c>
      <c r="BN195" s="208" t="str">
        <f t="shared" si="210"/>
        <v>Inconnu</v>
      </c>
      <c r="BO195" s="208" t="str">
        <f t="shared" si="218"/>
        <v>Inconnu</v>
      </c>
      <c r="BP195" s="208" t="str">
        <f t="shared" si="211"/>
        <v>Inconnu</v>
      </c>
      <c r="BQ195" s="208" t="str">
        <f t="shared" si="212"/>
        <v>Inconnu</v>
      </c>
      <c r="BR195" s="208" t="str">
        <f t="shared" si="213"/>
        <v>Aucune</v>
      </c>
      <c r="BS195" s="208">
        <f t="shared" si="215"/>
        <v>0</v>
      </c>
      <c r="BT195" s="229" t="e">
        <f>VLOOKUP($I195,Lieu_Activité!$A:$B,2,FALSE)</f>
        <v>#N/A</v>
      </c>
      <c r="BU195" s="208" t="str">
        <f t="shared" si="224"/>
        <v>Aucun</v>
      </c>
      <c r="BV195" s="208" t="str">
        <f t="shared" si="225"/>
        <v>Aucun</v>
      </c>
      <c r="BW195" s="207" t="str">
        <f t="shared" si="214"/>
        <v>NON</v>
      </c>
      <c r="BX195" s="288"/>
    </row>
    <row r="196" spans="1:76" ht="12" customHeight="1" x14ac:dyDescent="0.25">
      <c r="A196" s="231" t="s">
        <v>282</v>
      </c>
      <c r="B196" s="234"/>
      <c r="C196" s="227"/>
      <c r="D196" s="257"/>
      <c r="E196" s="278">
        <f t="shared" si="203"/>
        <v>0</v>
      </c>
      <c r="F196" s="278" t="str">
        <f t="shared" si="226"/>
        <v xml:space="preserve"> </v>
      </c>
      <c r="G196" s="256"/>
      <c r="H196" s="256"/>
      <c r="I196" s="256"/>
      <c r="J196" s="256"/>
      <c r="K196" s="256"/>
      <c r="L196" s="257"/>
      <c r="M196" s="243"/>
      <c r="N196" s="232"/>
      <c r="O196" s="232"/>
      <c r="P196" s="265" t="str">
        <f>IFERROR(VLOOKUP(O196,Références!$K$11:$N$19,2)," ")</f>
        <v xml:space="preserve"> </v>
      </c>
      <c r="Q196" s="265" t="str">
        <f>IFERROR(VLOOKUP(O196,Références!$K$11:$N$19,3)," ")</f>
        <v xml:space="preserve"> </v>
      </c>
      <c r="R196" s="265" t="str">
        <f>IFERROR(VLOOKUP(O196,Références!$K$11:$N$19,4)," ")</f>
        <v xml:space="preserve"> </v>
      </c>
      <c r="S196" s="256"/>
      <c r="T196" s="256"/>
      <c r="U196" s="256"/>
      <c r="V196" s="256"/>
      <c r="W196" s="256"/>
      <c r="X196" s="257"/>
      <c r="Y196" s="256"/>
      <c r="Z196" s="256"/>
      <c r="AA196" s="256"/>
      <c r="AB196" s="235"/>
      <c r="AC196" s="235"/>
      <c r="AD196" s="235"/>
      <c r="AE196" s="235"/>
      <c r="AF196" s="235"/>
      <c r="AG196" s="235"/>
      <c r="AH196" s="235"/>
      <c r="AI196" s="235">
        <f t="shared" si="204"/>
        <v>0</v>
      </c>
      <c r="AJ196" s="257"/>
      <c r="AK196" s="256">
        <f t="shared" si="205"/>
        <v>0</v>
      </c>
      <c r="AL196" s="257"/>
      <c r="AM196" s="266">
        <f t="shared" si="206"/>
        <v>0</v>
      </c>
      <c r="AN196" s="256"/>
      <c r="AO196" s="276"/>
      <c r="AP196" s="261" t="str">
        <f t="shared" si="227"/>
        <v xml:space="preserve"> </v>
      </c>
      <c r="AQ196" s="256"/>
      <c r="AR196" s="295"/>
      <c r="AS196" s="295"/>
      <c r="AT196" s="263"/>
      <c r="AU196" s="277"/>
      <c r="AV196" s="263"/>
      <c r="AW196" s="230"/>
      <c r="AX196" s="300"/>
      <c r="AY196" s="301"/>
      <c r="AZ196" s="230"/>
      <c r="BA196" s="300"/>
      <c r="BB196" s="295"/>
      <c r="BC196" s="228">
        <f t="shared" si="207"/>
        <v>0</v>
      </c>
      <c r="BD196" s="228">
        <f t="shared" si="208"/>
        <v>0</v>
      </c>
      <c r="BE196" s="228">
        <f t="shared" si="219"/>
        <v>1</v>
      </c>
      <c r="BF196" s="228" t="str">
        <f t="shared" si="228"/>
        <v>ALIVE</v>
      </c>
      <c r="BG196" s="208" t="str">
        <f t="shared" si="220"/>
        <v>Aucune</v>
      </c>
      <c r="BH196" s="208" t="str">
        <f t="shared" si="221"/>
        <v>Aucune</v>
      </c>
      <c r="BI196" s="208" t="str">
        <f t="shared" si="222"/>
        <v>Aucune</v>
      </c>
      <c r="BJ196" s="208" t="str">
        <f t="shared" si="216"/>
        <v>NON</v>
      </c>
      <c r="BK196" s="208" t="str">
        <f t="shared" si="223"/>
        <v>NON</v>
      </c>
      <c r="BL196" s="208" t="str">
        <f t="shared" si="217"/>
        <v>Inconnu</v>
      </c>
      <c r="BM196" s="208" t="str">
        <f t="shared" si="209"/>
        <v>Inconnu</v>
      </c>
      <c r="BN196" s="208" t="str">
        <f t="shared" si="210"/>
        <v>Inconnu</v>
      </c>
      <c r="BO196" s="208" t="str">
        <f t="shared" si="218"/>
        <v>Inconnu</v>
      </c>
      <c r="BP196" s="208" t="str">
        <f t="shared" si="211"/>
        <v>Inconnu</v>
      </c>
      <c r="BQ196" s="208" t="str">
        <f t="shared" si="212"/>
        <v>Inconnu</v>
      </c>
      <c r="BR196" s="208" t="str">
        <f t="shared" si="213"/>
        <v>Aucune</v>
      </c>
      <c r="BS196" s="208">
        <f t="shared" si="215"/>
        <v>0</v>
      </c>
      <c r="BT196" s="229" t="e">
        <f>VLOOKUP($I196,Lieu_Activité!$A:$B,2,FALSE)</f>
        <v>#N/A</v>
      </c>
      <c r="BU196" s="208" t="str">
        <f t="shared" si="224"/>
        <v>Aucun</v>
      </c>
      <c r="BV196" s="208" t="str">
        <f t="shared" si="225"/>
        <v>Aucun</v>
      </c>
      <c r="BW196" s="207" t="str">
        <f t="shared" si="214"/>
        <v>NON</v>
      </c>
      <c r="BX196" s="288"/>
    </row>
    <row r="197" spans="1:76" ht="12.75" customHeight="1" x14ac:dyDescent="0.25">
      <c r="A197" s="231" t="s">
        <v>282</v>
      </c>
      <c r="B197" s="268"/>
      <c r="C197" s="227"/>
      <c r="D197" s="257"/>
      <c r="E197" s="278">
        <f t="shared" si="203"/>
        <v>0</v>
      </c>
      <c r="F197" s="278" t="str">
        <f t="shared" si="226"/>
        <v xml:space="preserve"> </v>
      </c>
      <c r="G197" s="256"/>
      <c r="H197" s="256"/>
      <c r="I197" s="256"/>
      <c r="J197" s="256"/>
      <c r="K197" s="256"/>
      <c r="L197" s="257"/>
      <c r="M197" s="243"/>
      <c r="N197" s="232"/>
      <c r="O197" s="265"/>
      <c r="P197" s="265" t="str">
        <f>IFERROR(VLOOKUP(O197,Références!$K$11:$N$19,2)," ")</f>
        <v xml:space="preserve"> </v>
      </c>
      <c r="Q197" s="265" t="str">
        <f>IFERROR(VLOOKUP(O197,Références!$K$11:$N$19,3)," ")</f>
        <v xml:space="preserve"> </v>
      </c>
      <c r="R197" s="265" t="str">
        <f>IFERROR(VLOOKUP(O197,Références!$K$11:$N$19,4)," ")</f>
        <v xml:space="preserve"> </v>
      </c>
      <c r="S197" s="256"/>
      <c r="T197" s="256"/>
      <c r="U197" s="256"/>
      <c r="V197" s="256"/>
      <c r="W197" s="256"/>
      <c r="X197" s="257"/>
      <c r="Y197" s="256"/>
      <c r="Z197" s="256"/>
      <c r="AA197" s="256"/>
      <c r="AB197" s="235"/>
      <c r="AC197" s="235"/>
      <c r="AD197" s="235"/>
      <c r="AE197" s="235"/>
      <c r="AF197" s="235"/>
      <c r="AG197" s="235"/>
      <c r="AH197" s="235"/>
      <c r="AI197" s="235">
        <f t="shared" si="204"/>
        <v>0</v>
      </c>
      <c r="AJ197" s="257"/>
      <c r="AK197" s="256">
        <f t="shared" si="205"/>
        <v>0</v>
      </c>
      <c r="AL197" s="257"/>
      <c r="AM197" s="266">
        <f t="shared" si="206"/>
        <v>0</v>
      </c>
      <c r="AN197" s="256"/>
      <c r="AO197" s="276"/>
      <c r="AP197" s="261" t="str">
        <f t="shared" si="227"/>
        <v xml:space="preserve"> </v>
      </c>
      <c r="AQ197" s="256"/>
      <c r="AR197" s="295"/>
      <c r="AS197" s="295"/>
      <c r="AT197" s="263"/>
      <c r="AU197" s="277"/>
      <c r="AV197" s="263"/>
      <c r="AW197" s="230"/>
      <c r="AX197" s="300"/>
      <c r="AY197" s="301"/>
      <c r="AZ197" s="230"/>
      <c r="BA197" s="302" t="s">
        <v>246</v>
      </c>
      <c r="BB197" s="295"/>
      <c r="BC197" s="228">
        <f t="shared" si="207"/>
        <v>0</v>
      </c>
      <c r="BD197" s="228">
        <f t="shared" si="208"/>
        <v>0</v>
      </c>
      <c r="BE197" s="228">
        <f t="shared" si="219"/>
        <v>1</v>
      </c>
      <c r="BF197" s="228" t="str">
        <f t="shared" si="228"/>
        <v>ALIVE</v>
      </c>
      <c r="BG197" s="208" t="str">
        <f t="shared" si="220"/>
        <v>Aucune</v>
      </c>
      <c r="BH197" s="208" t="str">
        <f t="shared" si="221"/>
        <v>Aucune</v>
      </c>
      <c r="BI197" s="208" t="str">
        <f t="shared" si="222"/>
        <v>Aucune</v>
      </c>
      <c r="BJ197" s="208" t="str">
        <f t="shared" si="216"/>
        <v>NON</v>
      </c>
      <c r="BK197" s="208" t="str">
        <f t="shared" si="223"/>
        <v>NON</v>
      </c>
      <c r="BL197" s="208" t="str">
        <f t="shared" si="217"/>
        <v>Inconnu</v>
      </c>
      <c r="BM197" s="208" t="str">
        <f t="shared" si="209"/>
        <v>Inconnu</v>
      </c>
      <c r="BN197" s="208" t="str">
        <f t="shared" si="210"/>
        <v>Inconnu</v>
      </c>
      <c r="BO197" s="208" t="str">
        <f t="shared" si="218"/>
        <v>Inconnu</v>
      </c>
      <c r="BP197" s="208" t="str">
        <f t="shared" si="211"/>
        <v>Inconnu</v>
      </c>
      <c r="BQ197" s="208" t="str">
        <f t="shared" si="212"/>
        <v>Inconnu</v>
      </c>
      <c r="BR197" s="208" t="str">
        <f t="shared" si="213"/>
        <v>Aucune</v>
      </c>
      <c r="BS197" s="208">
        <f t="shared" si="215"/>
        <v>0</v>
      </c>
      <c r="BT197" s="229" t="e">
        <f>VLOOKUP($I197,Lieu_Activité!$A:$B,2,FALSE)</f>
        <v>#N/A</v>
      </c>
      <c r="BU197" s="208" t="str">
        <f t="shared" si="224"/>
        <v>Aucun</v>
      </c>
      <c r="BV197" s="208" t="str">
        <f t="shared" si="225"/>
        <v>Aucun</v>
      </c>
      <c r="BW197" s="207" t="str">
        <f t="shared" si="214"/>
        <v>NON</v>
      </c>
      <c r="BX197" s="288"/>
    </row>
    <row r="198" spans="1:76" ht="12" customHeight="1" x14ac:dyDescent="0.25">
      <c r="A198" s="231" t="s">
        <v>282</v>
      </c>
      <c r="B198" s="234"/>
      <c r="C198" s="227"/>
      <c r="D198" s="257"/>
      <c r="E198" s="278">
        <f t="shared" si="203"/>
        <v>0</v>
      </c>
      <c r="F198" s="278" t="str">
        <f t="shared" si="226"/>
        <v xml:space="preserve"> </v>
      </c>
      <c r="G198" s="256"/>
      <c r="H198" s="256"/>
      <c r="I198" s="256"/>
      <c r="J198" s="256"/>
      <c r="K198" s="256"/>
      <c r="L198" s="257"/>
      <c r="M198" s="243"/>
      <c r="N198" s="232"/>
      <c r="O198" s="232"/>
      <c r="P198" s="265" t="str">
        <f>IFERROR(VLOOKUP(O198,Références!$K$11:$N$19,2)," ")</f>
        <v xml:space="preserve"> </v>
      </c>
      <c r="Q198" s="265" t="str">
        <f>IFERROR(VLOOKUP(O198,Références!$K$11:$N$19,3)," ")</f>
        <v xml:space="preserve"> </v>
      </c>
      <c r="R198" s="265" t="str">
        <f>IFERROR(VLOOKUP(O198,Références!$K$11:$N$19,4)," ")</f>
        <v xml:space="preserve"> </v>
      </c>
      <c r="S198" s="256"/>
      <c r="T198" s="256"/>
      <c r="U198" s="256"/>
      <c r="V198" s="256"/>
      <c r="W198" s="256"/>
      <c r="X198" s="257"/>
      <c r="Y198" s="256"/>
      <c r="Z198" s="256"/>
      <c r="AA198" s="256"/>
      <c r="AB198" s="235"/>
      <c r="AC198" s="235"/>
      <c r="AD198" s="235"/>
      <c r="AE198" s="235"/>
      <c r="AF198" s="235"/>
      <c r="AG198" s="235"/>
      <c r="AH198" s="235"/>
      <c r="AI198" s="235">
        <f t="shared" si="204"/>
        <v>0</v>
      </c>
      <c r="AJ198" s="257"/>
      <c r="AK198" s="256">
        <f t="shared" si="205"/>
        <v>0</v>
      </c>
      <c r="AL198" s="257"/>
      <c r="AM198" s="266">
        <f t="shared" si="206"/>
        <v>0</v>
      </c>
      <c r="AN198" s="256"/>
      <c r="AO198" s="276"/>
      <c r="AP198" s="261" t="str">
        <f t="shared" si="227"/>
        <v xml:space="preserve"> </v>
      </c>
      <c r="AQ198" s="256"/>
      <c r="AR198" s="295"/>
      <c r="AS198" s="295"/>
      <c r="AT198" s="263"/>
      <c r="AU198" s="277"/>
      <c r="AV198" s="263"/>
      <c r="AW198" s="230"/>
      <c r="AX198" s="300"/>
      <c r="AY198" s="301"/>
      <c r="AZ198" s="230"/>
      <c r="BA198" s="300"/>
      <c r="BB198" s="295"/>
      <c r="BC198" s="228">
        <f t="shared" si="207"/>
        <v>0</v>
      </c>
      <c r="BD198" s="228">
        <f t="shared" si="208"/>
        <v>0</v>
      </c>
      <c r="BE198" s="228">
        <f t="shared" si="219"/>
        <v>1</v>
      </c>
      <c r="BF198" s="228" t="str">
        <f t="shared" si="228"/>
        <v>ALIVE</v>
      </c>
      <c r="BG198" s="208" t="str">
        <f t="shared" si="220"/>
        <v>Aucune</v>
      </c>
      <c r="BH198" s="208" t="str">
        <f t="shared" si="221"/>
        <v>Aucune</v>
      </c>
      <c r="BI198" s="208" t="str">
        <f t="shared" si="222"/>
        <v>Aucune</v>
      </c>
      <c r="BJ198" s="208" t="str">
        <f t="shared" si="216"/>
        <v>NON</v>
      </c>
      <c r="BK198" s="208" t="str">
        <f t="shared" si="223"/>
        <v>NON</v>
      </c>
      <c r="BL198" s="208" t="str">
        <f t="shared" si="217"/>
        <v>Inconnu</v>
      </c>
      <c r="BM198" s="208" t="str">
        <f t="shared" si="209"/>
        <v>Inconnu</v>
      </c>
      <c r="BN198" s="208" t="str">
        <f t="shared" si="210"/>
        <v>Inconnu</v>
      </c>
      <c r="BO198" s="208" t="str">
        <f t="shared" si="218"/>
        <v>Inconnu</v>
      </c>
      <c r="BP198" s="208" t="str">
        <f t="shared" si="211"/>
        <v>Inconnu</v>
      </c>
      <c r="BQ198" s="208" t="str">
        <f t="shared" si="212"/>
        <v>Inconnu</v>
      </c>
      <c r="BR198" s="208" t="str">
        <f t="shared" si="213"/>
        <v>Aucune</v>
      </c>
      <c r="BS198" s="208">
        <f t="shared" si="215"/>
        <v>0</v>
      </c>
      <c r="BT198" s="229" t="e">
        <f>VLOOKUP($I198,Lieu_Activité!$A:$B,2,FALSE)</f>
        <v>#N/A</v>
      </c>
      <c r="BU198" s="208" t="str">
        <f t="shared" si="224"/>
        <v>Aucun</v>
      </c>
      <c r="BV198" s="208" t="str">
        <f t="shared" si="225"/>
        <v>Aucun</v>
      </c>
      <c r="BW198" s="207" t="str">
        <f t="shared" si="214"/>
        <v>NON</v>
      </c>
      <c r="BX198" s="288"/>
    </row>
    <row r="199" spans="1:76" ht="12" customHeight="1" x14ac:dyDescent="0.25">
      <c r="A199" s="231" t="s">
        <v>282</v>
      </c>
      <c r="B199" s="234"/>
      <c r="C199" s="227"/>
      <c r="D199" s="257"/>
      <c r="E199" s="278">
        <f t="shared" si="203"/>
        <v>0</v>
      </c>
      <c r="F199" s="278" t="str">
        <f t="shared" si="226"/>
        <v xml:space="preserve"> </v>
      </c>
      <c r="G199" s="256"/>
      <c r="H199" s="256"/>
      <c r="I199" s="256"/>
      <c r="J199" s="256"/>
      <c r="K199" s="256"/>
      <c r="L199" s="257"/>
      <c r="M199" s="243"/>
      <c r="N199" s="232"/>
      <c r="O199" s="232"/>
      <c r="P199" s="265" t="str">
        <f>IFERROR(VLOOKUP(O199,Références!$K$11:$N$19,2)," ")</f>
        <v xml:space="preserve"> </v>
      </c>
      <c r="Q199" s="265" t="str">
        <f>IFERROR(VLOOKUP(O199,Références!$K$11:$N$19,3)," ")</f>
        <v xml:space="preserve"> </v>
      </c>
      <c r="R199" s="265" t="str">
        <f>IFERROR(VLOOKUP(O199,Références!$K$11:$N$19,4)," ")</f>
        <v xml:space="preserve"> </v>
      </c>
      <c r="S199" s="256"/>
      <c r="T199" s="256"/>
      <c r="U199" s="256"/>
      <c r="V199" s="256"/>
      <c r="W199" s="256"/>
      <c r="X199" s="257"/>
      <c r="Y199" s="256"/>
      <c r="Z199" s="256"/>
      <c r="AA199" s="256"/>
      <c r="AB199" s="235"/>
      <c r="AC199" s="235"/>
      <c r="AD199" s="235"/>
      <c r="AE199" s="235"/>
      <c r="AF199" s="235"/>
      <c r="AG199" s="235"/>
      <c r="AH199" s="235"/>
      <c r="AI199" s="235">
        <f t="shared" si="204"/>
        <v>0</v>
      </c>
      <c r="AJ199" s="257"/>
      <c r="AK199" s="256">
        <f t="shared" si="205"/>
        <v>0</v>
      </c>
      <c r="AL199" s="257"/>
      <c r="AM199" s="266">
        <f t="shared" si="206"/>
        <v>0</v>
      </c>
      <c r="AN199" s="256"/>
      <c r="AO199" s="276"/>
      <c r="AP199" s="261" t="str">
        <f t="shared" si="227"/>
        <v xml:space="preserve"> </v>
      </c>
      <c r="AQ199" s="256"/>
      <c r="AR199" s="295"/>
      <c r="AS199" s="295"/>
      <c r="AT199" s="263"/>
      <c r="AU199" s="277"/>
      <c r="AV199" s="263"/>
      <c r="AW199" s="230"/>
      <c r="AX199" s="300"/>
      <c r="AY199" s="301"/>
      <c r="AZ199" s="300"/>
      <c r="BA199" s="300"/>
      <c r="BB199" s="295"/>
      <c r="BC199" s="228">
        <f t="shared" si="207"/>
        <v>0</v>
      </c>
      <c r="BD199" s="228">
        <f t="shared" si="208"/>
        <v>0</v>
      </c>
      <c r="BE199" s="228">
        <f t="shared" si="219"/>
        <v>1</v>
      </c>
      <c r="BF199" s="228" t="str">
        <f t="shared" si="228"/>
        <v>ALIVE</v>
      </c>
      <c r="BG199" s="208" t="str">
        <f t="shared" si="220"/>
        <v>Aucune</v>
      </c>
      <c r="BH199" s="208" t="str">
        <f t="shared" si="221"/>
        <v>Aucune</v>
      </c>
      <c r="BI199" s="208" t="str">
        <f t="shared" si="222"/>
        <v>Aucune</v>
      </c>
      <c r="BJ199" s="208" t="str">
        <f t="shared" si="216"/>
        <v>NON</v>
      </c>
      <c r="BK199" s="208" t="str">
        <f t="shared" si="223"/>
        <v>NON</v>
      </c>
      <c r="BL199" s="208" t="str">
        <f t="shared" si="217"/>
        <v>Inconnu</v>
      </c>
      <c r="BM199" s="208" t="str">
        <f t="shared" si="209"/>
        <v>Inconnu</v>
      </c>
      <c r="BN199" s="208" t="str">
        <f t="shared" si="210"/>
        <v>Inconnu</v>
      </c>
      <c r="BO199" s="208" t="str">
        <f t="shared" si="218"/>
        <v>Inconnu</v>
      </c>
      <c r="BP199" s="208" t="str">
        <f t="shared" si="211"/>
        <v>Inconnu</v>
      </c>
      <c r="BQ199" s="208" t="str">
        <f t="shared" si="212"/>
        <v>Inconnu</v>
      </c>
      <c r="BR199" s="208" t="str">
        <f t="shared" si="213"/>
        <v>Aucune</v>
      </c>
      <c r="BS199" s="208">
        <f t="shared" si="215"/>
        <v>0</v>
      </c>
      <c r="BT199" s="229" t="e">
        <f>VLOOKUP($I199,Lieu_Activité!$A:$B,2,FALSE)</f>
        <v>#N/A</v>
      </c>
      <c r="BU199" s="208" t="str">
        <f t="shared" si="224"/>
        <v>Aucun</v>
      </c>
      <c r="BV199" s="208" t="str">
        <f t="shared" si="225"/>
        <v>Aucun</v>
      </c>
      <c r="BW199" s="207" t="str">
        <f t="shared" si="214"/>
        <v>NON</v>
      </c>
      <c r="BX199" s="288"/>
    </row>
    <row r="200" spans="1:76" ht="12.75" customHeight="1" x14ac:dyDescent="0.25">
      <c r="A200" s="231" t="s">
        <v>282</v>
      </c>
      <c r="B200" s="267"/>
      <c r="C200" s="227"/>
      <c r="D200" s="257"/>
      <c r="E200" s="278">
        <f t="shared" si="203"/>
        <v>0</v>
      </c>
      <c r="F200" s="278" t="str">
        <f t="shared" si="226"/>
        <v xml:space="preserve"> </v>
      </c>
      <c r="G200" s="256"/>
      <c r="H200" s="256"/>
      <c r="I200" s="256"/>
      <c r="J200" s="256"/>
      <c r="K200" s="256"/>
      <c r="L200" s="257"/>
      <c r="M200" s="243"/>
      <c r="N200" s="232"/>
      <c r="O200" s="232"/>
      <c r="P200" s="265" t="str">
        <f>IFERROR(VLOOKUP(O200,Références!$K$11:$N$19,2)," ")</f>
        <v xml:space="preserve"> </v>
      </c>
      <c r="Q200" s="265" t="str">
        <f>IFERROR(VLOOKUP(O200,Références!$K$11:$N$19,3)," ")</f>
        <v xml:space="preserve"> </v>
      </c>
      <c r="R200" s="265" t="str">
        <f>IFERROR(VLOOKUP(O200,Références!$K$11:$N$19,4)," ")</f>
        <v xml:space="preserve"> </v>
      </c>
      <c r="S200" s="256"/>
      <c r="T200" s="256"/>
      <c r="U200" s="256"/>
      <c r="V200" s="256"/>
      <c r="W200" s="256"/>
      <c r="X200" s="257"/>
      <c r="Y200" s="256"/>
      <c r="Z200" s="256"/>
      <c r="AA200" s="256"/>
      <c r="AB200" s="235"/>
      <c r="AC200" s="235"/>
      <c r="AD200" s="235"/>
      <c r="AE200" s="235"/>
      <c r="AF200" s="235"/>
      <c r="AG200" s="235"/>
      <c r="AH200" s="235"/>
      <c r="AI200" s="235">
        <f t="shared" si="204"/>
        <v>0</v>
      </c>
      <c r="AJ200" s="257"/>
      <c r="AK200" s="256">
        <f t="shared" si="205"/>
        <v>0</v>
      </c>
      <c r="AL200" s="257"/>
      <c r="AM200" s="266">
        <f t="shared" si="206"/>
        <v>0</v>
      </c>
      <c r="AN200" s="256"/>
      <c r="AO200" s="276"/>
      <c r="AP200" s="261" t="str">
        <f t="shared" si="227"/>
        <v xml:space="preserve"> </v>
      </c>
      <c r="AQ200" s="256"/>
      <c r="AR200" s="295"/>
      <c r="AS200" s="295"/>
      <c r="AT200" s="263"/>
      <c r="AU200" s="277"/>
      <c r="AV200" s="263"/>
      <c r="AW200" s="230"/>
      <c r="AX200" s="300"/>
      <c r="AY200" s="301"/>
      <c r="AZ200" s="230"/>
      <c r="BA200" s="300"/>
      <c r="BB200" s="295"/>
      <c r="BC200" s="228">
        <f t="shared" si="207"/>
        <v>0</v>
      </c>
      <c r="BD200" s="228">
        <f t="shared" si="208"/>
        <v>0</v>
      </c>
      <c r="BE200" s="228">
        <f t="shared" si="219"/>
        <v>1</v>
      </c>
      <c r="BF200" s="228" t="str">
        <f t="shared" si="228"/>
        <v>ALIVE</v>
      </c>
      <c r="BG200" s="208" t="str">
        <f t="shared" si="220"/>
        <v>Aucune</v>
      </c>
      <c r="BH200" s="208" t="str">
        <f t="shared" si="221"/>
        <v>Aucune</v>
      </c>
      <c r="BI200" s="208" t="str">
        <f t="shared" si="222"/>
        <v>Aucune</v>
      </c>
      <c r="BJ200" s="208" t="str">
        <f t="shared" si="216"/>
        <v>NON</v>
      </c>
      <c r="BK200" s="208" t="str">
        <f t="shared" si="223"/>
        <v>NON</v>
      </c>
      <c r="BL200" s="208" t="str">
        <f t="shared" si="217"/>
        <v>Inconnu</v>
      </c>
      <c r="BM200" s="208" t="str">
        <f t="shared" si="209"/>
        <v>Inconnu</v>
      </c>
      <c r="BN200" s="208" t="str">
        <f t="shared" si="210"/>
        <v>Inconnu</v>
      </c>
      <c r="BO200" s="208" t="str">
        <f t="shared" si="218"/>
        <v>Inconnu</v>
      </c>
      <c r="BP200" s="208" t="str">
        <f t="shared" si="211"/>
        <v>Inconnu</v>
      </c>
      <c r="BQ200" s="208" t="str">
        <f t="shared" si="212"/>
        <v>Inconnu</v>
      </c>
      <c r="BR200" s="208" t="str">
        <f t="shared" si="213"/>
        <v>Aucune</v>
      </c>
      <c r="BS200" s="208">
        <f t="shared" si="215"/>
        <v>0</v>
      </c>
      <c r="BT200" s="229" t="e">
        <f>VLOOKUP($I200,Lieu_Activité!$A:$B,2,FALSE)</f>
        <v>#N/A</v>
      </c>
      <c r="BU200" s="208" t="str">
        <f t="shared" si="224"/>
        <v>Aucun</v>
      </c>
      <c r="BV200" s="208" t="str">
        <f t="shared" si="225"/>
        <v>Aucun</v>
      </c>
      <c r="BW200" s="207" t="str">
        <f t="shared" si="214"/>
        <v>NON</v>
      </c>
      <c r="BX200" s="288"/>
    </row>
    <row r="201" spans="1:76" ht="12.75" customHeight="1" x14ac:dyDescent="0.25">
      <c r="A201" s="231" t="s">
        <v>282</v>
      </c>
      <c r="B201" s="234"/>
      <c r="C201" s="227"/>
      <c r="D201" s="257"/>
      <c r="E201" s="278">
        <f t="shared" si="203"/>
        <v>0</v>
      </c>
      <c r="F201" s="278" t="str">
        <f t="shared" si="226"/>
        <v xml:space="preserve"> </v>
      </c>
      <c r="G201" s="256"/>
      <c r="H201" s="256"/>
      <c r="I201" s="256"/>
      <c r="J201" s="256"/>
      <c r="K201" s="256"/>
      <c r="L201" s="257"/>
      <c r="M201" s="243"/>
      <c r="N201" s="232"/>
      <c r="O201" s="265"/>
      <c r="P201" s="265" t="str">
        <f>IFERROR(VLOOKUP(O201,Références!$K$11:$N$19,2)," ")</f>
        <v xml:space="preserve"> </v>
      </c>
      <c r="Q201" s="265" t="str">
        <f>IFERROR(VLOOKUP(O201,Références!$K$11:$N$19,3)," ")</f>
        <v xml:space="preserve"> </v>
      </c>
      <c r="R201" s="265" t="str">
        <f>IFERROR(VLOOKUP(O201,Références!$K$11:$N$19,4)," ")</f>
        <v xml:space="preserve"> </v>
      </c>
      <c r="S201" s="256"/>
      <c r="T201" s="256"/>
      <c r="U201" s="256"/>
      <c r="V201" s="256"/>
      <c r="W201" s="256"/>
      <c r="X201" s="257"/>
      <c r="Y201" s="256"/>
      <c r="Z201" s="256"/>
      <c r="AA201" s="256"/>
      <c r="AB201" s="235"/>
      <c r="AC201" s="235"/>
      <c r="AD201" s="235"/>
      <c r="AE201" s="235"/>
      <c r="AF201" s="235"/>
      <c r="AG201" s="235"/>
      <c r="AH201" s="235"/>
      <c r="AI201" s="235">
        <f t="shared" si="204"/>
        <v>0</v>
      </c>
      <c r="AJ201" s="257"/>
      <c r="AK201" s="256">
        <f t="shared" si="205"/>
        <v>0</v>
      </c>
      <c r="AL201" s="257"/>
      <c r="AM201" s="266">
        <f t="shared" si="206"/>
        <v>0</v>
      </c>
      <c r="AN201" s="256"/>
      <c r="AO201" s="276"/>
      <c r="AP201" s="261" t="str">
        <f t="shared" si="227"/>
        <v xml:space="preserve"> </v>
      </c>
      <c r="AQ201" s="256"/>
      <c r="AR201" s="295"/>
      <c r="AS201" s="295"/>
      <c r="AT201" s="263"/>
      <c r="AU201" s="277"/>
      <c r="AV201" s="263"/>
      <c r="AW201" s="230"/>
      <c r="AX201" s="300"/>
      <c r="AY201" s="301"/>
      <c r="AZ201" s="230"/>
      <c r="BA201" s="300"/>
      <c r="BB201" s="295"/>
      <c r="BC201" s="228">
        <f t="shared" si="207"/>
        <v>0</v>
      </c>
      <c r="BD201" s="228">
        <f t="shared" si="208"/>
        <v>0</v>
      </c>
      <c r="BE201" s="228">
        <f>IF(AG201="Aucune",0,1)</f>
        <v>1</v>
      </c>
      <c r="BF201" s="228" t="str">
        <f t="shared" si="228"/>
        <v>ALIVE</v>
      </c>
      <c r="BG201" s="208" t="str">
        <f>IF(AD201="","Aucune","Infection")</f>
        <v>Aucune</v>
      </c>
      <c r="BH201" s="208" t="str">
        <f t="shared" si="221"/>
        <v>Aucune</v>
      </c>
      <c r="BI201" s="208" t="str">
        <f t="shared" si="222"/>
        <v>Aucune</v>
      </c>
      <c r="BJ201" s="208" t="str">
        <f t="shared" si="216"/>
        <v>NON</v>
      </c>
      <c r="BK201" s="208" t="str">
        <f t="shared" si="223"/>
        <v>NON</v>
      </c>
      <c r="BL201" s="208" t="str">
        <f t="shared" si="217"/>
        <v>Inconnu</v>
      </c>
      <c r="BM201" s="208" t="str">
        <f t="shared" si="209"/>
        <v>Inconnu</v>
      </c>
      <c r="BN201" s="208" t="str">
        <f t="shared" si="210"/>
        <v>Inconnu</v>
      </c>
      <c r="BO201" s="208" t="str">
        <f t="shared" si="218"/>
        <v>Inconnu</v>
      </c>
      <c r="BP201" s="208" t="str">
        <f t="shared" si="211"/>
        <v>Inconnu</v>
      </c>
      <c r="BQ201" s="208" t="str">
        <f t="shared" si="212"/>
        <v>Inconnu</v>
      </c>
      <c r="BR201" s="208" t="str">
        <f t="shared" si="213"/>
        <v>Aucune</v>
      </c>
      <c r="BS201" s="208">
        <f t="shared" si="215"/>
        <v>0</v>
      </c>
      <c r="BT201" s="229" t="e">
        <f>VLOOKUP($I201,Lieu_Activité!$A:$B,2,FALSE)</f>
        <v>#N/A</v>
      </c>
      <c r="BU201" s="208" t="str">
        <f t="shared" si="224"/>
        <v>Aucun</v>
      </c>
      <c r="BV201" s="208" t="str">
        <f t="shared" si="225"/>
        <v>Aucun</v>
      </c>
      <c r="BW201" s="207" t="str">
        <f t="shared" si="214"/>
        <v>NON</v>
      </c>
      <c r="BX201" s="288"/>
    </row>
    <row r="202" spans="1:76" ht="12.75" customHeight="1" x14ac:dyDescent="0.25">
      <c r="A202" s="231" t="s">
        <v>282</v>
      </c>
      <c r="B202" s="234"/>
      <c r="C202" s="227"/>
      <c r="D202" s="257"/>
      <c r="E202" s="278">
        <f>(L202-D202)/365</f>
        <v>0</v>
      </c>
      <c r="F202" s="278" t="str">
        <f t="shared" si="226"/>
        <v xml:space="preserve"> </v>
      </c>
      <c r="G202" s="256"/>
      <c r="H202" s="256"/>
      <c r="I202" s="256"/>
      <c r="J202" s="256"/>
      <c r="K202" s="256"/>
      <c r="L202" s="257"/>
      <c r="M202" s="243"/>
      <c r="N202" s="232"/>
      <c r="O202" s="232"/>
      <c r="P202" s="265" t="str">
        <f>IFERROR(VLOOKUP(O202,Références!$K$11:$N$19,2)," ")</f>
        <v xml:space="preserve"> </v>
      </c>
      <c r="Q202" s="265" t="str">
        <f>IFERROR(VLOOKUP(O202,Références!$K$11:$N$19,3)," ")</f>
        <v xml:space="preserve"> </v>
      </c>
      <c r="R202" s="265" t="str">
        <f>IFERROR(VLOOKUP(O202,Références!$K$11:$N$19,4)," ")</f>
        <v xml:space="preserve"> </v>
      </c>
      <c r="S202" s="256"/>
      <c r="T202" s="256"/>
      <c r="U202" s="256"/>
      <c r="V202" s="256"/>
      <c r="W202" s="256"/>
      <c r="X202" s="257"/>
      <c r="Y202" s="256"/>
      <c r="Z202" s="256"/>
      <c r="AA202" s="256"/>
      <c r="AB202" s="235"/>
      <c r="AC202" s="235"/>
      <c r="AD202" s="235"/>
      <c r="AE202" s="235"/>
      <c r="AF202" s="235"/>
      <c r="AG202" s="235"/>
      <c r="AH202" s="235"/>
      <c r="AI202" s="235">
        <f>SUM(AF202,AH202)</f>
        <v>0</v>
      </c>
      <c r="AJ202" s="257"/>
      <c r="AK202" s="256">
        <f>(AJ202-L202)</f>
        <v>0</v>
      </c>
      <c r="AL202" s="257"/>
      <c r="AM202" s="266">
        <f>(AL202-L202)</f>
        <v>0</v>
      </c>
      <c r="AN202" s="256"/>
      <c r="AO202" s="276"/>
      <c r="AP202" s="261" t="str">
        <f t="shared" si="227"/>
        <v xml:space="preserve"> </v>
      </c>
      <c r="AQ202" s="256"/>
      <c r="AR202" s="295"/>
      <c r="AS202" s="295"/>
      <c r="AT202" s="263"/>
      <c r="AU202" s="277"/>
      <c r="AV202" s="263"/>
      <c r="AW202" s="230"/>
      <c r="AX202" s="300"/>
      <c r="AY202" s="301"/>
      <c r="AZ202" s="230"/>
      <c r="BA202" s="300"/>
      <c r="BB202" s="295"/>
      <c r="BC202" s="228">
        <f>IF(BG202="Aucune",0,1)</f>
        <v>0</v>
      </c>
      <c r="BD202" s="228">
        <f>IF(BH202="Aucune",0,1)</f>
        <v>0</v>
      </c>
      <c r="BE202" s="228">
        <f t="shared" si="219"/>
        <v>1</v>
      </c>
      <c r="BF202" s="228" t="str">
        <f t="shared" si="228"/>
        <v>ALIVE</v>
      </c>
      <c r="BG202" s="208" t="str">
        <f t="shared" si="220"/>
        <v>Aucune</v>
      </c>
      <c r="BH202" s="208" t="str">
        <f t="shared" si="221"/>
        <v>Aucune</v>
      </c>
      <c r="BI202" s="208" t="str">
        <f t="shared" si="222"/>
        <v>Aucune</v>
      </c>
      <c r="BJ202" s="208" t="str">
        <f t="shared" si="216"/>
        <v>NON</v>
      </c>
      <c r="BK202" s="208" t="str">
        <f t="shared" si="223"/>
        <v>NON</v>
      </c>
      <c r="BL202" s="208" t="str">
        <f t="shared" si="217"/>
        <v>Inconnu</v>
      </c>
      <c r="BM202" s="208" t="str">
        <f>IF($O202&lt;&gt;"HTX",IF($O202&lt;&gt;"LVAD",BL202,"Inconnu"),"Inconnu")</f>
        <v>Inconnu</v>
      </c>
      <c r="BN202" s="208" t="str">
        <f>IF($O202="HTX",BL202,IF($O202="LVAD",BL202,"Inconnu"))</f>
        <v>Inconnu</v>
      </c>
      <c r="BO202" s="208" t="str">
        <f t="shared" si="218"/>
        <v>Inconnu</v>
      </c>
      <c r="BP202" s="208" t="str">
        <f>IF($O202&lt;&gt;"HTX",IF($O202&lt;&gt;"LVAD",BO202,"Inconnu"),"Inconnu")</f>
        <v>Inconnu</v>
      </c>
      <c r="BQ202" s="208" t="str">
        <f>IF($O202="HTX",BO202,IF($O202="LVAD",BO202,"Inconnu"))</f>
        <v>Inconnu</v>
      </c>
      <c r="BR202" s="208" t="str">
        <f>IF(BH202="Aucune",IF(BI202="Aucune","Aucune","Transfusé"),"Transfusé")</f>
        <v>Aucune</v>
      </c>
      <c r="BS202" s="208">
        <f t="shared" si="215"/>
        <v>0</v>
      </c>
      <c r="BT202" s="229" t="e">
        <f>VLOOKUP($I202,Lieu_Activité!$A:$B,2,FALSE)</f>
        <v>#N/A</v>
      </c>
      <c r="BU202" s="208" t="str">
        <f t="shared" si="224"/>
        <v>Aucun</v>
      </c>
      <c r="BV202" s="208" t="str">
        <f t="shared" si="225"/>
        <v>Aucun</v>
      </c>
      <c r="BW202" s="207" t="str">
        <f t="shared" si="214"/>
        <v>NON</v>
      </c>
      <c r="BX202" s="288"/>
    </row>
    <row r="203" spans="1:76" ht="12" customHeight="1" x14ac:dyDescent="0.25">
      <c r="A203" s="226" t="s">
        <v>256</v>
      </c>
      <c r="B203" s="234"/>
      <c r="C203" s="227"/>
      <c r="D203" s="257"/>
      <c r="E203" s="278">
        <f t="shared" ref="E203:E209" si="229">(L203-D203)/365</f>
        <v>0</v>
      </c>
      <c r="F203" s="278" t="str">
        <f t="shared" si="226"/>
        <v xml:space="preserve"> </v>
      </c>
      <c r="G203" s="256"/>
      <c r="H203" s="256"/>
      <c r="I203" s="256"/>
      <c r="J203" s="256"/>
      <c r="K203" s="256"/>
      <c r="L203" s="257"/>
      <c r="M203" s="243"/>
      <c r="N203" s="232"/>
      <c r="O203" s="232"/>
      <c r="P203" s="265" t="str">
        <f>IFERROR(VLOOKUP(O203,Références!$K$11:$N$19,2)," ")</f>
        <v xml:space="preserve"> </v>
      </c>
      <c r="Q203" s="265" t="str">
        <f>IFERROR(VLOOKUP(O203,Références!$K$11:$N$19,3)," ")</f>
        <v xml:space="preserve"> </v>
      </c>
      <c r="R203" s="265" t="str">
        <f>IFERROR(VLOOKUP(O203,Références!$K$11:$N$19,4)," ")</f>
        <v xml:space="preserve"> </v>
      </c>
      <c r="S203" s="256"/>
      <c r="T203" s="256"/>
      <c r="U203" s="256"/>
      <c r="V203" s="256"/>
      <c r="W203" s="256"/>
      <c r="X203" s="257"/>
      <c r="Y203" s="256"/>
      <c r="Z203" s="256"/>
      <c r="AA203" s="256"/>
      <c r="AB203" s="235"/>
      <c r="AC203" s="235"/>
      <c r="AD203" s="235"/>
      <c r="AE203" s="235"/>
      <c r="AF203" s="235"/>
      <c r="AG203" s="235"/>
      <c r="AH203" s="235"/>
      <c r="AI203" s="235">
        <f t="shared" ref="AI203:AI209" si="230">SUM(AF203,AH203)</f>
        <v>0</v>
      </c>
      <c r="AJ203" s="257"/>
      <c r="AK203" s="256">
        <f t="shared" ref="AK203:AK209" si="231">(AJ203-L203)</f>
        <v>0</v>
      </c>
      <c r="AL203" s="257"/>
      <c r="AM203" s="266">
        <f t="shared" ref="AM203:AM209" si="232">(AL203-L203)</f>
        <v>0</v>
      </c>
      <c r="AN203" s="256"/>
      <c r="AO203" s="276"/>
      <c r="AP203" s="261" t="str">
        <f t="shared" si="227"/>
        <v xml:space="preserve"> </v>
      </c>
      <c r="AQ203" s="256"/>
      <c r="AR203" s="295"/>
      <c r="AS203" s="295"/>
      <c r="AT203" s="263"/>
      <c r="AU203" s="277"/>
      <c r="AV203" s="263"/>
      <c r="AW203" s="230"/>
      <c r="AX203" s="300"/>
      <c r="AY203" s="301"/>
      <c r="AZ203" s="230"/>
      <c r="BA203" s="300"/>
      <c r="BB203" s="295"/>
      <c r="BC203" s="228">
        <f t="shared" ref="BC203:BC209" si="233">IF(BG203="Aucune",0,1)</f>
        <v>0</v>
      </c>
      <c r="BD203" s="228">
        <f t="shared" ref="BD203:BD209" si="234">IF(BH203="Aucune",0,1)</f>
        <v>0</v>
      </c>
      <c r="BE203" s="228">
        <f t="shared" si="219"/>
        <v>1</v>
      </c>
      <c r="BF203" s="228" t="str">
        <f t="shared" si="228"/>
        <v>ALIVE</v>
      </c>
      <c r="BG203" s="208" t="str">
        <f t="shared" si="220"/>
        <v>Aucune</v>
      </c>
      <c r="BH203" s="208" t="str">
        <f t="shared" si="221"/>
        <v>Aucune</v>
      </c>
      <c r="BI203" s="208" t="str">
        <f t="shared" si="222"/>
        <v>Aucune</v>
      </c>
      <c r="BJ203" s="208" t="str">
        <f t="shared" si="216"/>
        <v>NON</v>
      </c>
      <c r="BK203" s="208" t="str">
        <f t="shared" si="223"/>
        <v>NON</v>
      </c>
      <c r="BL203" s="208" t="str">
        <f t="shared" si="217"/>
        <v>Inconnu</v>
      </c>
      <c r="BM203" s="208" t="str">
        <f t="shared" ref="BM203:BM209" si="235">IF($O203&lt;&gt;"HTX",IF($O203&lt;&gt;"LVAD",BL203,"Inconnu"),"Inconnu")</f>
        <v>Inconnu</v>
      </c>
      <c r="BN203" s="208" t="str">
        <f t="shared" ref="BN203:BN209" si="236">IF($O203="HTX",BL203,IF($O203="LVAD",BL203,"Inconnu"))</f>
        <v>Inconnu</v>
      </c>
      <c r="BO203" s="208" t="str">
        <f t="shared" si="218"/>
        <v>Inconnu</v>
      </c>
      <c r="BP203" s="208" t="str">
        <f t="shared" ref="BP203:BP209" si="237">IF($O203&lt;&gt;"HTX",IF($O203&lt;&gt;"LVAD",BO203,"Inconnu"),"Inconnu")</f>
        <v>Inconnu</v>
      </c>
      <c r="BQ203" s="208" t="str">
        <f t="shared" ref="BQ203:BQ209" si="238">IF($O203="HTX",BO203,IF($O203="LVAD",BO203,"Inconnu"))</f>
        <v>Inconnu</v>
      </c>
      <c r="BR203" s="208" t="str">
        <f t="shared" ref="BR203:BR209" si="239">IF(BH203="Aucune",IF(BI203="Aucune","Aucune","Transfusé"),"Transfusé")</f>
        <v>Aucune</v>
      </c>
      <c r="BS203" s="208">
        <f t="shared" si="215"/>
        <v>0</v>
      </c>
      <c r="BT203" s="229" t="e">
        <f>VLOOKUP($I203,Lieu_Activité!$A:$B,2,FALSE)</f>
        <v>#N/A</v>
      </c>
      <c r="BU203" s="208" t="str">
        <f t="shared" si="224"/>
        <v>Aucun</v>
      </c>
      <c r="BV203" s="208" t="str">
        <f t="shared" si="225"/>
        <v>Aucun</v>
      </c>
      <c r="BW203" s="207" t="str">
        <f t="shared" si="214"/>
        <v>NON</v>
      </c>
      <c r="BX203" s="288"/>
    </row>
    <row r="204" spans="1:76" ht="12" customHeight="1" x14ac:dyDescent="0.25">
      <c r="A204" s="226" t="s">
        <v>256</v>
      </c>
      <c r="B204" s="234"/>
      <c r="C204" s="227"/>
      <c r="D204" s="257"/>
      <c r="E204" s="278">
        <f t="shared" si="229"/>
        <v>0</v>
      </c>
      <c r="F204" s="278" t="str">
        <f t="shared" si="226"/>
        <v xml:space="preserve"> </v>
      </c>
      <c r="G204" s="256"/>
      <c r="H204" s="256"/>
      <c r="I204" s="256"/>
      <c r="J204" s="256"/>
      <c r="K204" s="256"/>
      <c r="L204" s="257"/>
      <c r="M204" s="243"/>
      <c r="N204" s="232"/>
      <c r="O204" s="232"/>
      <c r="P204" s="265" t="str">
        <f>IFERROR(VLOOKUP(O204,Références!$K$11:$N$19,2)," ")</f>
        <v xml:space="preserve"> </v>
      </c>
      <c r="Q204" s="265" t="str">
        <f>IFERROR(VLOOKUP(O204,Références!$K$11:$N$19,3)," ")</f>
        <v xml:space="preserve"> </v>
      </c>
      <c r="R204" s="265" t="str">
        <f>IFERROR(VLOOKUP(O204,Références!$K$11:$N$19,4)," ")</f>
        <v xml:space="preserve"> </v>
      </c>
      <c r="S204" s="256"/>
      <c r="T204" s="256"/>
      <c r="U204" s="256"/>
      <c r="V204" s="256"/>
      <c r="W204" s="256"/>
      <c r="X204" s="257"/>
      <c r="Y204" s="256"/>
      <c r="Z204" s="256"/>
      <c r="AA204" s="256"/>
      <c r="AB204" s="235"/>
      <c r="AC204" s="235"/>
      <c r="AD204" s="235"/>
      <c r="AE204" s="235"/>
      <c r="AF204" s="235"/>
      <c r="AG204" s="235"/>
      <c r="AH204" s="235"/>
      <c r="AI204" s="235">
        <f t="shared" si="230"/>
        <v>0</v>
      </c>
      <c r="AJ204" s="257"/>
      <c r="AK204" s="256">
        <f t="shared" si="231"/>
        <v>0</v>
      </c>
      <c r="AL204" s="257"/>
      <c r="AM204" s="266">
        <f t="shared" si="232"/>
        <v>0</v>
      </c>
      <c r="AN204" s="256"/>
      <c r="AO204" s="276"/>
      <c r="AP204" s="261" t="str">
        <f t="shared" si="227"/>
        <v xml:space="preserve"> </v>
      </c>
      <c r="AQ204" s="256"/>
      <c r="AR204" s="295"/>
      <c r="AS204" s="295"/>
      <c r="AT204" s="263"/>
      <c r="AU204" s="277"/>
      <c r="AV204" s="263"/>
      <c r="AW204" s="230"/>
      <c r="AX204" s="300"/>
      <c r="AY204" s="301"/>
      <c r="AZ204" s="300"/>
      <c r="BA204" s="300"/>
      <c r="BB204" s="295"/>
      <c r="BC204" s="228">
        <f t="shared" si="233"/>
        <v>0</v>
      </c>
      <c r="BD204" s="228">
        <f t="shared" si="234"/>
        <v>0</v>
      </c>
      <c r="BE204" s="228">
        <f t="shared" si="219"/>
        <v>1</v>
      </c>
      <c r="BF204" s="228" t="str">
        <f t="shared" si="228"/>
        <v>ALIVE</v>
      </c>
      <c r="BG204" s="208" t="str">
        <f t="shared" si="220"/>
        <v>Aucune</v>
      </c>
      <c r="BH204" s="208" t="str">
        <f t="shared" si="221"/>
        <v>Aucune</v>
      </c>
      <c r="BI204" s="208" t="str">
        <f t="shared" si="222"/>
        <v>Aucune</v>
      </c>
      <c r="BJ204" s="208" t="str">
        <f t="shared" si="216"/>
        <v>NON</v>
      </c>
      <c r="BK204" s="208" t="str">
        <f t="shared" si="223"/>
        <v>NON</v>
      </c>
      <c r="BL204" s="208" t="str">
        <f t="shared" si="217"/>
        <v>Inconnu</v>
      </c>
      <c r="BM204" s="208" t="str">
        <f t="shared" si="235"/>
        <v>Inconnu</v>
      </c>
      <c r="BN204" s="208" t="str">
        <f t="shared" si="236"/>
        <v>Inconnu</v>
      </c>
      <c r="BO204" s="208" t="str">
        <f t="shared" si="218"/>
        <v>Inconnu</v>
      </c>
      <c r="BP204" s="208" t="str">
        <f t="shared" si="237"/>
        <v>Inconnu</v>
      </c>
      <c r="BQ204" s="208" t="str">
        <f t="shared" si="238"/>
        <v>Inconnu</v>
      </c>
      <c r="BR204" s="208" t="str">
        <f t="shared" si="239"/>
        <v>Aucune</v>
      </c>
      <c r="BS204" s="208">
        <f t="shared" si="215"/>
        <v>0</v>
      </c>
      <c r="BT204" s="229" t="e">
        <f>VLOOKUP($I204,Lieu_Activité!$A:$B,2,FALSE)</f>
        <v>#N/A</v>
      </c>
      <c r="BU204" s="208" t="str">
        <f t="shared" si="224"/>
        <v>Aucun</v>
      </c>
      <c r="BV204" s="208" t="str">
        <f t="shared" si="225"/>
        <v>Aucun</v>
      </c>
      <c r="BW204" s="207" t="str">
        <f t="shared" si="214"/>
        <v>NON</v>
      </c>
      <c r="BX204" s="288"/>
    </row>
    <row r="205" spans="1:76" ht="12" customHeight="1" x14ac:dyDescent="0.25">
      <c r="A205" s="226" t="s">
        <v>256</v>
      </c>
      <c r="B205" s="268"/>
      <c r="C205" s="227"/>
      <c r="D205" s="257"/>
      <c r="E205" s="278">
        <f t="shared" si="229"/>
        <v>0</v>
      </c>
      <c r="F205" s="278" t="str">
        <f t="shared" si="226"/>
        <v xml:space="preserve"> </v>
      </c>
      <c r="G205" s="256"/>
      <c r="H205" s="256"/>
      <c r="I205" s="256"/>
      <c r="J205" s="256"/>
      <c r="K205" s="256"/>
      <c r="L205" s="257"/>
      <c r="M205" s="243"/>
      <c r="N205" s="232"/>
      <c r="O205" s="232"/>
      <c r="P205" s="265" t="str">
        <f>IFERROR(VLOOKUP(O205,Références!$K$11:$N$19,2)," ")</f>
        <v xml:space="preserve"> </v>
      </c>
      <c r="Q205" s="265" t="str">
        <f>IFERROR(VLOOKUP(O205,Références!$K$11:$N$19,3)," ")</f>
        <v xml:space="preserve"> </v>
      </c>
      <c r="R205" s="265" t="str">
        <f>IFERROR(VLOOKUP(O205,Références!$K$11:$N$19,4)," ")</f>
        <v xml:space="preserve"> </v>
      </c>
      <c r="S205" s="256"/>
      <c r="T205" s="256"/>
      <c r="U205" s="256"/>
      <c r="V205" s="256"/>
      <c r="W205" s="256"/>
      <c r="X205" s="257"/>
      <c r="Y205" s="256"/>
      <c r="Z205" s="256"/>
      <c r="AA205" s="256"/>
      <c r="AB205" s="235"/>
      <c r="AC205" s="235"/>
      <c r="AD205" s="235"/>
      <c r="AE205" s="235"/>
      <c r="AF205" s="235"/>
      <c r="AG205" s="235"/>
      <c r="AH205" s="235"/>
      <c r="AI205" s="235">
        <f t="shared" si="230"/>
        <v>0</v>
      </c>
      <c r="AJ205" s="257"/>
      <c r="AK205" s="256">
        <f t="shared" si="231"/>
        <v>0</v>
      </c>
      <c r="AL205" s="257"/>
      <c r="AM205" s="266">
        <f t="shared" si="232"/>
        <v>0</v>
      </c>
      <c r="AN205" s="256"/>
      <c r="AO205" s="276"/>
      <c r="AP205" s="261" t="str">
        <f t="shared" si="227"/>
        <v xml:space="preserve"> </v>
      </c>
      <c r="AQ205" s="256"/>
      <c r="AR205" s="295"/>
      <c r="AS205" s="295"/>
      <c r="AT205" s="263"/>
      <c r="AU205" s="277"/>
      <c r="AV205" s="263"/>
      <c r="AW205" s="230"/>
      <c r="AX205" s="300"/>
      <c r="AY205" s="301"/>
      <c r="AZ205" s="230"/>
      <c r="BA205" s="302" t="s">
        <v>246</v>
      </c>
      <c r="BB205" s="295"/>
      <c r="BC205" s="228">
        <f t="shared" si="233"/>
        <v>0</v>
      </c>
      <c r="BD205" s="228">
        <f t="shared" si="234"/>
        <v>0</v>
      </c>
      <c r="BE205" s="228">
        <f t="shared" si="219"/>
        <v>1</v>
      </c>
      <c r="BF205" s="228" t="str">
        <f t="shared" si="228"/>
        <v>ALIVE</v>
      </c>
      <c r="BG205" s="208" t="str">
        <f t="shared" si="220"/>
        <v>Aucune</v>
      </c>
      <c r="BH205" s="208" t="str">
        <f t="shared" si="221"/>
        <v>Aucune</v>
      </c>
      <c r="BI205" s="208" t="str">
        <f t="shared" si="222"/>
        <v>Aucune</v>
      </c>
      <c r="BJ205" s="208" t="str">
        <f t="shared" si="216"/>
        <v>NON</v>
      </c>
      <c r="BK205" s="208" t="str">
        <f t="shared" si="223"/>
        <v>NON</v>
      </c>
      <c r="BL205" s="208" t="str">
        <f t="shared" si="217"/>
        <v>Inconnu</v>
      </c>
      <c r="BM205" s="208" t="str">
        <f t="shared" si="235"/>
        <v>Inconnu</v>
      </c>
      <c r="BN205" s="208" t="str">
        <f t="shared" si="236"/>
        <v>Inconnu</v>
      </c>
      <c r="BO205" s="208" t="str">
        <f t="shared" si="218"/>
        <v>Inconnu</v>
      </c>
      <c r="BP205" s="208" t="str">
        <f t="shared" si="237"/>
        <v>Inconnu</v>
      </c>
      <c r="BQ205" s="208" t="str">
        <f t="shared" si="238"/>
        <v>Inconnu</v>
      </c>
      <c r="BR205" s="208" t="str">
        <f t="shared" si="239"/>
        <v>Aucune</v>
      </c>
      <c r="BS205" s="208">
        <f t="shared" si="215"/>
        <v>0</v>
      </c>
      <c r="BT205" s="229" t="e">
        <f>VLOOKUP($I205,Lieu_Activité!$A:$B,2,FALSE)</f>
        <v>#N/A</v>
      </c>
      <c r="BU205" s="208" t="str">
        <f t="shared" si="224"/>
        <v>Aucun</v>
      </c>
      <c r="BV205" s="208" t="str">
        <f t="shared" si="225"/>
        <v>Aucun</v>
      </c>
      <c r="BW205" s="207" t="str">
        <f t="shared" si="214"/>
        <v>NON</v>
      </c>
      <c r="BX205" s="288"/>
    </row>
    <row r="206" spans="1:76" ht="12.75" customHeight="1" x14ac:dyDescent="0.25">
      <c r="A206" s="226" t="s">
        <v>256</v>
      </c>
      <c r="B206" s="234"/>
      <c r="C206" s="227"/>
      <c r="D206" s="257"/>
      <c r="E206" s="278">
        <f t="shared" si="229"/>
        <v>0</v>
      </c>
      <c r="F206" s="278" t="str">
        <f t="shared" si="226"/>
        <v xml:space="preserve"> </v>
      </c>
      <c r="G206" s="256"/>
      <c r="H206" s="256"/>
      <c r="I206" s="256"/>
      <c r="J206" s="256"/>
      <c r="K206" s="256"/>
      <c r="L206" s="257"/>
      <c r="M206" s="243"/>
      <c r="N206" s="232"/>
      <c r="O206" s="232"/>
      <c r="P206" s="265" t="str">
        <f>IFERROR(VLOOKUP(O206,Références!$K$11:$N$19,2)," ")</f>
        <v xml:space="preserve"> </v>
      </c>
      <c r="Q206" s="265" t="str">
        <f>IFERROR(VLOOKUP(O206,Références!$K$11:$N$19,3)," ")</f>
        <v xml:space="preserve"> </v>
      </c>
      <c r="R206" s="265" t="str">
        <f>IFERROR(VLOOKUP(O206,Références!$K$11:$N$19,4)," ")</f>
        <v xml:space="preserve"> </v>
      </c>
      <c r="S206" s="256"/>
      <c r="T206" s="256"/>
      <c r="U206" s="256"/>
      <c r="V206" s="256"/>
      <c r="W206" s="256"/>
      <c r="X206" s="257"/>
      <c r="Y206" s="256"/>
      <c r="Z206" s="256"/>
      <c r="AA206" s="256"/>
      <c r="AB206" s="235"/>
      <c r="AC206" s="235"/>
      <c r="AD206" s="235"/>
      <c r="AE206" s="235"/>
      <c r="AF206" s="235"/>
      <c r="AG206" s="235"/>
      <c r="AH206" s="235"/>
      <c r="AI206" s="235">
        <f t="shared" si="230"/>
        <v>0</v>
      </c>
      <c r="AJ206" s="257"/>
      <c r="AK206" s="256">
        <f t="shared" si="231"/>
        <v>0</v>
      </c>
      <c r="AL206" s="257"/>
      <c r="AM206" s="266">
        <f t="shared" si="232"/>
        <v>0</v>
      </c>
      <c r="AN206" s="256"/>
      <c r="AO206" s="276"/>
      <c r="AP206" s="261" t="str">
        <f t="shared" si="227"/>
        <v xml:space="preserve"> </v>
      </c>
      <c r="AQ206" s="256"/>
      <c r="AR206" s="295"/>
      <c r="AS206" s="295"/>
      <c r="AT206" s="263"/>
      <c r="AU206" s="277"/>
      <c r="AV206" s="263"/>
      <c r="AW206" s="230"/>
      <c r="AX206" s="300"/>
      <c r="AY206" s="301"/>
      <c r="AZ206" s="230"/>
      <c r="BA206" s="300"/>
      <c r="BB206" s="295"/>
      <c r="BC206" s="228">
        <f t="shared" si="233"/>
        <v>0</v>
      </c>
      <c r="BD206" s="228">
        <f t="shared" si="234"/>
        <v>0</v>
      </c>
      <c r="BE206" s="228">
        <f t="shared" si="219"/>
        <v>1</v>
      </c>
      <c r="BF206" s="228" t="str">
        <f t="shared" si="228"/>
        <v>ALIVE</v>
      </c>
      <c r="BG206" s="208" t="str">
        <f t="shared" si="220"/>
        <v>Aucune</v>
      </c>
      <c r="BH206" s="208" t="str">
        <f t="shared" si="221"/>
        <v>Aucune</v>
      </c>
      <c r="BI206" s="208" t="str">
        <f t="shared" si="222"/>
        <v>Aucune</v>
      </c>
      <c r="BJ206" s="208" t="str">
        <f t="shared" si="216"/>
        <v>NON</v>
      </c>
      <c r="BK206" s="208" t="str">
        <f t="shared" si="223"/>
        <v>NON</v>
      </c>
      <c r="BL206" s="208" t="str">
        <f t="shared" si="217"/>
        <v>Inconnu</v>
      </c>
      <c r="BM206" s="208" t="str">
        <f t="shared" si="235"/>
        <v>Inconnu</v>
      </c>
      <c r="BN206" s="208" t="str">
        <f t="shared" si="236"/>
        <v>Inconnu</v>
      </c>
      <c r="BO206" s="208" t="str">
        <f t="shared" si="218"/>
        <v>Inconnu</v>
      </c>
      <c r="BP206" s="208" t="str">
        <f t="shared" si="237"/>
        <v>Inconnu</v>
      </c>
      <c r="BQ206" s="208" t="str">
        <f t="shared" si="238"/>
        <v>Inconnu</v>
      </c>
      <c r="BR206" s="208" t="str">
        <f t="shared" si="239"/>
        <v>Aucune</v>
      </c>
      <c r="BS206" s="208">
        <f t="shared" si="215"/>
        <v>0</v>
      </c>
      <c r="BT206" s="229" t="e">
        <f>VLOOKUP($I206,Lieu_Activité!$A:$B,2,FALSE)</f>
        <v>#N/A</v>
      </c>
      <c r="BU206" s="208" t="str">
        <f t="shared" si="224"/>
        <v>Aucun</v>
      </c>
      <c r="BV206" s="208" t="str">
        <f t="shared" si="225"/>
        <v>Aucun</v>
      </c>
      <c r="BW206" s="207" t="str">
        <f t="shared" si="214"/>
        <v>NON</v>
      </c>
      <c r="BX206" s="288"/>
    </row>
    <row r="207" spans="1:76" ht="12" customHeight="1" x14ac:dyDescent="0.25">
      <c r="A207" s="226" t="s">
        <v>256</v>
      </c>
      <c r="B207" s="234"/>
      <c r="C207" s="227"/>
      <c r="D207" s="257"/>
      <c r="E207" s="278">
        <f t="shared" si="229"/>
        <v>0</v>
      </c>
      <c r="F207" s="278" t="str">
        <f t="shared" si="226"/>
        <v xml:space="preserve"> </v>
      </c>
      <c r="G207" s="256"/>
      <c r="H207" s="256"/>
      <c r="I207" s="256"/>
      <c r="J207" s="256"/>
      <c r="K207" s="256"/>
      <c r="L207" s="257"/>
      <c r="M207" s="243"/>
      <c r="N207" s="232"/>
      <c r="O207" s="232"/>
      <c r="P207" s="265" t="str">
        <f>IFERROR(VLOOKUP(O207,Références!$K$11:$N$19,2)," ")</f>
        <v xml:space="preserve"> </v>
      </c>
      <c r="Q207" s="265" t="str">
        <f>IFERROR(VLOOKUP(O207,Références!$K$11:$N$19,3)," ")</f>
        <v xml:space="preserve"> </v>
      </c>
      <c r="R207" s="265" t="str">
        <f>IFERROR(VLOOKUP(O207,Références!$K$11:$N$19,4)," ")</f>
        <v xml:space="preserve"> </v>
      </c>
      <c r="S207" s="256"/>
      <c r="T207" s="256"/>
      <c r="U207" s="256"/>
      <c r="V207" s="256"/>
      <c r="W207" s="256"/>
      <c r="X207" s="257"/>
      <c r="Y207" s="256"/>
      <c r="Z207" s="256"/>
      <c r="AA207" s="256"/>
      <c r="AB207" s="235"/>
      <c r="AC207" s="235"/>
      <c r="AD207" s="274"/>
      <c r="AE207" s="235"/>
      <c r="AF207" s="235"/>
      <c r="AG207" s="235"/>
      <c r="AH207" s="235"/>
      <c r="AI207" s="235">
        <f t="shared" si="230"/>
        <v>0</v>
      </c>
      <c r="AJ207" s="257"/>
      <c r="AK207" s="256">
        <f t="shared" si="231"/>
        <v>0</v>
      </c>
      <c r="AL207" s="257"/>
      <c r="AM207" s="266">
        <f t="shared" si="232"/>
        <v>0</v>
      </c>
      <c r="AN207" s="256"/>
      <c r="AO207" s="276"/>
      <c r="AP207" s="261" t="str">
        <f t="shared" si="227"/>
        <v xml:space="preserve"> </v>
      </c>
      <c r="AQ207" s="256"/>
      <c r="AR207" s="295"/>
      <c r="AS207" s="295"/>
      <c r="AT207" s="263"/>
      <c r="AU207" s="277"/>
      <c r="AV207" s="263"/>
      <c r="AW207" s="230"/>
      <c r="AX207" s="300"/>
      <c r="AY207" s="301"/>
      <c r="AZ207" s="230"/>
      <c r="BA207" s="300"/>
      <c r="BB207" s="295"/>
      <c r="BC207" s="228">
        <f t="shared" si="233"/>
        <v>0</v>
      </c>
      <c r="BD207" s="228">
        <f t="shared" si="234"/>
        <v>0</v>
      </c>
      <c r="BE207" s="228">
        <f t="shared" si="219"/>
        <v>1</v>
      </c>
      <c r="BF207" s="228" t="str">
        <f t="shared" si="228"/>
        <v>ALIVE</v>
      </c>
      <c r="BG207" s="208" t="str">
        <f t="shared" si="220"/>
        <v>Aucune</v>
      </c>
      <c r="BH207" s="208" t="str">
        <f t="shared" si="221"/>
        <v>Aucune</v>
      </c>
      <c r="BI207" s="208" t="str">
        <f t="shared" si="222"/>
        <v>Aucune</v>
      </c>
      <c r="BJ207" s="208" t="str">
        <f t="shared" si="216"/>
        <v>NON</v>
      </c>
      <c r="BK207" s="208" t="str">
        <f t="shared" si="223"/>
        <v>NON</v>
      </c>
      <c r="BL207" s="208" t="str">
        <f t="shared" si="217"/>
        <v>Inconnu</v>
      </c>
      <c r="BM207" s="208" t="str">
        <f t="shared" si="235"/>
        <v>Inconnu</v>
      </c>
      <c r="BN207" s="208" t="str">
        <f t="shared" si="236"/>
        <v>Inconnu</v>
      </c>
      <c r="BO207" s="208" t="str">
        <f t="shared" si="218"/>
        <v>Inconnu</v>
      </c>
      <c r="BP207" s="208" t="str">
        <f t="shared" si="237"/>
        <v>Inconnu</v>
      </c>
      <c r="BQ207" s="208" t="str">
        <f t="shared" si="238"/>
        <v>Inconnu</v>
      </c>
      <c r="BR207" s="208" t="str">
        <f t="shared" si="239"/>
        <v>Aucune</v>
      </c>
      <c r="BS207" s="208">
        <f t="shared" si="215"/>
        <v>0</v>
      </c>
      <c r="BT207" s="229" t="e">
        <f>VLOOKUP($I207,Lieu_Activité!$A:$B,2,FALSE)</f>
        <v>#N/A</v>
      </c>
      <c r="BU207" s="208" t="str">
        <f t="shared" si="224"/>
        <v>Aucun</v>
      </c>
      <c r="BV207" s="208" t="str">
        <f t="shared" si="225"/>
        <v>Aucun</v>
      </c>
      <c r="BW207" s="207" t="str">
        <f t="shared" si="214"/>
        <v>NON</v>
      </c>
      <c r="BX207" s="288"/>
    </row>
    <row r="208" spans="1:76" ht="12" customHeight="1" x14ac:dyDescent="0.25">
      <c r="A208" s="226" t="s">
        <v>256</v>
      </c>
      <c r="B208" s="234"/>
      <c r="C208" s="227"/>
      <c r="D208" s="257"/>
      <c r="E208" s="278">
        <f t="shared" si="229"/>
        <v>0</v>
      </c>
      <c r="F208" s="278" t="str">
        <f t="shared" si="226"/>
        <v xml:space="preserve"> </v>
      </c>
      <c r="G208" s="256"/>
      <c r="H208" s="256"/>
      <c r="I208" s="256"/>
      <c r="J208" s="256"/>
      <c r="K208" s="256"/>
      <c r="L208" s="257"/>
      <c r="M208" s="243"/>
      <c r="N208" s="232"/>
      <c r="O208" s="232"/>
      <c r="P208" s="265" t="str">
        <f>IFERROR(VLOOKUP(O208,Références!$K$11:$N$19,2)," ")</f>
        <v xml:space="preserve"> </v>
      </c>
      <c r="Q208" s="265" t="str">
        <f>IFERROR(VLOOKUP(O208,Références!$K$11:$N$19,3)," ")</f>
        <v xml:space="preserve"> </v>
      </c>
      <c r="R208" s="265" t="str">
        <f>IFERROR(VLOOKUP(O208,Références!$K$11:$N$19,4)," ")</f>
        <v xml:space="preserve"> </v>
      </c>
      <c r="S208" s="256"/>
      <c r="T208" s="256"/>
      <c r="U208" s="256"/>
      <c r="V208" s="256"/>
      <c r="W208" s="256"/>
      <c r="X208" s="257"/>
      <c r="Y208" s="256"/>
      <c r="Z208" s="256"/>
      <c r="AA208" s="256"/>
      <c r="AB208" s="235"/>
      <c r="AC208" s="235"/>
      <c r="AD208" s="235"/>
      <c r="AE208" s="235"/>
      <c r="AF208" s="235"/>
      <c r="AG208" s="235"/>
      <c r="AH208" s="235"/>
      <c r="AI208" s="235">
        <f t="shared" si="230"/>
        <v>0</v>
      </c>
      <c r="AJ208" s="257"/>
      <c r="AK208" s="256">
        <f t="shared" si="231"/>
        <v>0</v>
      </c>
      <c r="AL208" s="257"/>
      <c r="AM208" s="266">
        <f t="shared" si="232"/>
        <v>0</v>
      </c>
      <c r="AN208" s="256"/>
      <c r="AO208" s="276"/>
      <c r="AP208" s="261" t="str">
        <f t="shared" si="227"/>
        <v xml:space="preserve"> </v>
      </c>
      <c r="AQ208" s="256"/>
      <c r="AR208" s="295"/>
      <c r="AS208" s="295"/>
      <c r="AT208" s="263"/>
      <c r="AU208" s="277"/>
      <c r="AV208" s="263"/>
      <c r="AW208" s="230"/>
      <c r="AX208" s="300"/>
      <c r="AY208" s="301"/>
      <c r="AZ208" s="300"/>
      <c r="BA208" s="300"/>
      <c r="BB208" s="295"/>
      <c r="BC208" s="228">
        <f t="shared" si="233"/>
        <v>0</v>
      </c>
      <c r="BD208" s="228">
        <f t="shared" si="234"/>
        <v>0</v>
      </c>
      <c r="BE208" s="228">
        <f t="shared" si="219"/>
        <v>1</v>
      </c>
      <c r="BF208" s="228" t="str">
        <f t="shared" si="228"/>
        <v>ALIVE</v>
      </c>
      <c r="BG208" s="208" t="str">
        <f t="shared" si="220"/>
        <v>Aucune</v>
      </c>
      <c r="BH208" s="208" t="str">
        <f t="shared" si="221"/>
        <v>Aucune</v>
      </c>
      <c r="BI208" s="208" t="str">
        <f t="shared" si="222"/>
        <v>Aucune</v>
      </c>
      <c r="BJ208" s="208" t="str">
        <f t="shared" si="216"/>
        <v>NON</v>
      </c>
      <c r="BK208" s="208" t="str">
        <f t="shared" si="223"/>
        <v>NON</v>
      </c>
      <c r="BL208" s="208" t="str">
        <f t="shared" si="217"/>
        <v>Inconnu</v>
      </c>
      <c r="BM208" s="208" t="str">
        <f t="shared" si="235"/>
        <v>Inconnu</v>
      </c>
      <c r="BN208" s="208" t="str">
        <f t="shared" si="236"/>
        <v>Inconnu</v>
      </c>
      <c r="BO208" s="208" t="str">
        <f t="shared" si="218"/>
        <v>Inconnu</v>
      </c>
      <c r="BP208" s="208" t="str">
        <f t="shared" si="237"/>
        <v>Inconnu</v>
      </c>
      <c r="BQ208" s="208" t="str">
        <f t="shared" si="238"/>
        <v>Inconnu</v>
      </c>
      <c r="BR208" s="208" t="str">
        <f t="shared" si="239"/>
        <v>Aucune</v>
      </c>
      <c r="BS208" s="208">
        <f t="shared" si="215"/>
        <v>0</v>
      </c>
      <c r="BT208" s="229" t="e">
        <f>VLOOKUP($I208,Lieu_Activité!$A:$B,2,FALSE)</f>
        <v>#N/A</v>
      </c>
      <c r="BU208" s="208" t="str">
        <f t="shared" si="224"/>
        <v>Aucun</v>
      </c>
      <c r="BV208" s="208" t="str">
        <f t="shared" si="225"/>
        <v>Aucun</v>
      </c>
      <c r="BW208" s="207" t="str">
        <f t="shared" si="214"/>
        <v>NON</v>
      </c>
      <c r="BX208" s="288"/>
    </row>
    <row r="209" spans="1:76" ht="12.75" customHeight="1" x14ac:dyDescent="0.25">
      <c r="A209" s="226" t="s">
        <v>256</v>
      </c>
      <c r="B209" s="234"/>
      <c r="C209" s="227"/>
      <c r="D209" s="257"/>
      <c r="E209" s="278">
        <f t="shared" si="229"/>
        <v>0</v>
      </c>
      <c r="F209" s="278" t="str">
        <f t="shared" si="226"/>
        <v xml:space="preserve"> </v>
      </c>
      <c r="G209" s="256"/>
      <c r="H209" s="256"/>
      <c r="I209" s="256"/>
      <c r="J209" s="256"/>
      <c r="K209" s="256"/>
      <c r="L209" s="257"/>
      <c r="M209" s="243"/>
      <c r="N209" s="232"/>
      <c r="O209" s="232"/>
      <c r="P209" s="265" t="str">
        <f>IFERROR(VLOOKUP(O209,Références!$K$11:$N$19,2)," ")</f>
        <v xml:space="preserve"> </v>
      </c>
      <c r="Q209" s="265" t="str">
        <f>IFERROR(VLOOKUP(O209,Références!$K$11:$N$19,3)," ")</f>
        <v xml:space="preserve"> </v>
      </c>
      <c r="R209" s="265" t="str">
        <f>IFERROR(VLOOKUP(O209,Références!$K$11:$N$19,4)," ")</f>
        <v xml:space="preserve"> </v>
      </c>
      <c r="S209" s="256"/>
      <c r="T209" s="256"/>
      <c r="U209" s="256"/>
      <c r="V209" s="256"/>
      <c r="W209" s="256"/>
      <c r="X209" s="257"/>
      <c r="Y209" s="256"/>
      <c r="Z209" s="256"/>
      <c r="AA209" s="256"/>
      <c r="AB209" s="235"/>
      <c r="AC209" s="235"/>
      <c r="AD209" s="235"/>
      <c r="AE209" s="235"/>
      <c r="AF209" s="235"/>
      <c r="AG209" s="235"/>
      <c r="AH209" s="235"/>
      <c r="AI209" s="235">
        <f t="shared" si="230"/>
        <v>0</v>
      </c>
      <c r="AJ209" s="257"/>
      <c r="AK209" s="256">
        <f t="shared" si="231"/>
        <v>0</v>
      </c>
      <c r="AL209" s="257"/>
      <c r="AM209" s="266">
        <f t="shared" si="232"/>
        <v>0</v>
      </c>
      <c r="AN209" s="256"/>
      <c r="AO209" s="276"/>
      <c r="AP209" s="261" t="str">
        <f t="shared" si="227"/>
        <v xml:space="preserve"> </v>
      </c>
      <c r="AQ209" s="256"/>
      <c r="AR209" s="295"/>
      <c r="AS209" s="295"/>
      <c r="AT209" s="263"/>
      <c r="AU209" s="277"/>
      <c r="AV209" s="263"/>
      <c r="AW209" s="230"/>
      <c r="AX209" s="300"/>
      <c r="AY209" s="301"/>
      <c r="AZ209" s="230"/>
      <c r="BA209" s="300"/>
      <c r="BB209" s="295"/>
      <c r="BC209" s="228">
        <f t="shared" si="233"/>
        <v>0</v>
      </c>
      <c r="BD209" s="228">
        <f t="shared" si="234"/>
        <v>0</v>
      </c>
      <c r="BE209" s="228">
        <f t="shared" si="219"/>
        <v>1</v>
      </c>
      <c r="BF209" s="228" t="str">
        <f t="shared" si="228"/>
        <v>ALIVE</v>
      </c>
      <c r="BG209" s="208" t="str">
        <f t="shared" si="220"/>
        <v>Aucune</v>
      </c>
      <c r="BH209" s="208" t="str">
        <f t="shared" si="221"/>
        <v>Aucune</v>
      </c>
      <c r="BI209" s="208" t="str">
        <f t="shared" si="222"/>
        <v>Aucune</v>
      </c>
      <c r="BJ209" s="208" t="str">
        <f t="shared" si="216"/>
        <v>NON</v>
      </c>
      <c r="BK209" s="208" t="str">
        <f t="shared" si="223"/>
        <v>NON</v>
      </c>
      <c r="BL209" s="208" t="str">
        <f t="shared" si="217"/>
        <v>Inconnu</v>
      </c>
      <c r="BM209" s="208" t="str">
        <f t="shared" si="235"/>
        <v>Inconnu</v>
      </c>
      <c r="BN209" s="208" t="str">
        <f t="shared" si="236"/>
        <v>Inconnu</v>
      </c>
      <c r="BO209" s="208" t="str">
        <f t="shared" si="218"/>
        <v>Inconnu</v>
      </c>
      <c r="BP209" s="208" t="str">
        <f t="shared" si="237"/>
        <v>Inconnu</v>
      </c>
      <c r="BQ209" s="208" t="str">
        <f t="shared" si="238"/>
        <v>Inconnu</v>
      </c>
      <c r="BR209" s="208" t="str">
        <f t="shared" si="239"/>
        <v>Aucune</v>
      </c>
      <c r="BS209" s="208">
        <f t="shared" si="215"/>
        <v>0</v>
      </c>
      <c r="BT209" s="229" t="e">
        <f>VLOOKUP($I209,Lieu_Activité!$A:$B,2,FALSE)</f>
        <v>#N/A</v>
      </c>
      <c r="BU209" s="208" t="str">
        <f t="shared" si="224"/>
        <v>Aucun</v>
      </c>
      <c r="BV209" s="208" t="str">
        <f t="shared" si="225"/>
        <v>Aucun</v>
      </c>
      <c r="BW209" s="207" t="str">
        <f t="shared" si="214"/>
        <v>NON</v>
      </c>
      <c r="BX209" s="288"/>
    </row>
    <row r="210" spans="1:76" ht="12" customHeight="1" x14ac:dyDescent="0.25">
      <c r="A210" s="226" t="s">
        <v>256</v>
      </c>
      <c r="B210" s="267"/>
      <c r="C210" s="227"/>
      <c r="D210" s="257"/>
      <c r="E210" s="278">
        <f t="shared" ref="E210:E214" si="240">(L210-D210)/365</f>
        <v>0</v>
      </c>
      <c r="F210" s="278" t="str">
        <f t="shared" si="226"/>
        <v xml:space="preserve"> </v>
      </c>
      <c r="G210" s="256"/>
      <c r="H210" s="256"/>
      <c r="I210" s="256"/>
      <c r="J210" s="256"/>
      <c r="K210" s="256"/>
      <c r="L210" s="257"/>
      <c r="M210" s="243"/>
      <c r="N210" s="232"/>
      <c r="O210" s="232"/>
      <c r="P210" s="265" t="str">
        <f>IFERROR(VLOOKUP(O210,Références!$K$11:$N$19,2)," ")</f>
        <v xml:space="preserve"> </v>
      </c>
      <c r="Q210" s="265" t="str">
        <f>IFERROR(VLOOKUP(O210,Références!$K$11:$N$19,3)," ")</f>
        <v xml:space="preserve"> </v>
      </c>
      <c r="R210" s="265" t="str">
        <f>IFERROR(VLOOKUP(O210,Références!$K$11:$N$19,4)," ")</f>
        <v xml:space="preserve"> </v>
      </c>
      <c r="S210" s="256"/>
      <c r="T210" s="256"/>
      <c r="U210" s="256"/>
      <c r="V210" s="256"/>
      <c r="W210" s="256"/>
      <c r="X210" s="257"/>
      <c r="Y210" s="256"/>
      <c r="Z210" s="256"/>
      <c r="AA210" s="256"/>
      <c r="AB210" s="235"/>
      <c r="AC210" s="235"/>
      <c r="AD210" s="235"/>
      <c r="AE210" s="235"/>
      <c r="AF210" s="235"/>
      <c r="AG210" s="235"/>
      <c r="AH210" s="235"/>
      <c r="AI210" s="235">
        <f t="shared" ref="AI210:AI214" si="241">SUM(AF210,AH210)</f>
        <v>0</v>
      </c>
      <c r="AJ210" s="257"/>
      <c r="AK210" s="256">
        <f t="shared" ref="AK210:AK214" si="242">(AJ210-L210)</f>
        <v>0</v>
      </c>
      <c r="AL210" s="257"/>
      <c r="AM210" s="266">
        <f t="shared" ref="AM210:AM214" si="243">(AL210-L210)</f>
        <v>0</v>
      </c>
      <c r="AN210" s="256"/>
      <c r="AO210" s="276"/>
      <c r="AP210" s="261" t="str">
        <f t="shared" si="227"/>
        <v xml:space="preserve"> </v>
      </c>
      <c r="AQ210" s="256"/>
      <c r="AR210" s="295"/>
      <c r="AS210" s="295"/>
      <c r="AT210" s="263"/>
      <c r="AU210" s="277"/>
      <c r="AV210" s="263"/>
      <c r="AW210" s="230"/>
      <c r="AX210" s="300"/>
      <c r="AY210" s="301"/>
      <c r="AZ210" s="230"/>
      <c r="BA210" s="300"/>
      <c r="BB210" s="295"/>
      <c r="BC210" s="228">
        <f t="shared" ref="BC210:BD214" si="244">IF(BG210="Aucune",0,1)</f>
        <v>0</v>
      </c>
      <c r="BD210" s="228">
        <f t="shared" si="244"/>
        <v>0</v>
      </c>
      <c r="BE210" s="228">
        <f t="shared" si="219"/>
        <v>1</v>
      </c>
      <c r="BF210" s="228" t="str">
        <f t="shared" si="228"/>
        <v>ALIVE</v>
      </c>
      <c r="BG210" s="208" t="str">
        <f t="shared" si="220"/>
        <v>Aucune</v>
      </c>
      <c r="BH210" s="208" t="str">
        <f t="shared" si="221"/>
        <v>Aucune</v>
      </c>
      <c r="BI210" s="208" t="str">
        <f t="shared" si="222"/>
        <v>Aucune</v>
      </c>
      <c r="BJ210" s="208" t="str">
        <f t="shared" si="216"/>
        <v>NON</v>
      </c>
      <c r="BK210" s="208" t="str">
        <f t="shared" si="223"/>
        <v>NON</v>
      </c>
      <c r="BL210" s="208" t="str">
        <f t="shared" si="217"/>
        <v>Inconnu</v>
      </c>
      <c r="BM210" s="208" t="str">
        <f t="shared" ref="BM210:BM214" si="245">IF($O210&lt;&gt;"HTX",IF($O210&lt;&gt;"LVAD",BL210,"Inconnu"),"Inconnu")</f>
        <v>Inconnu</v>
      </c>
      <c r="BN210" s="208" t="str">
        <f t="shared" ref="BN210:BN214" si="246">IF($O210="HTX",BL210,IF($O210="LVAD",BL210,"Inconnu"))</f>
        <v>Inconnu</v>
      </c>
      <c r="BO210" s="208" t="str">
        <f t="shared" si="218"/>
        <v>Inconnu</v>
      </c>
      <c r="BP210" s="208" t="str">
        <f t="shared" ref="BP210:BP214" si="247">IF($O210&lt;&gt;"HTX",IF($O210&lt;&gt;"LVAD",BO210,"Inconnu"),"Inconnu")</f>
        <v>Inconnu</v>
      </c>
      <c r="BQ210" s="208" t="str">
        <f t="shared" ref="BQ210:BQ214" si="248">IF($O210="HTX",BO210,IF($O210="LVAD",BO210,"Inconnu"))</f>
        <v>Inconnu</v>
      </c>
      <c r="BR210" s="208" t="str">
        <f t="shared" ref="BR210:BR214" si="249">IF(BH210="Aucune",IF(BI210="Aucune","Aucune","Transfusé"),"Transfusé")</f>
        <v>Aucune</v>
      </c>
      <c r="BS210" s="208">
        <f t="shared" si="215"/>
        <v>0</v>
      </c>
      <c r="BT210" s="229" t="e">
        <f>VLOOKUP($I210,Lieu_Activité!$A:$B,2,FALSE)</f>
        <v>#N/A</v>
      </c>
      <c r="BU210" s="208" t="str">
        <f t="shared" si="224"/>
        <v>Aucun</v>
      </c>
      <c r="BV210" s="208" t="str">
        <f t="shared" si="225"/>
        <v>Aucun</v>
      </c>
      <c r="BW210" s="207" t="str">
        <f t="shared" si="214"/>
        <v>NON</v>
      </c>
      <c r="BX210" s="288"/>
    </row>
    <row r="211" spans="1:76" ht="12" customHeight="1" x14ac:dyDescent="0.25">
      <c r="A211" s="226" t="s">
        <v>256</v>
      </c>
      <c r="B211" s="234"/>
      <c r="C211" s="227"/>
      <c r="D211" s="257"/>
      <c r="E211" s="278">
        <f t="shared" si="240"/>
        <v>0</v>
      </c>
      <c r="F211" s="278" t="str">
        <f t="shared" si="226"/>
        <v xml:space="preserve"> </v>
      </c>
      <c r="G211" s="256"/>
      <c r="H211" s="256"/>
      <c r="I211" s="256"/>
      <c r="J211" s="256"/>
      <c r="K211" s="256"/>
      <c r="L211" s="257"/>
      <c r="M211" s="243"/>
      <c r="N211" s="232"/>
      <c r="O211" s="265"/>
      <c r="P211" s="265" t="str">
        <f>IFERROR(VLOOKUP(O211,Références!$K$11:$N$19,2)," ")</f>
        <v xml:space="preserve"> </v>
      </c>
      <c r="Q211" s="265" t="str">
        <f>IFERROR(VLOOKUP(O211,Références!$K$11:$N$19,3)," ")</f>
        <v xml:space="preserve"> </v>
      </c>
      <c r="R211" s="265" t="str">
        <f>IFERROR(VLOOKUP(O211,Références!$K$11:$N$19,4)," ")</f>
        <v xml:space="preserve"> </v>
      </c>
      <c r="S211" s="256"/>
      <c r="T211" s="256"/>
      <c r="U211" s="256"/>
      <c r="V211" s="256"/>
      <c r="W211" s="256"/>
      <c r="X211" s="257"/>
      <c r="Y211" s="256"/>
      <c r="Z211" s="256"/>
      <c r="AA211" s="256"/>
      <c r="AB211" s="235"/>
      <c r="AC211" s="235"/>
      <c r="AD211" s="235"/>
      <c r="AE211" s="235"/>
      <c r="AF211" s="235"/>
      <c r="AG211" s="235"/>
      <c r="AH211" s="235"/>
      <c r="AI211" s="235">
        <f t="shared" si="241"/>
        <v>0</v>
      </c>
      <c r="AJ211" s="257"/>
      <c r="AK211" s="256">
        <f t="shared" si="242"/>
        <v>0</v>
      </c>
      <c r="AL211" s="257"/>
      <c r="AM211" s="266">
        <f t="shared" si="243"/>
        <v>0</v>
      </c>
      <c r="AN211" s="256"/>
      <c r="AO211" s="276"/>
      <c r="AP211" s="261" t="str">
        <f t="shared" si="227"/>
        <v xml:space="preserve"> </v>
      </c>
      <c r="AQ211" s="256"/>
      <c r="AR211" s="297"/>
      <c r="AS211" s="295"/>
      <c r="AT211" s="263"/>
      <c r="AU211" s="277"/>
      <c r="AV211" s="263"/>
      <c r="AW211" s="230"/>
      <c r="AX211" s="300"/>
      <c r="AY211" s="301"/>
      <c r="AZ211" s="300"/>
      <c r="BA211" s="300"/>
      <c r="BB211" s="295"/>
      <c r="BC211" s="228">
        <f t="shared" si="244"/>
        <v>0</v>
      </c>
      <c r="BD211" s="228">
        <f t="shared" si="244"/>
        <v>0</v>
      </c>
      <c r="BE211" s="228">
        <f t="shared" si="219"/>
        <v>1</v>
      </c>
      <c r="BF211" s="228" t="str">
        <f t="shared" si="228"/>
        <v>ALIVE</v>
      </c>
      <c r="BG211" s="208" t="str">
        <f t="shared" si="220"/>
        <v>Aucune</v>
      </c>
      <c r="BH211" s="208" t="str">
        <f t="shared" si="221"/>
        <v>Aucune</v>
      </c>
      <c r="BI211" s="208" t="str">
        <f t="shared" si="222"/>
        <v>Aucune</v>
      </c>
      <c r="BJ211" s="208" t="str">
        <f t="shared" si="216"/>
        <v>NON</v>
      </c>
      <c r="BK211" s="208" t="str">
        <f t="shared" si="223"/>
        <v>NON</v>
      </c>
      <c r="BL211" s="208" t="str">
        <f t="shared" si="217"/>
        <v>Inconnu</v>
      </c>
      <c r="BM211" s="208" t="str">
        <f t="shared" si="245"/>
        <v>Inconnu</v>
      </c>
      <c r="BN211" s="208" t="str">
        <f t="shared" si="246"/>
        <v>Inconnu</v>
      </c>
      <c r="BO211" s="208" t="str">
        <f t="shared" si="218"/>
        <v>Inconnu</v>
      </c>
      <c r="BP211" s="208" t="str">
        <f t="shared" si="247"/>
        <v>Inconnu</v>
      </c>
      <c r="BQ211" s="208" t="str">
        <f t="shared" si="248"/>
        <v>Inconnu</v>
      </c>
      <c r="BR211" s="208" t="str">
        <f t="shared" si="249"/>
        <v>Aucune</v>
      </c>
      <c r="BS211" s="208">
        <f t="shared" si="215"/>
        <v>0</v>
      </c>
      <c r="BT211" s="229" t="e">
        <f>VLOOKUP($I211,Lieu_Activité!$A:$B,2,FALSE)</f>
        <v>#N/A</v>
      </c>
      <c r="BU211" s="208" t="str">
        <f t="shared" si="224"/>
        <v>Aucun</v>
      </c>
      <c r="BV211" s="208" t="str">
        <f t="shared" si="225"/>
        <v>Aucun</v>
      </c>
      <c r="BW211" s="207" t="str">
        <f t="shared" si="214"/>
        <v>NON</v>
      </c>
      <c r="BX211" s="288"/>
    </row>
    <row r="212" spans="1:76" ht="12" customHeight="1" x14ac:dyDescent="0.25">
      <c r="A212" s="226" t="s">
        <v>256</v>
      </c>
      <c r="B212" s="234"/>
      <c r="C212" s="227"/>
      <c r="D212" s="257"/>
      <c r="E212" s="278">
        <f t="shared" si="240"/>
        <v>0</v>
      </c>
      <c r="F212" s="278" t="str">
        <f t="shared" si="226"/>
        <v xml:space="preserve"> </v>
      </c>
      <c r="G212" s="256"/>
      <c r="H212" s="256"/>
      <c r="I212" s="256"/>
      <c r="J212" s="256"/>
      <c r="K212" s="256"/>
      <c r="L212" s="257"/>
      <c r="M212" s="243"/>
      <c r="N212" s="232"/>
      <c r="O212" s="232"/>
      <c r="P212" s="265" t="str">
        <f>IFERROR(VLOOKUP(O212,Références!$K$11:$N$19,2)," ")</f>
        <v xml:space="preserve"> </v>
      </c>
      <c r="Q212" s="265" t="str">
        <f>IFERROR(VLOOKUP(O212,Références!$K$11:$N$19,3)," ")</f>
        <v xml:space="preserve"> </v>
      </c>
      <c r="R212" s="265" t="str">
        <f>IFERROR(VLOOKUP(O212,Références!$K$11:$N$19,4)," ")</f>
        <v xml:space="preserve"> </v>
      </c>
      <c r="S212" s="256"/>
      <c r="T212" s="256"/>
      <c r="U212" s="256"/>
      <c r="V212" s="256"/>
      <c r="W212" s="256"/>
      <c r="X212" s="257"/>
      <c r="Y212" s="256"/>
      <c r="Z212" s="256"/>
      <c r="AA212" s="256"/>
      <c r="AB212" s="235"/>
      <c r="AC212" s="235"/>
      <c r="AD212" s="235"/>
      <c r="AE212" s="235"/>
      <c r="AF212" s="235"/>
      <c r="AG212" s="235"/>
      <c r="AH212" s="235"/>
      <c r="AI212" s="235">
        <f t="shared" si="241"/>
        <v>0</v>
      </c>
      <c r="AJ212" s="257"/>
      <c r="AK212" s="256">
        <f t="shared" si="242"/>
        <v>0</v>
      </c>
      <c r="AL212" s="257"/>
      <c r="AM212" s="266">
        <f t="shared" si="243"/>
        <v>0</v>
      </c>
      <c r="AN212" s="256"/>
      <c r="AO212" s="276"/>
      <c r="AP212" s="261" t="str">
        <f t="shared" si="227"/>
        <v xml:space="preserve"> </v>
      </c>
      <c r="AQ212" s="256"/>
      <c r="AR212" s="295"/>
      <c r="AS212" s="295"/>
      <c r="AT212" s="263"/>
      <c r="AU212" s="277"/>
      <c r="AV212" s="263"/>
      <c r="AW212" s="230"/>
      <c r="AX212" s="300"/>
      <c r="AY212" s="301"/>
      <c r="AZ212" s="230"/>
      <c r="BA212" s="300"/>
      <c r="BB212" s="295"/>
      <c r="BC212" s="228">
        <f t="shared" si="244"/>
        <v>0</v>
      </c>
      <c r="BD212" s="228">
        <f t="shared" si="244"/>
        <v>0</v>
      </c>
      <c r="BE212" s="228">
        <f t="shared" si="219"/>
        <v>1</v>
      </c>
      <c r="BF212" s="228" t="str">
        <f t="shared" si="228"/>
        <v>ALIVE</v>
      </c>
      <c r="BG212" s="208" t="str">
        <f t="shared" si="220"/>
        <v>Aucune</v>
      </c>
      <c r="BH212" s="208" t="str">
        <f t="shared" si="221"/>
        <v>Aucune</v>
      </c>
      <c r="BI212" s="208" t="str">
        <f t="shared" si="222"/>
        <v>Aucune</v>
      </c>
      <c r="BJ212" s="208" t="str">
        <f t="shared" si="216"/>
        <v>NON</v>
      </c>
      <c r="BK212" s="208" t="str">
        <f t="shared" si="223"/>
        <v>NON</v>
      </c>
      <c r="BL212" s="208" t="str">
        <f t="shared" si="217"/>
        <v>Inconnu</v>
      </c>
      <c r="BM212" s="208" t="str">
        <f t="shared" si="245"/>
        <v>Inconnu</v>
      </c>
      <c r="BN212" s="208" t="str">
        <f t="shared" si="246"/>
        <v>Inconnu</v>
      </c>
      <c r="BO212" s="208" t="str">
        <f t="shared" si="218"/>
        <v>Inconnu</v>
      </c>
      <c r="BP212" s="208" t="str">
        <f t="shared" si="247"/>
        <v>Inconnu</v>
      </c>
      <c r="BQ212" s="208" t="str">
        <f t="shared" si="248"/>
        <v>Inconnu</v>
      </c>
      <c r="BR212" s="208" t="str">
        <f t="shared" si="249"/>
        <v>Aucune</v>
      </c>
      <c r="BS212" s="208">
        <f t="shared" si="215"/>
        <v>0</v>
      </c>
      <c r="BT212" s="229" t="e">
        <f>VLOOKUP($I212,Lieu_Activité!$A:$B,2,FALSE)</f>
        <v>#N/A</v>
      </c>
      <c r="BU212" s="208" t="str">
        <f t="shared" si="224"/>
        <v>Aucun</v>
      </c>
      <c r="BV212" s="208" t="str">
        <f t="shared" si="225"/>
        <v>Aucun</v>
      </c>
      <c r="BW212" s="207" t="str">
        <f t="shared" si="214"/>
        <v>NON</v>
      </c>
      <c r="BX212" s="288"/>
    </row>
    <row r="213" spans="1:76" ht="12.75" customHeight="1" x14ac:dyDescent="0.25">
      <c r="A213" s="226" t="s">
        <v>256</v>
      </c>
      <c r="B213" s="234"/>
      <c r="C213" s="227"/>
      <c r="D213" s="257"/>
      <c r="E213" s="278">
        <f t="shared" si="240"/>
        <v>0</v>
      </c>
      <c r="F213" s="278" t="str">
        <f t="shared" si="226"/>
        <v xml:space="preserve"> </v>
      </c>
      <c r="G213" s="256"/>
      <c r="H213" s="256"/>
      <c r="I213" s="256"/>
      <c r="J213" s="256"/>
      <c r="K213" s="256"/>
      <c r="L213" s="257"/>
      <c r="M213" s="243"/>
      <c r="N213" s="232"/>
      <c r="O213" s="265"/>
      <c r="P213" s="265" t="str">
        <f>IFERROR(VLOOKUP(O213,Références!$K$11:$N$19,2)," ")</f>
        <v xml:space="preserve"> </v>
      </c>
      <c r="Q213" s="265" t="str">
        <f>IFERROR(VLOOKUP(O213,Références!$K$11:$N$19,3)," ")</f>
        <v xml:space="preserve"> </v>
      </c>
      <c r="R213" s="265" t="str">
        <f>IFERROR(VLOOKUP(O213,Références!$K$11:$N$19,4)," ")</f>
        <v xml:space="preserve"> </v>
      </c>
      <c r="S213" s="256"/>
      <c r="T213" s="256"/>
      <c r="U213" s="256"/>
      <c r="V213" s="256"/>
      <c r="W213" s="256"/>
      <c r="X213" s="257"/>
      <c r="Y213" s="256"/>
      <c r="Z213" s="256"/>
      <c r="AA213" s="256"/>
      <c r="AB213" s="235"/>
      <c r="AC213" s="235"/>
      <c r="AD213" s="235"/>
      <c r="AE213" s="235"/>
      <c r="AF213" s="235"/>
      <c r="AG213" s="235"/>
      <c r="AH213" s="235"/>
      <c r="AI213" s="235">
        <f t="shared" si="241"/>
        <v>0</v>
      </c>
      <c r="AJ213" s="257"/>
      <c r="AK213" s="256">
        <f t="shared" si="242"/>
        <v>0</v>
      </c>
      <c r="AL213" s="257"/>
      <c r="AM213" s="266">
        <f t="shared" si="243"/>
        <v>0</v>
      </c>
      <c r="AN213" s="256"/>
      <c r="AO213" s="276"/>
      <c r="AP213" s="261" t="str">
        <f t="shared" si="227"/>
        <v xml:space="preserve"> </v>
      </c>
      <c r="AQ213" s="256"/>
      <c r="AR213" s="295"/>
      <c r="AS213" s="295"/>
      <c r="AT213" s="263"/>
      <c r="AU213" s="277"/>
      <c r="AV213" s="263"/>
      <c r="AW213" s="230"/>
      <c r="AX213" s="300"/>
      <c r="AY213" s="301"/>
      <c r="AZ213" s="230"/>
      <c r="BA213" s="300"/>
      <c r="BB213" s="295"/>
      <c r="BC213" s="228">
        <f t="shared" si="244"/>
        <v>0</v>
      </c>
      <c r="BD213" s="228">
        <f t="shared" si="244"/>
        <v>0</v>
      </c>
      <c r="BE213" s="228">
        <f t="shared" si="219"/>
        <v>1</v>
      </c>
      <c r="BF213" s="228" t="str">
        <f t="shared" si="228"/>
        <v>ALIVE</v>
      </c>
      <c r="BG213" s="208" t="str">
        <f t="shared" si="220"/>
        <v>Aucune</v>
      </c>
      <c r="BH213" s="208" t="str">
        <f t="shared" si="221"/>
        <v>Aucune</v>
      </c>
      <c r="BI213" s="208" t="str">
        <f t="shared" si="222"/>
        <v>Aucune</v>
      </c>
      <c r="BJ213" s="208" t="str">
        <f t="shared" si="216"/>
        <v>NON</v>
      </c>
      <c r="BK213" s="208" t="str">
        <f t="shared" si="223"/>
        <v>NON</v>
      </c>
      <c r="BL213" s="208" t="str">
        <f t="shared" si="217"/>
        <v>Inconnu</v>
      </c>
      <c r="BM213" s="208" t="str">
        <f t="shared" si="245"/>
        <v>Inconnu</v>
      </c>
      <c r="BN213" s="208" t="str">
        <f t="shared" si="246"/>
        <v>Inconnu</v>
      </c>
      <c r="BO213" s="208" t="str">
        <f t="shared" si="218"/>
        <v>Inconnu</v>
      </c>
      <c r="BP213" s="208" t="str">
        <f t="shared" si="247"/>
        <v>Inconnu</v>
      </c>
      <c r="BQ213" s="208" t="str">
        <f t="shared" si="248"/>
        <v>Inconnu</v>
      </c>
      <c r="BR213" s="208" t="str">
        <f t="shared" si="249"/>
        <v>Aucune</v>
      </c>
      <c r="BS213" s="208">
        <f t="shared" si="215"/>
        <v>0</v>
      </c>
      <c r="BT213" s="229" t="e">
        <f>VLOOKUP($I213,Lieu_Activité!$A:$B,2,FALSE)</f>
        <v>#N/A</v>
      </c>
      <c r="BU213" s="208" t="str">
        <f t="shared" si="224"/>
        <v>Aucun</v>
      </c>
      <c r="BV213" s="208" t="str">
        <f t="shared" si="225"/>
        <v>Aucun</v>
      </c>
      <c r="BW213" s="207" t="str">
        <f t="shared" si="214"/>
        <v>NON</v>
      </c>
      <c r="BX213" s="288"/>
    </row>
    <row r="214" spans="1:76" ht="12" customHeight="1" x14ac:dyDescent="0.25">
      <c r="A214" s="226" t="s">
        <v>256</v>
      </c>
      <c r="B214" s="267"/>
      <c r="C214" s="227"/>
      <c r="D214" s="257"/>
      <c r="E214" s="278">
        <f t="shared" si="240"/>
        <v>0</v>
      </c>
      <c r="F214" s="278" t="str">
        <f t="shared" si="226"/>
        <v xml:space="preserve"> </v>
      </c>
      <c r="G214" s="256"/>
      <c r="H214" s="256"/>
      <c r="I214" s="256"/>
      <c r="J214" s="256"/>
      <c r="K214" s="256"/>
      <c r="L214" s="257"/>
      <c r="M214" s="243"/>
      <c r="N214" s="232"/>
      <c r="O214" s="265"/>
      <c r="P214" s="265" t="str">
        <f>IFERROR(VLOOKUP(O214,Références!$K$11:$N$19,2)," ")</f>
        <v xml:space="preserve"> </v>
      </c>
      <c r="Q214" s="265" t="str">
        <f>IFERROR(VLOOKUP(O214,Références!$K$11:$N$19,3)," ")</f>
        <v xml:space="preserve"> </v>
      </c>
      <c r="R214" s="265" t="str">
        <f>IFERROR(VLOOKUP(O214,Références!$K$11:$N$19,4)," ")</f>
        <v xml:space="preserve"> </v>
      </c>
      <c r="S214" s="256"/>
      <c r="T214" s="256"/>
      <c r="U214" s="256"/>
      <c r="V214" s="256"/>
      <c r="W214" s="256"/>
      <c r="X214" s="257"/>
      <c r="Y214" s="256"/>
      <c r="Z214" s="256"/>
      <c r="AA214" s="256"/>
      <c r="AB214" s="235"/>
      <c r="AC214" s="235"/>
      <c r="AD214" s="235"/>
      <c r="AE214" s="235"/>
      <c r="AF214" s="235"/>
      <c r="AG214" s="235"/>
      <c r="AH214" s="235"/>
      <c r="AI214" s="235">
        <f t="shared" si="241"/>
        <v>0</v>
      </c>
      <c r="AJ214" s="257"/>
      <c r="AK214" s="256">
        <f t="shared" si="242"/>
        <v>0</v>
      </c>
      <c r="AL214" s="257"/>
      <c r="AM214" s="266">
        <f t="shared" si="243"/>
        <v>0</v>
      </c>
      <c r="AN214" s="256"/>
      <c r="AO214" s="276"/>
      <c r="AP214" s="261" t="str">
        <f t="shared" si="227"/>
        <v xml:space="preserve"> </v>
      </c>
      <c r="AQ214" s="256"/>
      <c r="AR214" s="295"/>
      <c r="AS214" s="295"/>
      <c r="AT214" s="263"/>
      <c r="AU214" s="277"/>
      <c r="AV214" s="263"/>
      <c r="AW214" s="230"/>
      <c r="AX214" s="300"/>
      <c r="AY214" s="301"/>
      <c r="AZ214" s="230"/>
      <c r="BA214" s="300"/>
      <c r="BB214" s="295"/>
      <c r="BC214" s="228">
        <f t="shared" si="244"/>
        <v>0</v>
      </c>
      <c r="BD214" s="228">
        <f t="shared" si="244"/>
        <v>0</v>
      </c>
      <c r="BE214" s="228">
        <f t="shared" si="219"/>
        <v>1</v>
      </c>
      <c r="BF214" s="228" t="str">
        <f t="shared" si="228"/>
        <v>ALIVE</v>
      </c>
      <c r="BG214" s="208" t="str">
        <f t="shared" si="220"/>
        <v>Aucune</v>
      </c>
      <c r="BH214" s="208" t="str">
        <f t="shared" si="221"/>
        <v>Aucune</v>
      </c>
      <c r="BI214" s="208" t="str">
        <f t="shared" si="222"/>
        <v>Aucune</v>
      </c>
      <c r="BJ214" s="208" t="str">
        <f t="shared" si="216"/>
        <v>NON</v>
      </c>
      <c r="BK214" s="208" t="str">
        <f t="shared" si="223"/>
        <v>NON</v>
      </c>
      <c r="BL214" s="208" t="str">
        <f t="shared" si="217"/>
        <v>Inconnu</v>
      </c>
      <c r="BM214" s="208" t="str">
        <f t="shared" si="245"/>
        <v>Inconnu</v>
      </c>
      <c r="BN214" s="208" t="str">
        <f t="shared" si="246"/>
        <v>Inconnu</v>
      </c>
      <c r="BO214" s="208" t="str">
        <f t="shared" si="218"/>
        <v>Inconnu</v>
      </c>
      <c r="BP214" s="208" t="str">
        <f t="shared" si="247"/>
        <v>Inconnu</v>
      </c>
      <c r="BQ214" s="208" t="str">
        <f t="shared" si="248"/>
        <v>Inconnu</v>
      </c>
      <c r="BR214" s="208" t="str">
        <f t="shared" si="249"/>
        <v>Aucune</v>
      </c>
      <c r="BS214" s="208">
        <f t="shared" si="215"/>
        <v>0</v>
      </c>
      <c r="BT214" s="229" t="e">
        <f>VLOOKUP($I214,Lieu_Activité!$A:$B,2,FALSE)</f>
        <v>#N/A</v>
      </c>
      <c r="BU214" s="208" t="str">
        <f t="shared" si="224"/>
        <v>Aucun</v>
      </c>
      <c r="BV214" s="208" t="str">
        <f t="shared" si="225"/>
        <v>Aucun</v>
      </c>
      <c r="BW214" s="207" t="str">
        <f t="shared" si="214"/>
        <v>NON</v>
      </c>
      <c r="BX214" s="288"/>
    </row>
    <row r="215" spans="1:76" ht="12" customHeight="1" x14ac:dyDescent="0.25">
      <c r="A215" s="226" t="s">
        <v>256</v>
      </c>
      <c r="B215" s="234"/>
      <c r="C215" s="227"/>
      <c r="D215" s="257"/>
      <c r="E215" s="278">
        <f>(L215-D215)/365</f>
        <v>0</v>
      </c>
      <c r="F215" s="278" t="str">
        <f>IF(E215&lt;80," ","1")</f>
        <v xml:space="preserve"> </v>
      </c>
      <c r="G215" s="256"/>
      <c r="H215" s="256"/>
      <c r="I215" s="256"/>
      <c r="J215" s="256"/>
      <c r="K215" s="256"/>
      <c r="L215" s="257"/>
      <c r="M215" s="243"/>
      <c r="N215" s="232"/>
      <c r="O215" s="232"/>
      <c r="P215" s="265" t="str">
        <f>IFERROR(VLOOKUP(O215,Références!$K$11:$N$19,2)," ")</f>
        <v xml:space="preserve"> </v>
      </c>
      <c r="Q215" s="265" t="str">
        <f>IFERROR(VLOOKUP(O215,Références!$K$11:$N$19,3)," ")</f>
        <v xml:space="preserve"> </v>
      </c>
      <c r="R215" s="265" t="str">
        <f>IFERROR(VLOOKUP(O215,Références!$K$11:$N$19,4)," ")</f>
        <v xml:space="preserve"> </v>
      </c>
      <c r="S215" s="256"/>
      <c r="T215" s="256"/>
      <c r="U215" s="256"/>
      <c r="V215" s="256"/>
      <c r="W215" s="256"/>
      <c r="X215" s="257"/>
      <c r="Y215" s="256"/>
      <c r="Z215" s="256"/>
      <c r="AA215" s="256"/>
      <c r="AB215" s="235"/>
      <c r="AC215" s="235"/>
      <c r="AD215" s="235"/>
      <c r="AE215" s="235"/>
      <c r="AF215" s="235"/>
      <c r="AG215" s="235"/>
      <c r="AH215" s="235"/>
      <c r="AI215" s="235">
        <f>SUM(AF215,AH215)</f>
        <v>0</v>
      </c>
      <c r="AJ215" s="257"/>
      <c r="AK215" s="256">
        <f>(AJ215-L215)</f>
        <v>0</v>
      </c>
      <c r="AL215" s="257"/>
      <c r="AM215" s="266">
        <f>(AL215-L215)</f>
        <v>0</v>
      </c>
      <c r="AN215" s="256"/>
      <c r="AO215" s="276"/>
      <c r="AP215" s="261" t="str">
        <f t="shared" si="227"/>
        <v xml:space="preserve"> </v>
      </c>
      <c r="AQ215" s="256"/>
      <c r="AR215" s="295"/>
      <c r="AS215" s="295"/>
      <c r="AT215" s="263"/>
      <c r="AU215" s="277"/>
      <c r="AV215" s="263"/>
      <c r="AW215" s="230"/>
      <c r="AX215" s="300"/>
      <c r="AY215" s="301"/>
      <c r="AZ215" s="230"/>
      <c r="BA215" s="300"/>
      <c r="BB215" s="295"/>
      <c r="BC215" s="228">
        <f t="shared" ref="BC215:BD218" si="250">IF(BG215="Aucune",0,1)</f>
        <v>0</v>
      </c>
      <c r="BD215" s="228">
        <f t="shared" si="250"/>
        <v>0</v>
      </c>
      <c r="BE215" s="228">
        <f>IF(AG215="Aucune",0,1)</f>
        <v>1</v>
      </c>
      <c r="BF215" s="228" t="str">
        <f>IF(AO215=1,"ELECTIVE",IF(AO215=2,"URGENCY",IF(AO215=3,"EMERGENCY",IF(AO215=4,"SALVAGE","ALIVE"))))</f>
        <v>ALIVE</v>
      </c>
      <c r="BG215" s="208" t="str">
        <f>IF(AD215="","Aucune","Infection")</f>
        <v>Aucune</v>
      </c>
      <c r="BH215" s="208" t="str">
        <f>IF(AI215&gt;0,"Transfusion","Aucune")</f>
        <v>Aucune</v>
      </c>
      <c r="BI215" s="208" t="str">
        <f>IF(AG215="","Aucune","Transfusé")</f>
        <v>Aucune</v>
      </c>
      <c r="BJ215" s="208" t="str">
        <f>IF(X215&lt;&gt;"",IF(X215-L215&lt;2,"OUI","NON"),"NON")</f>
        <v>NON</v>
      </c>
      <c r="BK215" s="208" t="str">
        <f>IF(AS215="","NON","OUI")</f>
        <v>NON</v>
      </c>
      <c r="BL215" s="208" t="str">
        <f>IF(AL215-L215&gt;0,AL215-L215,"Inconnu")</f>
        <v>Inconnu</v>
      </c>
      <c r="BM215" s="208" t="str">
        <f>IF($O215&lt;&gt;"HTX",IF($O215&lt;&gt;"LVAD",BL215,"Inconnu"),"Inconnu")</f>
        <v>Inconnu</v>
      </c>
      <c r="BN215" s="208" t="str">
        <f>IF($O215="HTX",BL215,IF($O215="LVAD",BL215,"Inconnu"))</f>
        <v>Inconnu</v>
      </c>
      <c r="BO215" s="208" t="str">
        <f>IF(AJ215-L215&gt;0,AJ215-L215,"Inconnu")</f>
        <v>Inconnu</v>
      </c>
      <c r="BP215" s="208" t="str">
        <f>IF($O215&lt;&gt;"HTX",IF($O215&lt;&gt;"LVAD",BO215,"Inconnu"),"Inconnu")</f>
        <v>Inconnu</v>
      </c>
      <c r="BQ215" s="208" t="str">
        <f>IF($O215="HTX",BO215,IF($O215="LVAD",BO215,"Inconnu"))</f>
        <v>Inconnu</v>
      </c>
      <c r="BR215" s="208" t="str">
        <f>IF(BH215="Aucune",IF(BI215="Aucune","Aucune","Transfusé"),"Transfusé")</f>
        <v>Aucune</v>
      </c>
      <c r="BS215" s="208">
        <f>AF215+AH215</f>
        <v>0</v>
      </c>
      <c r="BT215" s="229" t="e">
        <f>VLOOKUP($I215,Lieu_Activité!$A:$B,2,FALSE)</f>
        <v>#N/A</v>
      </c>
      <c r="BU215" s="208" t="str">
        <f>IF(AB215="","Aucun","AVC")</f>
        <v>Aucun</v>
      </c>
      <c r="BV215" s="208" t="str">
        <f>IF(AC215="","Aucun","IM")</f>
        <v>Aucun</v>
      </c>
      <c r="BW215" s="207" t="str">
        <f>IF(M215="","NON","OUI")</f>
        <v>NON</v>
      </c>
      <c r="BX215" s="288"/>
    </row>
    <row r="216" spans="1:76" ht="12" customHeight="1" x14ac:dyDescent="0.25">
      <c r="A216" s="226" t="s">
        <v>256</v>
      </c>
      <c r="B216" s="234"/>
      <c r="C216" s="227"/>
      <c r="D216" s="257"/>
      <c r="E216" s="278">
        <f>(L216-D216)/365</f>
        <v>0</v>
      </c>
      <c r="F216" s="278" t="str">
        <f>IF(E216&lt;80," ","1")</f>
        <v xml:space="preserve"> </v>
      </c>
      <c r="G216" s="256"/>
      <c r="H216" s="256"/>
      <c r="I216" s="256"/>
      <c r="J216" s="256"/>
      <c r="K216" s="256"/>
      <c r="L216" s="257"/>
      <c r="M216" s="243"/>
      <c r="N216" s="232"/>
      <c r="O216" s="232"/>
      <c r="P216" s="265" t="str">
        <f>IFERROR(VLOOKUP(O216,Références!$K$11:$N$19,2)," ")</f>
        <v xml:space="preserve"> </v>
      </c>
      <c r="Q216" s="265" t="str">
        <f>IFERROR(VLOOKUP(O216,Références!$K$11:$N$19,3)," ")</f>
        <v xml:space="preserve"> </v>
      </c>
      <c r="R216" s="265" t="str">
        <f>IFERROR(VLOOKUP(O216,Références!$K$11:$N$19,4)," ")</f>
        <v xml:space="preserve"> </v>
      </c>
      <c r="S216" s="256"/>
      <c r="T216" s="256"/>
      <c r="U216" s="256"/>
      <c r="V216" s="256"/>
      <c r="W216" s="256"/>
      <c r="X216" s="257"/>
      <c r="Y216" s="256"/>
      <c r="Z216" s="256"/>
      <c r="AA216" s="256"/>
      <c r="AB216" s="235"/>
      <c r="AC216" s="235"/>
      <c r="AD216" s="235"/>
      <c r="AE216" s="235"/>
      <c r="AF216" s="235"/>
      <c r="AG216" s="235"/>
      <c r="AH216" s="235"/>
      <c r="AI216" s="235">
        <f>SUM(AF216,AH216)</f>
        <v>0</v>
      </c>
      <c r="AJ216" s="257"/>
      <c r="AK216" s="256">
        <f>(AJ216-L216)</f>
        <v>0</v>
      </c>
      <c r="AL216" s="257"/>
      <c r="AM216" s="266">
        <f>(AL216-L216)</f>
        <v>0</v>
      </c>
      <c r="AN216" s="256"/>
      <c r="AO216" s="276"/>
      <c r="AP216" s="261" t="str">
        <f t="shared" si="227"/>
        <v xml:space="preserve"> </v>
      </c>
      <c r="AQ216" s="256"/>
      <c r="AR216" s="297"/>
      <c r="AS216" s="295"/>
      <c r="AT216" s="263"/>
      <c r="AU216" s="277"/>
      <c r="AV216" s="263"/>
      <c r="AW216" s="230"/>
      <c r="AX216" s="300"/>
      <c r="AY216" s="301"/>
      <c r="AZ216" s="230"/>
      <c r="BA216" s="300"/>
      <c r="BB216" s="295"/>
      <c r="BC216" s="228">
        <f t="shared" si="250"/>
        <v>0</v>
      </c>
      <c r="BD216" s="228">
        <f t="shared" si="250"/>
        <v>0</v>
      </c>
      <c r="BE216" s="228">
        <f>IF(AG216="Aucune",0,1)</f>
        <v>1</v>
      </c>
      <c r="BF216" s="228" t="str">
        <f>IF(AO216=1,"ELECTIVE",IF(AO216=2,"URGENCY",IF(AO216=3,"EMERGENCY",IF(AO216=4,"SALVAGE","ALIVE"))))</f>
        <v>ALIVE</v>
      </c>
      <c r="BG216" s="208" t="str">
        <f>IF(AD216="","Aucune","Infection")</f>
        <v>Aucune</v>
      </c>
      <c r="BH216" s="208" t="str">
        <f>IF(AI216&gt;0,"Transfusion","Aucune")</f>
        <v>Aucune</v>
      </c>
      <c r="BI216" s="208" t="str">
        <f>IF(AG216="","Aucune","Transfusé")</f>
        <v>Aucune</v>
      </c>
      <c r="BJ216" s="208" t="str">
        <f>IF(X216&lt;&gt;"",IF(X216-L216&lt;2,"OUI","NON"),"NON")</f>
        <v>NON</v>
      </c>
      <c r="BK216" s="208" t="str">
        <f>IF(AS216="","NON","OUI")</f>
        <v>NON</v>
      </c>
      <c r="BL216" s="208" t="str">
        <f>IF(AL216-L216&gt;0,AL216-L216,"Inconnu")</f>
        <v>Inconnu</v>
      </c>
      <c r="BM216" s="208" t="str">
        <f>IF($O216&lt;&gt;"HTX",IF($O216&lt;&gt;"LVAD",BL216,"Inconnu"),"Inconnu")</f>
        <v>Inconnu</v>
      </c>
      <c r="BN216" s="208" t="str">
        <f>IF($O216="HTX",BL216,IF($O216="LVAD",BL216,"Inconnu"))</f>
        <v>Inconnu</v>
      </c>
      <c r="BO216" s="208" t="str">
        <f>IF(AJ216-L216&gt;0,AJ216-L216,"Inconnu")</f>
        <v>Inconnu</v>
      </c>
      <c r="BP216" s="208" t="str">
        <f>IF($O216&lt;&gt;"HTX",IF($O216&lt;&gt;"LVAD",BO216,"Inconnu"),"Inconnu")</f>
        <v>Inconnu</v>
      </c>
      <c r="BQ216" s="208" t="str">
        <f>IF($O216="HTX",BO216,IF($O216="LVAD",BO216,"Inconnu"))</f>
        <v>Inconnu</v>
      </c>
      <c r="BR216" s="208" t="str">
        <f>IF(BH216="Aucune",IF(BI216="Aucune","Aucune","Transfusé"),"Transfusé")</f>
        <v>Aucune</v>
      </c>
      <c r="BS216" s="208">
        <f>AF216+AH216</f>
        <v>0</v>
      </c>
      <c r="BT216" s="229" t="e">
        <f>VLOOKUP($I216,Lieu_Activité!$A:$B,2,FALSE)</f>
        <v>#N/A</v>
      </c>
      <c r="BU216" s="208" t="str">
        <f>IF(AB216="","Aucun","AVC")</f>
        <v>Aucun</v>
      </c>
      <c r="BV216" s="208" t="str">
        <f>IF(AC216="","Aucun","IM")</f>
        <v>Aucun</v>
      </c>
      <c r="BW216" s="207" t="str">
        <f>IF(M216="","NON","OUI")</f>
        <v>NON</v>
      </c>
      <c r="BX216" s="288"/>
    </row>
    <row r="217" spans="1:76" ht="12" customHeight="1" x14ac:dyDescent="0.25">
      <c r="A217" s="226" t="s">
        <v>256</v>
      </c>
      <c r="B217" s="234"/>
      <c r="C217" s="227"/>
      <c r="D217" s="257"/>
      <c r="E217" s="278">
        <f>(L217-D217)/365</f>
        <v>0</v>
      </c>
      <c r="F217" s="278" t="str">
        <f>IF(E217&lt;80," ","1")</f>
        <v xml:space="preserve"> </v>
      </c>
      <c r="G217" s="256"/>
      <c r="H217" s="256"/>
      <c r="I217" s="256"/>
      <c r="J217" s="256"/>
      <c r="K217" s="256"/>
      <c r="L217" s="257"/>
      <c r="M217" s="243"/>
      <c r="N217" s="232"/>
      <c r="O217" s="232"/>
      <c r="P217" s="265" t="str">
        <f>IFERROR(VLOOKUP(O217,Références!$K$11:$N$19,2)," ")</f>
        <v xml:space="preserve"> </v>
      </c>
      <c r="Q217" s="265" t="str">
        <f>IFERROR(VLOOKUP(O217,Références!$K$11:$N$19,3)," ")</f>
        <v xml:space="preserve"> </v>
      </c>
      <c r="R217" s="265" t="str">
        <f>IFERROR(VLOOKUP(O217,Références!$K$11:$N$19,4)," ")</f>
        <v xml:space="preserve"> </v>
      </c>
      <c r="S217" s="256"/>
      <c r="T217" s="256"/>
      <c r="U217" s="256"/>
      <c r="V217" s="256"/>
      <c r="W217" s="256"/>
      <c r="X217" s="257"/>
      <c r="Y217" s="256"/>
      <c r="Z217" s="256"/>
      <c r="AA217" s="256"/>
      <c r="AB217" s="235"/>
      <c r="AC217" s="235"/>
      <c r="AD217" s="235"/>
      <c r="AE217" s="235"/>
      <c r="AF217" s="235"/>
      <c r="AG217" s="235"/>
      <c r="AH217" s="235"/>
      <c r="AI217" s="235">
        <f>SUM(AF217,AH217)</f>
        <v>0</v>
      </c>
      <c r="AJ217" s="257"/>
      <c r="AK217" s="256">
        <f>(AJ217-L217)</f>
        <v>0</v>
      </c>
      <c r="AL217" s="257"/>
      <c r="AM217" s="266">
        <f>(AL217-L217)</f>
        <v>0</v>
      </c>
      <c r="AN217" s="256"/>
      <c r="AO217" s="276"/>
      <c r="AP217" s="261" t="str">
        <f t="shared" si="227"/>
        <v xml:space="preserve"> </v>
      </c>
      <c r="AQ217" s="256"/>
      <c r="AR217" s="295"/>
      <c r="AS217" s="295"/>
      <c r="AT217" s="263"/>
      <c r="AU217" s="277"/>
      <c r="AV217" s="263"/>
      <c r="AW217" s="230"/>
      <c r="AX217" s="300"/>
      <c r="AY217" s="301"/>
      <c r="AZ217" s="230"/>
      <c r="BA217" s="300"/>
      <c r="BB217" s="295"/>
      <c r="BC217" s="228">
        <f t="shared" si="250"/>
        <v>0</v>
      </c>
      <c r="BD217" s="228">
        <f t="shared" si="250"/>
        <v>0</v>
      </c>
      <c r="BE217" s="228">
        <f>IF(AG217="Aucune",0,1)</f>
        <v>1</v>
      </c>
      <c r="BF217" s="228" t="str">
        <f>IF(AO217=1,"ELECTIVE",IF(AO217=2,"URGENCY",IF(AO217=3,"EMERGENCY",IF(AO217=4,"SALVAGE","ALIVE"))))</f>
        <v>ALIVE</v>
      </c>
      <c r="BG217" s="208" t="str">
        <f>IF(AD217="","Aucune","Infection")</f>
        <v>Aucune</v>
      </c>
      <c r="BH217" s="208" t="str">
        <f>IF(AI217&gt;0,"Transfusion","Aucune")</f>
        <v>Aucune</v>
      </c>
      <c r="BI217" s="208" t="str">
        <f>IF(AG217="","Aucune","Transfusé")</f>
        <v>Aucune</v>
      </c>
      <c r="BJ217" s="208" t="str">
        <f>IF(X217&lt;&gt;"",IF(X217-L217&lt;2,"OUI","NON"),"NON")</f>
        <v>NON</v>
      </c>
      <c r="BK217" s="208" t="str">
        <f>IF(AS217="","NON","OUI")</f>
        <v>NON</v>
      </c>
      <c r="BL217" s="208" t="str">
        <f>IF(AL217-L217&gt;0,AL217-L217,"Inconnu")</f>
        <v>Inconnu</v>
      </c>
      <c r="BM217" s="208" t="str">
        <f>IF($O217&lt;&gt;"HTX",IF($O217&lt;&gt;"LVAD",BL217,"Inconnu"),"Inconnu")</f>
        <v>Inconnu</v>
      </c>
      <c r="BN217" s="208" t="str">
        <f>IF($O217="HTX",BL217,IF($O217="LVAD",BL217,"Inconnu"))</f>
        <v>Inconnu</v>
      </c>
      <c r="BO217" s="208" t="str">
        <f>IF(AJ217-L217&gt;0,AJ217-L217,"Inconnu")</f>
        <v>Inconnu</v>
      </c>
      <c r="BP217" s="208" t="str">
        <f>IF($O217&lt;&gt;"HTX",IF($O217&lt;&gt;"LVAD",BO217,"Inconnu"),"Inconnu")</f>
        <v>Inconnu</v>
      </c>
      <c r="BQ217" s="208" t="str">
        <f>IF($O217="HTX",BO217,IF($O217="LVAD",BO217,"Inconnu"))</f>
        <v>Inconnu</v>
      </c>
      <c r="BR217" s="208" t="str">
        <f>IF(BH217="Aucune",IF(BI217="Aucune","Aucune","Transfusé"),"Transfusé")</f>
        <v>Aucune</v>
      </c>
      <c r="BS217" s="208">
        <f>AF217+AH217</f>
        <v>0</v>
      </c>
      <c r="BT217" s="229" t="e">
        <f>VLOOKUP($I217,Lieu_Activité!$A:$B,2,FALSE)</f>
        <v>#N/A</v>
      </c>
      <c r="BU217" s="208" t="str">
        <f>IF(AB217="","Aucun","AVC")</f>
        <v>Aucun</v>
      </c>
      <c r="BV217" s="208" t="str">
        <f>IF(AC217="","Aucun","IM")</f>
        <v>Aucun</v>
      </c>
      <c r="BW217" s="207" t="str">
        <f>IF(M217="","NON","OUI")</f>
        <v>NON</v>
      </c>
      <c r="BX217" s="288"/>
    </row>
    <row r="218" spans="1:76" ht="12" customHeight="1" x14ac:dyDescent="0.25">
      <c r="A218" s="226" t="s">
        <v>256</v>
      </c>
      <c r="B218" s="267"/>
      <c r="C218" s="227"/>
      <c r="D218" s="257"/>
      <c r="E218" s="278">
        <f>(L218-D218)/365</f>
        <v>0</v>
      </c>
      <c r="F218" s="278" t="str">
        <f>IF(E218&lt;80," ","1")</f>
        <v xml:space="preserve"> </v>
      </c>
      <c r="G218" s="256"/>
      <c r="H218" s="256"/>
      <c r="I218" s="256"/>
      <c r="J218" s="256"/>
      <c r="K218" s="256"/>
      <c r="L218" s="257"/>
      <c r="M218" s="243"/>
      <c r="N218" s="232"/>
      <c r="O218" s="232"/>
      <c r="P218" s="265" t="str">
        <f>IFERROR(VLOOKUP(O218,Références!$K$11:$N$19,2)," ")</f>
        <v xml:space="preserve"> </v>
      </c>
      <c r="Q218" s="265" t="str">
        <f>IFERROR(VLOOKUP(O218,Références!$K$11:$N$19,3)," ")</f>
        <v xml:space="preserve"> </v>
      </c>
      <c r="R218" s="265" t="str">
        <f>IFERROR(VLOOKUP(O218,Références!$K$11:$N$19,4)," ")</f>
        <v xml:space="preserve"> </v>
      </c>
      <c r="S218" s="256"/>
      <c r="T218" s="256"/>
      <c r="U218" s="256"/>
      <c r="V218" s="256"/>
      <c r="W218" s="256"/>
      <c r="X218" s="257"/>
      <c r="Y218" s="256"/>
      <c r="Z218" s="256"/>
      <c r="AA218" s="256"/>
      <c r="AB218" s="235"/>
      <c r="AC218" s="235"/>
      <c r="AD218" s="235"/>
      <c r="AE218" s="235"/>
      <c r="AF218" s="235"/>
      <c r="AG218" s="235"/>
      <c r="AH218" s="235"/>
      <c r="AI218" s="235">
        <f>SUM(AF218,AH218)</f>
        <v>0</v>
      </c>
      <c r="AJ218" s="257"/>
      <c r="AK218" s="256">
        <f>(AJ218-L218)</f>
        <v>0</v>
      </c>
      <c r="AL218" s="257"/>
      <c r="AM218" s="266">
        <f>(AL218-L218)</f>
        <v>0</v>
      </c>
      <c r="AN218" s="256"/>
      <c r="AO218" s="276"/>
      <c r="AP218" s="261" t="str">
        <f t="shared" si="227"/>
        <v xml:space="preserve"> </v>
      </c>
      <c r="AQ218" s="256"/>
      <c r="AR218" s="295"/>
      <c r="AS218" s="295"/>
      <c r="AT218" s="263"/>
      <c r="AU218" s="277"/>
      <c r="AV218" s="263"/>
      <c r="AW218" s="230"/>
      <c r="AX218" s="300"/>
      <c r="AY218" s="301"/>
      <c r="AZ218" s="230"/>
      <c r="BA218" s="302" t="s">
        <v>246</v>
      </c>
      <c r="BB218" s="295"/>
      <c r="BC218" s="228">
        <f t="shared" si="250"/>
        <v>0</v>
      </c>
      <c r="BD218" s="228">
        <f t="shared" si="250"/>
        <v>0</v>
      </c>
      <c r="BE218" s="228">
        <f>IF(AG218="Aucune",0,1)</f>
        <v>1</v>
      </c>
      <c r="BF218" s="228" t="str">
        <f>IF(AO218=1,"ELECTIVE",IF(AO218=2,"URGENCY",IF(AO218=3,"EMERGENCY",IF(AO218=4,"SALVAGE","ALIVE"))))</f>
        <v>ALIVE</v>
      </c>
      <c r="BG218" s="208" t="str">
        <f>IF(AD218="","Aucune","Infection")</f>
        <v>Aucune</v>
      </c>
      <c r="BH218" s="208" t="str">
        <f>IF(AI218&gt;0,"Transfusion","Aucune")</f>
        <v>Aucune</v>
      </c>
      <c r="BI218" s="208" t="str">
        <f>IF(AG218="","Aucune","Transfusé")</f>
        <v>Aucune</v>
      </c>
      <c r="BJ218" s="208" t="str">
        <f>IF(X218&lt;&gt;"",IF(X218-L218&lt;2,"OUI","NON"),"NON")</f>
        <v>NON</v>
      </c>
      <c r="BK218" s="208" t="str">
        <f>IF(AS218="","NON","OUI")</f>
        <v>NON</v>
      </c>
      <c r="BL218" s="208" t="str">
        <f>IF(AL218-L218&gt;0,AL218-L218,"Inconnu")</f>
        <v>Inconnu</v>
      </c>
      <c r="BM218" s="208" t="str">
        <f>IF($O218&lt;&gt;"HTX",IF($O218&lt;&gt;"LVAD",BL218,"Inconnu"),"Inconnu")</f>
        <v>Inconnu</v>
      </c>
      <c r="BN218" s="208" t="str">
        <f>IF($O218="HTX",BL218,IF($O218="LVAD",BL218,"Inconnu"))</f>
        <v>Inconnu</v>
      </c>
      <c r="BO218" s="208" t="str">
        <f>IF(AJ218-L218&gt;0,AJ218-L218,"Inconnu")</f>
        <v>Inconnu</v>
      </c>
      <c r="BP218" s="208" t="str">
        <f>IF($O218&lt;&gt;"HTX",IF($O218&lt;&gt;"LVAD",BO218,"Inconnu"),"Inconnu")</f>
        <v>Inconnu</v>
      </c>
      <c r="BQ218" s="208" t="str">
        <f>IF($O218="HTX",BO218,IF($O218="LVAD",BO218,"Inconnu"))</f>
        <v>Inconnu</v>
      </c>
      <c r="BR218" s="208" t="str">
        <f>IF(BH218="Aucune",IF(BI218="Aucune","Aucune","Transfusé"),"Transfusé")</f>
        <v>Aucune</v>
      </c>
      <c r="BS218" s="208">
        <f>AF218+AH218</f>
        <v>0</v>
      </c>
      <c r="BT218" s="229" t="e">
        <f>VLOOKUP($I218,Lieu_Activité!$A:$B,2,FALSE)</f>
        <v>#N/A</v>
      </c>
      <c r="BU218" s="208" t="str">
        <f>IF(AB218="","Aucun","AVC")</f>
        <v>Aucun</v>
      </c>
      <c r="BV218" s="208" t="str">
        <f>IF(AC218="","Aucun","IM")</f>
        <v>Aucun</v>
      </c>
      <c r="BW218" s="207" t="str">
        <f>IF(M218="","NON","OUI")</f>
        <v>NON</v>
      </c>
      <c r="BX218" s="288"/>
    </row>
    <row r="219" spans="1:76" ht="12" customHeight="1" x14ac:dyDescent="0.25">
      <c r="A219" s="226" t="s">
        <v>256</v>
      </c>
      <c r="B219" s="236"/>
      <c r="C219" s="227"/>
      <c r="D219" s="279"/>
      <c r="E219" s="280">
        <f t="shared" ref="E219:E223" si="251">(L219-D219)/365</f>
        <v>0</v>
      </c>
      <c r="F219" s="280" t="str">
        <f t="shared" ref="F219:F223" si="252">IF(E219&lt;80," ","1")</f>
        <v xml:space="preserve"> </v>
      </c>
      <c r="G219" s="237"/>
      <c r="H219" s="237"/>
      <c r="I219" s="237"/>
      <c r="J219" s="237"/>
      <c r="K219" s="237"/>
      <c r="L219" s="279"/>
      <c r="M219" s="270"/>
      <c r="N219" s="232"/>
      <c r="O219" s="272"/>
      <c r="P219" s="265" t="str">
        <f>IFERROR(VLOOKUP(O219,Références!$K$11:$N$19,2)," ")</f>
        <v xml:space="preserve"> </v>
      </c>
      <c r="Q219" s="265" t="str">
        <f>IFERROR(VLOOKUP(O219,Références!$K$11:$N$19,3)," ")</f>
        <v xml:space="preserve"> </v>
      </c>
      <c r="R219" s="265" t="str">
        <f>IFERROR(VLOOKUP(O219,Références!$K$11:$N$19,4)," ")</f>
        <v xml:space="preserve"> </v>
      </c>
      <c r="S219" s="256"/>
      <c r="T219" s="256"/>
      <c r="U219" s="256"/>
      <c r="V219" s="256"/>
      <c r="W219" s="256"/>
      <c r="X219" s="257"/>
      <c r="Y219" s="256"/>
      <c r="Z219" s="256"/>
      <c r="AA219" s="256"/>
      <c r="AB219" s="238"/>
      <c r="AC219" s="238"/>
      <c r="AD219" s="238"/>
      <c r="AE219" s="238"/>
      <c r="AF219" s="238"/>
      <c r="AG219" s="235"/>
      <c r="AH219" s="238"/>
      <c r="AI219" s="238">
        <f t="shared" ref="AI219:AI223" si="253">SUM(AF219,AH219)</f>
        <v>0</v>
      </c>
      <c r="AJ219" s="257"/>
      <c r="AK219" s="237">
        <f t="shared" ref="AK219:AK223" si="254">(AJ219-L219)</f>
        <v>0</v>
      </c>
      <c r="AL219" s="257"/>
      <c r="AM219" s="293">
        <f t="shared" ref="AM219:AM223" si="255">(AL219-L219)</f>
        <v>0</v>
      </c>
      <c r="AN219" s="256"/>
      <c r="AO219" s="276"/>
      <c r="AP219" s="261" t="str">
        <f t="shared" si="227"/>
        <v xml:space="preserve"> </v>
      </c>
      <c r="AQ219" s="256"/>
      <c r="AR219" s="295"/>
      <c r="AS219" s="295"/>
      <c r="AT219" s="263"/>
      <c r="AU219" s="277"/>
      <c r="AV219" s="263"/>
      <c r="AW219" s="230"/>
      <c r="AX219" s="300"/>
      <c r="AY219" s="301"/>
      <c r="AZ219" s="230"/>
      <c r="BA219" s="303"/>
      <c r="BB219" s="304"/>
      <c r="BC219" s="239">
        <f t="shared" ref="BC219:BC223" si="256">IF(BG219="Aucune",0,1)</f>
        <v>0</v>
      </c>
      <c r="BD219" s="239">
        <f t="shared" ref="BD219:BD223" si="257">IF(BH219="Aucune",0,1)</f>
        <v>0</v>
      </c>
      <c r="BE219" s="239">
        <f t="shared" ref="BE219:BE223" si="258">IF(AG219="Aucune",0,1)</f>
        <v>1</v>
      </c>
      <c r="BF219" s="239" t="str">
        <f t="shared" ref="BF219:BF223" si="259">IF(AO219=1,"ELECTIVE",IF(AO219=2,"URGENCY",IF(AO219=3,"EMERGENCY",IF(AO219=4,"SALVAGE","ALIVE"))))</f>
        <v>ALIVE</v>
      </c>
      <c r="BG219" s="240" t="str">
        <f t="shared" ref="BG219:BG223" si="260">IF(AD219="","Aucune","Infection")</f>
        <v>Aucune</v>
      </c>
      <c r="BH219" s="240" t="str">
        <f t="shared" ref="BH219:BH223" si="261">IF(AI219&gt;0,"Transfusion","Aucune")</f>
        <v>Aucune</v>
      </c>
      <c r="BI219" s="240" t="str">
        <f t="shared" ref="BI219:BI223" si="262">IF(AG219="","Aucune","Transfusé")</f>
        <v>Aucune</v>
      </c>
      <c r="BJ219" s="240" t="str">
        <f t="shared" ref="BJ219:BJ223" si="263">IF(X219&lt;&gt;"",IF(X219-L219&lt;2,"OUI","NON"),"NON")</f>
        <v>NON</v>
      </c>
      <c r="BK219" s="240" t="str">
        <f t="shared" ref="BK219:BK223" si="264">IF(AS219="","NON","OUI")</f>
        <v>NON</v>
      </c>
      <c r="BL219" s="240" t="str">
        <f t="shared" ref="BL219:BL223" si="265">IF(AL219-L219&gt;0,AL219-L219,"Inconnu")</f>
        <v>Inconnu</v>
      </c>
      <c r="BM219" s="240" t="str">
        <f t="shared" ref="BM219:BM223" si="266">IF($O219&lt;&gt;"HTX",IF($O219&lt;&gt;"LVAD",BL219,"Inconnu"),"Inconnu")</f>
        <v>Inconnu</v>
      </c>
      <c r="BN219" s="240" t="str">
        <f t="shared" ref="BN219:BN223" si="267">IF($O219="HTX",BL219,IF($O219="LVAD",BL219,"Inconnu"))</f>
        <v>Inconnu</v>
      </c>
      <c r="BO219" s="240" t="str">
        <f t="shared" ref="BO219:BO223" si="268">IF(AJ219-L219&gt;0,AJ219-L219,"Inconnu")</f>
        <v>Inconnu</v>
      </c>
      <c r="BP219" s="240" t="str">
        <f t="shared" ref="BP219:BP223" si="269">IF($O219&lt;&gt;"HTX",IF($O219&lt;&gt;"LVAD",BO219,"Inconnu"),"Inconnu")</f>
        <v>Inconnu</v>
      </c>
      <c r="BQ219" s="240" t="str">
        <f t="shared" ref="BQ219:BQ223" si="270">IF($O219="HTX",BO219,IF($O219="LVAD",BO219,"Inconnu"))</f>
        <v>Inconnu</v>
      </c>
      <c r="BR219" s="240" t="str">
        <f t="shared" ref="BR219:BR223" si="271">IF(BH219="Aucune",IF(BI219="Aucune","Aucune","Transfusé"),"Transfusé")</f>
        <v>Aucune</v>
      </c>
      <c r="BS219" s="240">
        <f t="shared" ref="BS219:BS223" si="272">AF219+AH219</f>
        <v>0</v>
      </c>
      <c r="BT219" s="241" t="e">
        <f>VLOOKUP($I219,Lieu_Activité!$A:$B,2,FALSE)</f>
        <v>#N/A</v>
      </c>
      <c r="BU219" s="240" t="str">
        <f t="shared" ref="BU219:BU223" si="273">IF(AB219="","Aucun","AVC")</f>
        <v>Aucun</v>
      </c>
      <c r="BV219" s="240" t="str">
        <f t="shared" ref="BV219:BV223" si="274">IF(AC219="","Aucun","IM")</f>
        <v>Aucun</v>
      </c>
      <c r="BW219" s="242" t="str">
        <f t="shared" ref="BW219:BW223" si="275">IF(M219="","NON","OUI")</f>
        <v>NON</v>
      </c>
      <c r="BX219" s="288"/>
    </row>
    <row r="220" spans="1:76" ht="12" customHeight="1" x14ac:dyDescent="0.25">
      <c r="A220" s="226" t="s">
        <v>256</v>
      </c>
      <c r="B220" s="236"/>
      <c r="C220" s="227"/>
      <c r="D220" s="279"/>
      <c r="E220" s="280">
        <f t="shared" si="251"/>
        <v>0</v>
      </c>
      <c r="F220" s="280" t="str">
        <f t="shared" si="252"/>
        <v xml:space="preserve"> </v>
      </c>
      <c r="G220" s="237"/>
      <c r="H220" s="237"/>
      <c r="I220" s="237"/>
      <c r="J220" s="237"/>
      <c r="K220" s="237"/>
      <c r="L220" s="279"/>
      <c r="M220" s="270"/>
      <c r="N220" s="232"/>
      <c r="O220" s="265"/>
      <c r="P220" s="265" t="str">
        <f>IFERROR(VLOOKUP(O220,Références!$K$11:$N$19,2)," ")</f>
        <v xml:space="preserve"> </v>
      </c>
      <c r="Q220" s="265" t="str">
        <f>IFERROR(VLOOKUP(O220,Références!$K$11:$N$19,3)," ")</f>
        <v xml:space="preserve"> </v>
      </c>
      <c r="R220" s="265" t="str">
        <f>IFERROR(VLOOKUP(O220,Références!$K$11:$N$19,4)," ")</f>
        <v xml:space="preserve"> </v>
      </c>
      <c r="S220" s="256"/>
      <c r="T220" s="256"/>
      <c r="U220" s="256"/>
      <c r="V220" s="256"/>
      <c r="W220" s="256"/>
      <c r="X220" s="257"/>
      <c r="Y220" s="256"/>
      <c r="Z220" s="256"/>
      <c r="AA220" s="256"/>
      <c r="AB220" s="238"/>
      <c r="AC220" s="238"/>
      <c r="AD220" s="238"/>
      <c r="AE220" s="238"/>
      <c r="AF220" s="238"/>
      <c r="AG220" s="235"/>
      <c r="AH220" s="238"/>
      <c r="AI220" s="238">
        <f t="shared" si="253"/>
        <v>0</v>
      </c>
      <c r="AJ220" s="257"/>
      <c r="AK220" s="237">
        <f t="shared" si="254"/>
        <v>0</v>
      </c>
      <c r="AL220" s="257"/>
      <c r="AM220" s="293">
        <f t="shared" si="255"/>
        <v>0</v>
      </c>
      <c r="AN220" s="256"/>
      <c r="AO220" s="276"/>
      <c r="AP220" s="261" t="str">
        <f t="shared" si="227"/>
        <v xml:space="preserve"> </v>
      </c>
      <c r="AQ220" s="256"/>
      <c r="AR220" s="295"/>
      <c r="AS220" s="295"/>
      <c r="AT220" s="263"/>
      <c r="AU220" s="277"/>
      <c r="AV220" s="263"/>
      <c r="AW220" s="230"/>
      <c r="AX220" s="300"/>
      <c r="AY220" s="301"/>
      <c r="AZ220" s="230"/>
      <c r="BA220" s="303"/>
      <c r="BB220" s="304"/>
      <c r="BC220" s="239">
        <f t="shared" si="256"/>
        <v>0</v>
      </c>
      <c r="BD220" s="239">
        <f t="shared" si="257"/>
        <v>0</v>
      </c>
      <c r="BE220" s="239">
        <f t="shared" si="258"/>
        <v>1</v>
      </c>
      <c r="BF220" s="239" t="str">
        <f t="shared" si="259"/>
        <v>ALIVE</v>
      </c>
      <c r="BG220" s="240" t="str">
        <f t="shared" si="260"/>
        <v>Aucune</v>
      </c>
      <c r="BH220" s="240" t="str">
        <f t="shared" si="261"/>
        <v>Aucune</v>
      </c>
      <c r="BI220" s="240" t="str">
        <f t="shared" si="262"/>
        <v>Aucune</v>
      </c>
      <c r="BJ220" s="240" t="str">
        <f t="shared" si="263"/>
        <v>NON</v>
      </c>
      <c r="BK220" s="240" t="str">
        <f t="shared" si="264"/>
        <v>NON</v>
      </c>
      <c r="BL220" s="240" t="str">
        <f t="shared" si="265"/>
        <v>Inconnu</v>
      </c>
      <c r="BM220" s="240" t="str">
        <f t="shared" si="266"/>
        <v>Inconnu</v>
      </c>
      <c r="BN220" s="240" t="str">
        <f t="shared" si="267"/>
        <v>Inconnu</v>
      </c>
      <c r="BO220" s="240" t="str">
        <f t="shared" si="268"/>
        <v>Inconnu</v>
      </c>
      <c r="BP220" s="240" t="str">
        <f t="shared" si="269"/>
        <v>Inconnu</v>
      </c>
      <c r="BQ220" s="240" t="str">
        <f t="shared" si="270"/>
        <v>Inconnu</v>
      </c>
      <c r="BR220" s="240" t="str">
        <f t="shared" si="271"/>
        <v>Aucune</v>
      </c>
      <c r="BS220" s="240">
        <f t="shared" si="272"/>
        <v>0</v>
      </c>
      <c r="BT220" s="241" t="e">
        <f>VLOOKUP($I220,Lieu_Activité!$A:$B,2,FALSE)</f>
        <v>#N/A</v>
      </c>
      <c r="BU220" s="240" t="str">
        <f t="shared" si="273"/>
        <v>Aucun</v>
      </c>
      <c r="BV220" s="240" t="str">
        <f t="shared" si="274"/>
        <v>Aucun</v>
      </c>
      <c r="BW220" s="242" t="str">
        <f t="shared" si="275"/>
        <v>NON</v>
      </c>
      <c r="BX220" s="288"/>
    </row>
    <row r="221" spans="1:76" ht="11.25" customHeight="1" x14ac:dyDescent="0.25">
      <c r="A221" s="226" t="s">
        <v>256</v>
      </c>
      <c r="B221" s="236"/>
      <c r="C221" s="281"/>
      <c r="D221" s="279"/>
      <c r="E221" s="280">
        <f t="shared" si="251"/>
        <v>0</v>
      </c>
      <c r="F221" s="280" t="str">
        <f t="shared" si="252"/>
        <v xml:space="preserve"> </v>
      </c>
      <c r="G221" s="237"/>
      <c r="H221" s="237"/>
      <c r="I221" s="237"/>
      <c r="J221" s="237"/>
      <c r="K221" s="237"/>
      <c r="L221" s="279"/>
      <c r="M221" s="270"/>
      <c r="N221" s="232"/>
      <c r="O221" s="272"/>
      <c r="P221" s="265" t="str">
        <f>IFERROR(VLOOKUP(O221,Références!$K$11:$N$19,2)," ")</f>
        <v xml:space="preserve"> </v>
      </c>
      <c r="Q221" s="265" t="str">
        <f>IFERROR(VLOOKUP(O221,Références!$K$11:$N$19,3)," ")</f>
        <v xml:space="preserve"> </v>
      </c>
      <c r="R221" s="265" t="str">
        <f>IFERROR(VLOOKUP(O221,Références!$K$11:$N$19,4)," ")</f>
        <v xml:space="preserve"> </v>
      </c>
      <c r="S221" s="256"/>
      <c r="T221" s="256"/>
      <c r="U221" s="256"/>
      <c r="V221" s="256"/>
      <c r="W221" s="256"/>
      <c r="X221" s="257"/>
      <c r="Y221" s="256"/>
      <c r="Z221" s="256"/>
      <c r="AA221" s="256"/>
      <c r="AB221" s="238"/>
      <c r="AC221" s="238"/>
      <c r="AD221" s="274"/>
      <c r="AE221" s="238"/>
      <c r="AF221" s="238"/>
      <c r="AG221" s="238"/>
      <c r="AH221" s="238"/>
      <c r="AI221" s="238">
        <f t="shared" si="253"/>
        <v>0</v>
      </c>
      <c r="AJ221" s="257"/>
      <c r="AK221" s="237">
        <f t="shared" si="254"/>
        <v>0</v>
      </c>
      <c r="AL221" s="257"/>
      <c r="AM221" s="293">
        <f t="shared" si="255"/>
        <v>0</v>
      </c>
      <c r="AN221" s="256"/>
      <c r="AO221" s="276"/>
      <c r="AP221" s="261" t="str">
        <f t="shared" si="227"/>
        <v xml:space="preserve"> </v>
      </c>
      <c r="AQ221" s="256"/>
      <c r="AR221" s="295"/>
      <c r="AS221" s="295"/>
      <c r="AT221" s="263"/>
      <c r="AU221" s="277"/>
      <c r="AV221" s="263"/>
      <c r="AW221" s="230"/>
      <c r="AX221" s="300"/>
      <c r="AY221" s="301"/>
      <c r="AZ221" s="230"/>
      <c r="BA221" s="303"/>
      <c r="BB221" s="304"/>
      <c r="BC221" s="239">
        <f t="shared" si="256"/>
        <v>0</v>
      </c>
      <c r="BD221" s="239">
        <f t="shared" si="257"/>
        <v>0</v>
      </c>
      <c r="BE221" s="239">
        <f t="shared" si="258"/>
        <v>1</v>
      </c>
      <c r="BF221" s="239" t="str">
        <f t="shared" si="259"/>
        <v>ALIVE</v>
      </c>
      <c r="BG221" s="240" t="str">
        <f t="shared" si="260"/>
        <v>Aucune</v>
      </c>
      <c r="BH221" s="240" t="str">
        <f t="shared" si="261"/>
        <v>Aucune</v>
      </c>
      <c r="BI221" s="240" t="str">
        <f t="shared" si="262"/>
        <v>Aucune</v>
      </c>
      <c r="BJ221" s="240" t="str">
        <f t="shared" si="263"/>
        <v>NON</v>
      </c>
      <c r="BK221" s="240" t="str">
        <f t="shared" si="264"/>
        <v>NON</v>
      </c>
      <c r="BL221" s="240" t="str">
        <f t="shared" si="265"/>
        <v>Inconnu</v>
      </c>
      <c r="BM221" s="240" t="str">
        <f t="shared" si="266"/>
        <v>Inconnu</v>
      </c>
      <c r="BN221" s="240" t="str">
        <f t="shared" si="267"/>
        <v>Inconnu</v>
      </c>
      <c r="BO221" s="240" t="str">
        <f t="shared" si="268"/>
        <v>Inconnu</v>
      </c>
      <c r="BP221" s="240" t="str">
        <f t="shared" si="269"/>
        <v>Inconnu</v>
      </c>
      <c r="BQ221" s="240" t="str">
        <f t="shared" si="270"/>
        <v>Inconnu</v>
      </c>
      <c r="BR221" s="240" t="str">
        <f t="shared" si="271"/>
        <v>Aucune</v>
      </c>
      <c r="BS221" s="240">
        <f t="shared" si="272"/>
        <v>0</v>
      </c>
      <c r="BT221" s="241" t="e">
        <f>VLOOKUP($I221,Lieu_Activité!$A:$B,2,FALSE)</f>
        <v>#N/A</v>
      </c>
      <c r="BU221" s="240" t="str">
        <f t="shared" si="273"/>
        <v>Aucun</v>
      </c>
      <c r="BV221" s="240" t="str">
        <f t="shared" si="274"/>
        <v>Aucun</v>
      </c>
      <c r="BW221" s="242" t="str">
        <f t="shared" si="275"/>
        <v>NON</v>
      </c>
      <c r="BX221" s="288"/>
    </row>
    <row r="222" spans="1:76" ht="13.5" customHeight="1" x14ac:dyDescent="0.25">
      <c r="A222" s="226" t="s">
        <v>256</v>
      </c>
      <c r="B222" s="236"/>
      <c r="C222" s="227"/>
      <c r="D222" s="279"/>
      <c r="E222" s="280">
        <f t="shared" si="251"/>
        <v>0</v>
      </c>
      <c r="F222" s="280" t="str">
        <f t="shared" si="252"/>
        <v xml:space="preserve"> </v>
      </c>
      <c r="G222" s="237"/>
      <c r="H222" s="237"/>
      <c r="I222" s="237"/>
      <c r="J222" s="237"/>
      <c r="K222" s="237"/>
      <c r="L222" s="279"/>
      <c r="M222" s="270"/>
      <c r="N222" s="232"/>
      <c r="O222" s="272"/>
      <c r="P222" s="265" t="str">
        <f>IFERROR(VLOOKUP(O222,Références!$K$11:$N$19,2)," ")</f>
        <v xml:space="preserve"> </v>
      </c>
      <c r="Q222" s="265" t="str">
        <f>IFERROR(VLOOKUP(O222,Références!$K$11:$N$19,3)," ")</f>
        <v xml:space="preserve"> </v>
      </c>
      <c r="R222" s="265" t="str">
        <f>IFERROR(VLOOKUP(O222,Références!$K$11:$N$19,4)," ")</f>
        <v xml:space="preserve"> </v>
      </c>
      <c r="S222" s="256"/>
      <c r="T222" s="256"/>
      <c r="U222" s="256"/>
      <c r="V222" s="256"/>
      <c r="W222" s="256"/>
      <c r="X222" s="257"/>
      <c r="Y222" s="256"/>
      <c r="Z222" s="256"/>
      <c r="AA222" s="256"/>
      <c r="AB222" s="238"/>
      <c r="AC222" s="238"/>
      <c r="AD222" s="238"/>
      <c r="AE222" s="235"/>
      <c r="AF222" s="238"/>
      <c r="AG222" s="235"/>
      <c r="AH222" s="238"/>
      <c r="AI222" s="238">
        <f t="shared" si="253"/>
        <v>0</v>
      </c>
      <c r="AJ222" s="257"/>
      <c r="AK222" s="237">
        <f t="shared" si="254"/>
        <v>0</v>
      </c>
      <c r="AL222" s="257"/>
      <c r="AM222" s="293">
        <f t="shared" si="255"/>
        <v>0</v>
      </c>
      <c r="AN222" s="256"/>
      <c r="AO222" s="276"/>
      <c r="AP222" s="261" t="str">
        <f t="shared" si="227"/>
        <v xml:space="preserve"> </v>
      </c>
      <c r="AQ222" s="256"/>
      <c r="AR222" s="295"/>
      <c r="AS222" s="295"/>
      <c r="AT222" s="263"/>
      <c r="AU222" s="277"/>
      <c r="AV222" s="263"/>
      <c r="AW222" s="230"/>
      <c r="AX222" s="300"/>
      <c r="AY222" s="301"/>
      <c r="AZ222" s="230"/>
      <c r="BA222" s="300" t="s">
        <v>234</v>
      </c>
      <c r="BB222" s="295"/>
      <c r="BC222" s="239">
        <f t="shared" si="256"/>
        <v>0</v>
      </c>
      <c r="BD222" s="239">
        <f t="shared" si="257"/>
        <v>0</v>
      </c>
      <c r="BE222" s="239">
        <f t="shared" si="258"/>
        <v>1</v>
      </c>
      <c r="BF222" s="239" t="str">
        <f t="shared" si="259"/>
        <v>ALIVE</v>
      </c>
      <c r="BG222" s="240" t="str">
        <f t="shared" si="260"/>
        <v>Aucune</v>
      </c>
      <c r="BH222" s="240" t="str">
        <f t="shared" si="261"/>
        <v>Aucune</v>
      </c>
      <c r="BI222" s="240" t="str">
        <f t="shared" si="262"/>
        <v>Aucune</v>
      </c>
      <c r="BJ222" s="240" t="str">
        <f t="shared" si="263"/>
        <v>NON</v>
      </c>
      <c r="BK222" s="240" t="str">
        <f t="shared" si="264"/>
        <v>NON</v>
      </c>
      <c r="BL222" s="240" t="str">
        <f t="shared" si="265"/>
        <v>Inconnu</v>
      </c>
      <c r="BM222" s="240" t="str">
        <f t="shared" si="266"/>
        <v>Inconnu</v>
      </c>
      <c r="BN222" s="240" t="str">
        <f t="shared" si="267"/>
        <v>Inconnu</v>
      </c>
      <c r="BO222" s="240" t="str">
        <f t="shared" si="268"/>
        <v>Inconnu</v>
      </c>
      <c r="BP222" s="240" t="str">
        <f t="shared" si="269"/>
        <v>Inconnu</v>
      </c>
      <c r="BQ222" s="240" t="str">
        <f t="shared" si="270"/>
        <v>Inconnu</v>
      </c>
      <c r="BR222" s="240" t="str">
        <f t="shared" si="271"/>
        <v>Aucune</v>
      </c>
      <c r="BS222" s="240">
        <f t="shared" si="272"/>
        <v>0</v>
      </c>
      <c r="BT222" s="241" t="e">
        <f>VLOOKUP($I222,Lieu_Activité!$A:$B,2,FALSE)</f>
        <v>#N/A</v>
      </c>
      <c r="BU222" s="240" t="str">
        <f t="shared" si="273"/>
        <v>Aucun</v>
      </c>
      <c r="BV222" s="240" t="str">
        <f t="shared" si="274"/>
        <v>Aucun</v>
      </c>
      <c r="BW222" s="242" t="str">
        <f t="shared" si="275"/>
        <v>NON</v>
      </c>
      <c r="BX222" s="288"/>
    </row>
    <row r="223" spans="1:76" ht="12" customHeight="1" x14ac:dyDescent="0.25">
      <c r="A223" s="226" t="s">
        <v>256</v>
      </c>
      <c r="B223" s="236"/>
      <c r="C223" s="227"/>
      <c r="D223" s="279"/>
      <c r="E223" s="280">
        <f t="shared" si="251"/>
        <v>0</v>
      </c>
      <c r="F223" s="280" t="str">
        <f t="shared" si="252"/>
        <v xml:space="preserve"> </v>
      </c>
      <c r="G223" s="237"/>
      <c r="H223" s="237"/>
      <c r="I223" s="237"/>
      <c r="J223" s="237"/>
      <c r="K223" s="237"/>
      <c r="L223" s="279"/>
      <c r="M223" s="270"/>
      <c r="N223" s="232"/>
      <c r="O223" s="272"/>
      <c r="P223" s="265" t="str">
        <f>IFERROR(VLOOKUP(O223,Références!$K$11:$N$19,2)," ")</f>
        <v xml:space="preserve"> </v>
      </c>
      <c r="Q223" s="265" t="str">
        <f>IFERROR(VLOOKUP(O223,Références!$K$11:$N$19,3)," ")</f>
        <v xml:space="preserve"> </v>
      </c>
      <c r="R223" s="265" t="str">
        <f>IFERROR(VLOOKUP(O223,Références!$K$11:$N$19,4)," ")</f>
        <v xml:space="preserve"> </v>
      </c>
      <c r="S223" s="256"/>
      <c r="T223" s="256"/>
      <c r="U223" s="256"/>
      <c r="V223" s="256"/>
      <c r="W223" s="256"/>
      <c r="X223" s="257"/>
      <c r="Y223" s="256"/>
      <c r="Z223" s="256"/>
      <c r="AA223" s="256"/>
      <c r="AB223" s="238"/>
      <c r="AC223" s="238"/>
      <c r="AD223" s="274"/>
      <c r="AE223" s="238"/>
      <c r="AF223" s="238"/>
      <c r="AG223" s="238"/>
      <c r="AH223" s="238"/>
      <c r="AI223" s="238">
        <f t="shared" si="253"/>
        <v>0</v>
      </c>
      <c r="AJ223" s="257"/>
      <c r="AK223" s="237">
        <f t="shared" si="254"/>
        <v>0</v>
      </c>
      <c r="AL223" s="257"/>
      <c r="AM223" s="293">
        <f t="shared" si="255"/>
        <v>0</v>
      </c>
      <c r="AN223" s="256"/>
      <c r="AO223" s="276"/>
      <c r="AP223" s="261" t="str">
        <f>IF(AO223=1,"ELECTIVE",IF(AO223=2,"URGENCY",IF(AO223=3,"EMERGENCY",IF(AO223=4,"SALVAGE"," "))))</f>
        <v xml:space="preserve"> </v>
      </c>
      <c r="AQ223" s="256"/>
      <c r="AR223" s="295"/>
      <c r="AS223" s="295"/>
      <c r="AT223" s="263"/>
      <c r="AU223" s="277"/>
      <c r="AV223" s="263"/>
      <c r="AW223" s="230"/>
      <c r="AX223" s="300"/>
      <c r="AY223" s="301"/>
      <c r="AZ223" s="230"/>
      <c r="BA223" s="303"/>
      <c r="BB223" s="304"/>
      <c r="BC223" s="239">
        <f t="shared" si="256"/>
        <v>0</v>
      </c>
      <c r="BD223" s="239">
        <f t="shared" si="257"/>
        <v>0</v>
      </c>
      <c r="BE223" s="239">
        <f t="shared" si="258"/>
        <v>1</v>
      </c>
      <c r="BF223" s="239" t="str">
        <f t="shared" si="259"/>
        <v>ALIVE</v>
      </c>
      <c r="BG223" s="240" t="str">
        <f t="shared" si="260"/>
        <v>Aucune</v>
      </c>
      <c r="BH223" s="240" t="str">
        <f t="shared" si="261"/>
        <v>Aucune</v>
      </c>
      <c r="BI223" s="240" t="str">
        <f t="shared" si="262"/>
        <v>Aucune</v>
      </c>
      <c r="BJ223" s="240" t="str">
        <f t="shared" si="263"/>
        <v>NON</v>
      </c>
      <c r="BK223" s="240" t="str">
        <f t="shared" si="264"/>
        <v>NON</v>
      </c>
      <c r="BL223" s="240" t="str">
        <f t="shared" si="265"/>
        <v>Inconnu</v>
      </c>
      <c r="BM223" s="240" t="str">
        <f t="shared" si="266"/>
        <v>Inconnu</v>
      </c>
      <c r="BN223" s="240" t="str">
        <f t="shared" si="267"/>
        <v>Inconnu</v>
      </c>
      <c r="BO223" s="240" t="str">
        <f t="shared" si="268"/>
        <v>Inconnu</v>
      </c>
      <c r="BP223" s="240" t="str">
        <f t="shared" si="269"/>
        <v>Inconnu</v>
      </c>
      <c r="BQ223" s="240" t="str">
        <f t="shared" si="270"/>
        <v>Inconnu</v>
      </c>
      <c r="BR223" s="240" t="str">
        <f t="shared" si="271"/>
        <v>Aucune</v>
      </c>
      <c r="BS223" s="240">
        <f t="shared" si="272"/>
        <v>0</v>
      </c>
      <c r="BT223" s="241" t="e">
        <f>VLOOKUP($I223,Lieu_Activité!$A:$B,2,FALSE)</f>
        <v>#N/A</v>
      </c>
      <c r="BU223" s="240" t="str">
        <f t="shared" si="273"/>
        <v>Aucun</v>
      </c>
      <c r="BV223" s="240" t="str">
        <f t="shared" si="274"/>
        <v>Aucun</v>
      </c>
      <c r="BW223" s="242" t="str">
        <f t="shared" si="275"/>
        <v>NON</v>
      </c>
      <c r="BX223" s="288"/>
    </row>
    <row r="224" spans="1:76" ht="12" customHeight="1" x14ac:dyDescent="0.25">
      <c r="A224" s="226" t="s">
        <v>256</v>
      </c>
      <c r="B224" s="236"/>
      <c r="C224" s="227"/>
      <c r="D224" s="279"/>
      <c r="E224" s="280">
        <f t="shared" ref="E224:E225" si="276">(L224-D224)/365</f>
        <v>0</v>
      </c>
      <c r="F224" s="280" t="str">
        <f t="shared" ref="F224:F225" si="277">IF(E224&lt;80," ","1")</f>
        <v xml:space="preserve"> </v>
      </c>
      <c r="G224" s="256"/>
      <c r="H224" s="256"/>
      <c r="I224" s="256"/>
      <c r="J224" s="256"/>
      <c r="K224" s="256"/>
      <c r="L224" s="279"/>
      <c r="M224" s="270"/>
      <c r="N224" s="232"/>
      <c r="O224" s="273"/>
      <c r="P224" s="265" t="str">
        <f>IFERROR(VLOOKUP(O224,Références!$K$11:$N$19,2)," ")</f>
        <v xml:space="preserve"> </v>
      </c>
      <c r="Q224" s="265" t="str">
        <f>IFERROR(VLOOKUP(O224,Références!$K$11:$N$19,3)," ")</f>
        <v xml:space="preserve"> </v>
      </c>
      <c r="R224" s="265" t="str">
        <f>IFERROR(VLOOKUP(O224,Références!$K$11:$N$19,4)," ")</f>
        <v xml:space="preserve"> </v>
      </c>
      <c r="S224" s="256"/>
      <c r="T224" s="256"/>
      <c r="U224" s="256"/>
      <c r="V224" s="256"/>
      <c r="W224" s="256"/>
      <c r="X224" s="257"/>
      <c r="Y224" s="256"/>
      <c r="Z224" s="256"/>
      <c r="AA224" s="256"/>
      <c r="AB224" s="238"/>
      <c r="AC224" s="238"/>
      <c r="AD224" s="238"/>
      <c r="AE224" s="238"/>
      <c r="AF224" s="238"/>
      <c r="AG224" s="238"/>
      <c r="AH224" s="238"/>
      <c r="AI224" s="238">
        <f t="shared" ref="AI224:AI225" si="278">SUM(AF224,AH224)</f>
        <v>0</v>
      </c>
      <c r="AJ224" s="257"/>
      <c r="AK224" s="237">
        <f t="shared" ref="AK224:AK225" si="279">(AJ224-L224)</f>
        <v>0</v>
      </c>
      <c r="AL224" s="257"/>
      <c r="AM224" s="293">
        <f t="shared" ref="AM224:AM225" si="280">(AL224-L224)</f>
        <v>0</v>
      </c>
      <c r="AN224" s="256"/>
      <c r="AO224" s="276"/>
      <c r="AP224" s="261" t="str">
        <f t="shared" si="227"/>
        <v xml:space="preserve"> </v>
      </c>
      <c r="AQ224" s="256"/>
      <c r="AR224" s="295"/>
      <c r="AS224" s="295"/>
      <c r="AT224" s="263"/>
      <c r="AU224" s="277"/>
      <c r="AV224" s="263"/>
      <c r="AW224" s="230"/>
      <c r="AX224" s="300"/>
      <c r="AY224" s="301"/>
      <c r="AZ224" s="230"/>
      <c r="BA224" s="303"/>
      <c r="BB224" s="304"/>
      <c r="BC224" s="239">
        <f t="shared" ref="BC224:BC225" si="281">IF(BG224="Aucune",0,1)</f>
        <v>0</v>
      </c>
      <c r="BD224" s="239">
        <f t="shared" ref="BD224:BD225" si="282">IF(BH224="Aucune",0,1)</f>
        <v>0</v>
      </c>
      <c r="BE224" s="239">
        <f t="shared" ref="BE224:BE225" si="283">IF(AG224="Aucune",0,1)</f>
        <v>1</v>
      </c>
      <c r="BF224" s="239" t="str">
        <f t="shared" ref="BF224:BF225" si="284">IF(AO224=1,"ELECTIVE",IF(AO224=2,"URGENCY",IF(AO224=3,"EMERGENCY",IF(AO224=4,"SALVAGE","ALIVE"))))</f>
        <v>ALIVE</v>
      </c>
      <c r="BG224" s="240" t="str">
        <f t="shared" ref="BG224:BG225" si="285">IF(AD224="","Aucune","Infection")</f>
        <v>Aucune</v>
      </c>
      <c r="BH224" s="240" t="str">
        <f t="shared" ref="BH224:BH225" si="286">IF(AI224&gt;0,"Transfusion","Aucune")</f>
        <v>Aucune</v>
      </c>
      <c r="BI224" s="240" t="str">
        <f t="shared" ref="BI224:BI225" si="287">IF(AG224="","Aucune","Transfusé")</f>
        <v>Aucune</v>
      </c>
      <c r="BJ224" s="240" t="str">
        <f t="shared" ref="BJ224:BJ225" si="288">IF(X224&lt;&gt;"",IF(X224-L224&lt;2,"OUI","NON"),"NON")</f>
        <v>NON</v>
      </c>
      <c r="BK224" s="240" t="str">
        <f t="shared" ref="BK224:BK225" si="289">IF(AS224="","NON","OUI")</f>
        <v>NON</v>
      </c>
      <c r="BL224" s="240" t="str">
        <f t="shared" ref="BL224:BL225" si="290">IF(AL224-L224&gt;0,AL224-L224,"Inconnu")</f>
        <v>Inconnu</v>
      </c>
      <c r="BM224" s="240" t="str">
        <f t="shared" ref="BM224:BM225" si="291">IF($O224&lt;&gt;"HTX",IF($O224&lt;&gt;"LVAD",BL224,"Inconnu"),"Inconnu")</f>
        <v>Inconnu</v>
      </c>
      <c r="BN224" s="240" t="str">
        <f t="shared" ref="BN224:BN225" si="292">IF($O224="HTX",BL224,IF($O224="LVAD",BL224,"Inconnu"))</f>
        <v>Inconnu</v>
      </c>
      <c r="BO224" s="240" t="str">
        <f t="shared" ref="BO224:BO225" si="293">IF(AJ224-L224&gt;0,AJ224-L224,"Inconnu")</f>
        <v>Inconnu</v>
      </c>
      <c r="BP224" s="240" t="str">
        <f t="shared" ref="BP224:BP225" si="294">IF($O224&lt;&gt;"HTX",IF($O224&lt;&gt;"LVAD",BO224,"Inconnu"),"Inconnu")</f>
        <v>Inconnu</v>
      </c>
      <c r="BQ224" s="240" t="str">
        <f t="shared" ref="BQ224:BQ225" si="295">IF($O224="HTX",BO224,IF($O224="LVAD",BO224,"Inconnu"))</f>
        <v>Inconnu</v>
      </c>
      <c r="BR224" s="240" t="str">
        <f t="shared" ref="BR224:BR225" si="296">IF(BH224="Aucune",IF(BI224="Aucune","Aucune","Transfusé"),"Transfusé")</f>
        <v>Aucune</v>
      </c>
      <c r="BS224" s="240">
        <f t="shared" ref="BS224:BS225" si="297">AF224+AH224</f>
        <v>0</v>
      </c>
      <c r="BT224" s="241" t="e">
        <f>VLOOKUP($I224,Lieu_Activité!$A:$B,2,FALSE)</f>
        <v>#N/A</v>
      </c>
      <c r="BU224" s="240" t="str">
        <f t="shared" ref="BU224:BU225" si="298">IF(AB224="","Aucun","AVC")</f>
        <v>Aucun</v>
      </c>
      <c r="BV224" s="240" t="str">
        <f t="shared" ref="BV224:BV225" si="299">IF(AC224="","Aucun","IM")</f>
        <v>Aucun</v>
      </c>
      <c r="BW224" s="242" t="str">
        <f t="shared" ref="BW224:BW225" si="300">IF(M224="","NON","OUI")</f>
        <v>NON</v>
      </c>
      <c r="BX224" s="288"/>
    </row>
    <row r="225" spans="1:76" ht="12" customHeight="1" x14ac:dyDescent="0.25">
      <c r="A225" s="226" t="s">
        <v>256</v>
      </c>
      <c r="B225" s="236"/>
      <c r="C225" s="227"/>
      <c r="D225" s="279"/>
      <c r="E225" s="280">
        <f t="shared" si="276"/>
        <v>0</v>
      </c>
      <c r="F225" s="280" t="str">
        <f t="shared" si="277"/>
        <v xml:space="preserve"> </v>
      </c>
      <c r="G225" s="256"/>
      <c r="H225" s="256"/>
      <c r="I225" s="256"/>
      <c r="J225" s="256"/>
      <c r="K225" s="256"/>
      <c r="L225" s="279"/>
      <c r="M225" s="270"/>
      <c r="N225" s="232"/>
      <c r="O225" s="273"/>
      <c r="P225" s="265" t="str">
        <f>IFERROR(VLOOKUP(O225,Références!$K$11:$N$19,2)," ")</f>
        <v xml:space="preserve"> </v>
      </c>
      <c r="Q225" s="265" t="str">
        <f>IFERROR(VLOOKUP(O225,Références!$K$11:$N$19,3)," ")</f>
        <v xml:space="preserve"> </v>
      </c>
      <c r="R225" s="265" t="str">
        <f>IFERROR(VLOOKUP(O225,Références!$K$11:$N$19,4)," ")</f>
        <v xml:space="preserve"> </v>
      </c>
      <c r="S225" s="256"/>
      <c r="T225" s="256"/>
      <c r="U225" s="256"/>
      <c r="V225" s="256"/>
      <c r="W225" s="256"/>
      <c r="X225" s="257"/>
      <c r="Y225" s="256"/>
      <c r="Z225" s="256"/>
      <c r="AA225" s="256"/>
      <c r="AB225" s="238"/>
      <c r="AC225" s="238"/>
      <c r="AD225" s="238"/>
      <c r="AE225" s="235"/>
      <c r="AF225" s="238"/>
      <c r="AG225" s="238"/>
      <c r="AH225" s="238"/>
      <c r="AI225" s="238">
        <f t="shared" si="278"/>
        <v>0</v>
      </c>
      <c r="AJ225" s="257"/>
      <c r="AK225" s="237">
        <f t="shared" si="279"/>
        <v>0</v>
      </c>
      <c r="AL225" s="257"/>
      <c r="AM225" s="293">
        <f t="shared" si="280"/>
        <v>0</v>
      </c>
      <c r="AN225" s="256"/>
      <c r="AO225" s="276"/>
      <c r="AP225" s="261" t="str">
        <f t="shared" si="227"/>
        <v xml:space="preserve"> </v>
      </c>
      <c r="AQ225" s="256"/>
      <c r="AR225" s="295"/>
      <c r="AS225" s="295"/>
      <c r="AT225" s="263"/>
      <c r="AU225" s="277"/>
      <c r="AV225" s="263"/>
      <c r="AW225" s="230"/>
      <c r="AX225" s="300"/>
      <c r="AY225" s="301"/>
      <c r="AZ225" s="230"/>
      <c r="BA225" s="303"/>
      <c r="BB225" s="304"/>
      <c r="BC225" s="239">
        <f t="shared" si="281"/>
        <v>0</v>
      </c>
      <c r="BD225" s="239">
        <f t="shared" si="282"/>
        <v>0</v>
      </c>
      <c r="BE225" s="239">
        <f t="shared" si="283"/>
        <v>1</v>
      </c>
      <c r="BF225" s="239" t="str">
        <f t="shared" si="284"/>
        <v>ALIVE</v>
      </c>
      <c r="BG225" s="240" t="str">
        <f t="shared" si="285"/>
        <v>Aucune</v>
      </c>
      <c r="BH225" s="240" t="str">
        <f t="shared" si="286"/>
        <v>Aucune</v>
      </c>
      <c r="BI225" s="240" t="str">
        <f t="shared" si="287"/>
        <v>Aucune</v>
      </c>
      <c r="BJ225" s="240" t="str">
        <f t="shared" si="288"/>
        <v>NON</v>
      </c>
      <c r="BK225" s="240" t="str">
        <f t="shared" si="289"/>
        <v>NON</v>
      </c>
      <c r="BL225" s="240" t="str">
        <f t="shared" si="290"/>
        <v>Inconnu</v>
      </c>
      <c r="BM225" s="240" t="str">
        <f t="shared" si="291"/>
        <v>Inconnu</v>
      </c>
      <c r="BN225" s="240" t="str">
        <f t="shared" si="292"/>
        <v>Inconnu</v>
      </c>
      <c r="BO225" s="240" t="str">
        <f t="shared" si="293"/>
        <v>Inconnu</v>
      </c>
      <c r="BP225" s="240" t="str">
        <f t="shared" si="294"/>
        <v>Inconnu</v>
      </c>
      <c r="BQ225" s="240" t="str">
        <f t="shared" si="295"/>
        <v>Inconnu</v>
      </c>
      <c r="BR225" s="240" t="str">
        <f t="shared" si="296"/>
        <v>Aucune</v>
      </c>
      <c r="BS225" s="240">
        <f t="shared" si="297"/>
        <v>0</v>
      </c>
      <c r="BT225" s="241" t="e">
        <f>VLOOKUP($I225,Lieu_Activité!$A:$B,2,FALSE)</f>
        <v>#N/A</v>
      </c>
      <c r="BU225" s="240" t="str">
        <f t="shared" si="298"/>
        <v>Aucun</v>
      </c>
      <c r="BV225" s="240" t="str">
        <f t="shared" si="299"/>
        <v>Aucun</v>
      </c>
      <c r="BW225" s="242" t="str">
        <f t="shared" si="300"/>
        <v>NON</v>
      </c>
      <c r="BX225" s="288"/>
    </row>
    <row r="226" spans="1:76" ht="12" customHeight="1" x14ac:dyDescent="0.25">
      <c r="A226" s="226" t="s">
        <v>256</v>
      </c>
      <c r="B226" s="236"/>
      <c r="C226" s="227"/>
      <c r="D226" s="279"/>
      <c r="E226" s="280">
        <f t="shared" ref="E226:E227" si="301">(L226-D226)/365</f>
        <v>0</v>
      </c>
      <c r="F226" s="280" t="str">
        <f t="shared" ref="F226:F227" si="302">IF(E226&lt;80," ","1")</f>
        <v xml:space="preserve"> </v>
      </c>
      <c r="G226" s="256"/>
      <c r="H226" s="256"/>
      <c r="I226" s="256"/>
      <c r="J226" s="256"/>
      <c r="K226" s="256"/>
      <c r="L226" s="279"/>
      <c r="M226" s="270"/>
      <c r="N226" s="232"/>
      <c r="O226" s="265"/>
      <c r="P226" s="265" t="str">
        <f>IFERROR(VLOOKUP(O226,Références!$K$11:$N$19,2)," ")</f>
        <v xml:space="preserve"> </v>
      </c>
      <c r="Q226" s="265" t="str">
        <f>IFERROR(VLOOKUP(O226,Références!$K$11:$N$19,3)," ")</f>
        <v xml:space="preserve"> </v>
      </c>
      <c r="R226" s="265" t="str">
        <f>IFERROR(VLOOKUP(O226,Références!$K$11:$N$19,4)," ")</f>
        <v xml:space="preserve"> </v>
      </c>
      <c r="S226" s="256"/>
      <c r="T226" s="256"/>
      <c r="U226" s="256"/>
      <c r="V226" s="256"/>
      <c r="W226" s="256"/>
      <c r="X226" s="257"/>
      <c r="Y226" s="256"/>
      <c r="Z226" s="256"/>
      <c r="AA226" s="256"/>
      <c r="AB226" s="238"/>
      <c r="AC226" s="238"/>
      <c r="AD226" s="238"/>
      <c r="AE226" s="238"/>
      <c r="AF226" s="238"/>
      <c r="AG226" s="238"/>
      <c r="AH226" s="238"/>
      <c r="AI226" s="238">
        <f t="shared" ref="AI226:AI227" si="303">SUM(AF226,AH226)</f>
        <v>0</v>
      </c>
      <c r="AJ226" s="257"/>
      <c r="AK226" s="237">
        <f t="shared" ref="AK226:AK227" si="304">(AJ226-L226)</f>
        <v>0</v>
      </c>
      <c r="AL226" s="257"/>
      <c r="AM226" s="293">
        <f t="shared" ref="AM226:AM227" si="305">(AL226-L226)</f>
        <v>0</v>
      </c>
      <c r="AN226" s="256"/>
      <c r="AO226" s="276"/>
      <c r="AP226" s="261" t="str">
        <f t="shared" si="227"/>
        <v xml:space="preserve"> </v>
      </c>
      <c r="AQ226" s="256"/>
      <c r="AR226" s="295"/>
      <c r="AS226" s="295"/>
      <c r="AT226" s="263"/>
      <c r="AU226" s="277"/>
      <c r="AV226" s="263"/>
      <c r="AW226" s="230"/>
      <c r="AX226" s="300"/>
      <c r="AY226" s="301"/>
      <c r="AZ226" s="230"/>
      <c r="BA226" s="303"/>
      <c r="BB226" s="304"/>
      <c r="BC226" s="239">
        <f t="shared" ref="BC226:BC227" si="306">IF(BG226="Aucune",0,1)</f>
        <v>0</v>
      </c>
      <c r="BD226" s="239">
        <f t="shared" ref="BD226:BD227" si="307">IF(BH226="Aucune",0,1)</f>
        <v>0</v>
      </c>
      <c r="BE226" s="239">
        <f t="shared" ref="BE226:BE227" si="308">IF(AG226="Aucune",0,1)</f>
        <v>1</v>
      </c>
      <c r="BF226" s="239" t="str">
        <f t="shared" ref="BF226:BF227" si="309">IF(AO226=1,"ELECTIVE",IF(AO226=2,"URGENCY",IF(AO226=3,"EMERGENCY",IF(AO226=4,"SALVAGE","ALIVE"))))</f>
        <v>ALIVE</v>
      </c>
      <c r="BG226" s="240" t="str">
        <f t="shared" ref="BG226:BG227" si="310">IF(AD226="","Aucune","Infection")</f>
        <v>Aucune</v>
      </c>
      <c r="BH226" s="240" t="str">
        <f t="shared" ref="BH226:BH227" si="311">IF(AI226&gt;0,"Transfusion","Aucune")</f>
        <v>Aucune</v>
      </c>
      <c r="BI226" s="240" t="str">
        <f t="shared" ref="BI226:BI227" si="312">IF(AG226="","Aucune","Transfusé")</f>
        <v>Aucune</v>
      </c>
      <c r="BJ226" s="240" t="str">
        <f t="shared" ref="BJ226:BJ227" si="313">IF(X226&lt;&gt;"",IF(X226-L226&lt;2,"OUI","NON"),"NON")</f>
        <v>NON</v>
      </c>
      <c r="BK226" s="240" t="str">
        <f t="shared" ref="BK226:BK227" si="314">IF(AS226="","NON","OUI")</f>
        <v>NON</v>
      </c>
      <c r="BL226" s="240" t="str">
        <f t="shared" ref="BL226:BL227" si="315">IF(AL226-L226&gt;0,AL226-L226,"Inconnu")</f>
        <v>Inconnu</v>
      </c>
      <c r="BM226" s="240" t="str">
        <f t="shared" ref="BM226:BM227" si="316">IF($O226&lt;&gt;"HTX",IF($O226&lt;&gt;"LVAD",BL226,"Inconnu"),"Inconnu")</f>
        <v>Inconnu</v>
      </c>
      <c r="BN226" s="240" t="str">
        <f t="shared" ref="BN226:BN227" si="317">IF($O226="HTX",BL226,IF($O226="LVAD",BL226,"Inconnu"))</f>
        <v>Inconnu</v>
      </c>
      <c r="BO226" s="240" t="str">
        <f t="shared" ref="BO226:BO227" si="318">IF(AJ226-L226&gt;0,AJ226-L226,"Inconnu")</f>
        <v>Inconnu</v>
      </c>
      <c r="BP226" s="240" t="str">
        <f t="shared" ref="BP226:BP227" si="319">IF($O226&lt;&gt;"HTX",IF($O226&lt;&gt;"LVAD",BO226,"Inconnu"),"Inconnu")</f>
        <v>Inconnu</v>
      </c>
      <c r="BQ226" s="240" t="str">
        <f t="shared" ref="BQ226:BQ227" si="320">IF($O226="HTX",BO226,IF($O226="LVAD",BO226,"Inconnu"))</f>
        <v>Inconnu</v>
      </c>
      <c r="BR226" s="240" t="str">
        <f t="shared" ref="BR226:BR227" si="321">IF(BH226="Aucune",IF(BI226="Aucune","Aucune","Transfusé"),"Transfusé")</f>
        <v>Aucune</v>
      </c>
      <c r="BS226" s="240">
        <f t="shared" ref="BS226:BS227" si="322">AF226+AH226</f>
        <v>0</v>
      </c>
      <c r="BT226" s="241" t="e">
        <f>VLOOKUP($I226,Lieu_Activité!$A:$B,2,FALSE)</f>
        <v>#N/A</v>
      </c>
      <c r="BU226" s="240" t="str">
        <f t="shared" ref="BU226:BU227" si="323">IF(AB226="","Aucun","AVC")</f>
        <v>Aucun</v>
      </c>
      <c r="BV226" s="240" t="str">
        <f t="shared" ref="BV226:BV227" si="324">IF(AC226="","Aucun","IM")</f>
        <v>Aucun</v>
      </c>
      <c r="BW226" s="242" t="str">
        <f t="shared" ref="BW226:BW227" si="325">IF(M226="","NON","OUI")</f>
        <v>NON</v>
      </c>
      <c r="BX226" s="288"/>
    </row>
    <row r="227" spans="1:76" ht="12" customHeight="1" x14ac:dyDescent="0.25">
      <c r="A227" s="226" t="s">
        <v>256</v>
      </c>
      <c r="B227" s="236"/>
      <c r="C227" s="227"/>
      <c r="D227" s="279"/>
      <c r="E227" s="280">
        <f t="shared" si="301"/>
        <v>0</v>
      </c>
      <c r="F227" s="280" t="str">
        <f t="shared" si="302"/>
        <v xml:space="preserve"> </v>
      </c>
      <c r="G227" s="256"/>
      <c r="H227" s="256"/>
      <c r="I227" s="256"/>
      <c r="J227" s="256"/>
      <c r="K227" s="256"/>
      <c r="L227" s="279"/>
      <c r="M227" s="270"/>
      <c r="N227" s="232"/>
      <c r="O227" s="273"/>
      <c r="P227" s="265" t="str">
        <f>IFERROR(VLOOKUP(O227,Références!$K$11:$N$19,2)," ")</f>
        <v xml:space="preserve"> </v>
      </c>
      <c r="Q227" s="265" t="str">
        <f>IFERROR(VLOOKUP(O227,Références!$K$11:$N$19,3)," ")</f>
        <v xml:space="preserve"> </v>
      </c>
      <c r="R227" s="265" t="str">
        <f>IFERROR(VLOOKUP(O227,Références!$K$11:$N$19,4)," ")</f>
        <v xml:space="preserve"> </v>
      </c>
      <c r="S227" s="256"/>
      <c r="T227" s="256"/>
      <c r="U227" s="256"/>
      <c r="V227" s="256"/>
      <c r="W227" s="256"/>
      <c r="X227" s="257"/>
      <c r="Y227" s="256"/>
      <c r="Z227" s="256"/>
      <c r="AA227" s="256"/>
      <c r="AB227" s="238"/>
      <c r="AC227" s="238"/>
      <c r="AD227" s="238"/>
      <c r="AE227" s="235"/>
      <c r="AF227" s="238"/>
      <c r="AG227" s="235"/>
      <c r="AH227" s="238"/>
      <c r="AI227" s="238">
        <f t="shared" si="303"/>
        <v>0</v>
      </c>
      <c r="AJ227" s="257"/>
      <c r="AK227" s="237">
        <f t="shared" si="304"/>
        <v>0</v>
      </c>
      <c r="AL227" s="257"/>
      <c r="AM227" s="293">
        <f t="shared" si="305"/>
        <v>0</v>
      </c>
      <c r="AN227" s="256"/>
      <c r="AO227" s="276"/>
      <c r="AP227" s="261" t="str">
        <f t="shared" si="227"/>
        <v xml:space="preserve"> </v>
      </c>
      <c r="AQ227" s="256"/>
      <c r="AR227" s="295"/>
      <c r="AS227" s="295"/>
      <c r="AT227" s="263"/>
      <c r="AU227" s="277"/>
      <c r="AV227" s="263"/>
      <c r="AW227" s="230"/>
      <c r="AX227" s="300"/>
      <c r="AY227" s="301"/>
      <c r="AZ227" s="230"/>
      <c r="BA227" s="303"/>
      <c r="BB227" s="304"/>
      <c r="BC227" s="239">
        <f t="shared" si="306"/>
        <v>0</v>
      </c>
      <c r="BD227" s="239">
        <f t="shared" si="307"/>
        <v>0</v>
      </c>
      <c r="BE227" s="239">
        <f t="shared" si="308"/>
        <v>1</v>
      </c>
      <c r="BF227" s="239" t="str">
        <f t="shared" si="309"/>
        <v>ALIVE</v>
      </c>
      <c r="BG227" s="240" t="str">
        <f t="shared" si="310"/>
        <v>Aucune</v>
      </c>
      <c r="BH227" s="240" t="str">
        <f t="shared" si="311"/>
        <v>Aucune</v>
      </c>
      <c r="BI227" s="240" t="str">
        <f t="shared" si="312"/>
        <v>Aucune</v>
      </c>
      <c r="BJ227" s="240" t="str">
        <f t="shared" si="313"/>
        <v>NON</v>
      </c>
      <c r="BK227" s="240" t="str">
        <f t="shared" si="314"/>
        <v>NON</v>
      </c>
      <c r="BL227" s="240" t="str">
        <f t="shared" si="315"/>
        <v>Inconnu</v>
      </c>
      <c r="BM227" s="240" t="str">
        <f t="shared" si="316"/>
        <v>Inconnu</v>
      </c>
      <c r="BN227" s="240" t="str">
        <f t="shared" si="317"/>
        <v>Inconnu</v>
      </c>
      <c r="BO227" s="240" t="str">
        <f t="shared" si="318"/>
        <v>Inconnu</v>
      </c>
      <c r="BP227" s="240" t="str">
        <f t="shared" si="319"/>
        <v>Inconnu</v>
      </c>
      <c r="BQ227" s="240" t="str">
        <f t="shared" si="320"/>
        <v>Inconnu</v>
      </c>
      <c r="BR227" s="240" t="str">
        <f t="shared" si="321"/>
        <v>Aucune</v>
      </c>
      <c r="BS227" s="240">
        <f t="shared" si="322"/>
        <v>0</v>
      </c>
      <c r="BT227" s="241" t="e">
        <f>VLOOKUP($I227,Lieu_Activité!$A:$B,2,FALSE)</f>
        <v>#N/A</v>
      </c>
      <c r="BU227" s="240" t="str">
        <f t="shared" si="323"/>
        <v>Aucun</v>
      </c>
      <c r="BV227" s="240" t="str">
        <f t="shared" si="324"/>
        <v>Aucun</v>
      </c>
      <c r="BW227" s="242" t="str">
        <f t="shared" si="325"/>
        <v>NON</v>
      </c>
      <c r="BX227" s="288"/>
    </row>
    <row r="228" spans="1:76" ht="12" customHeight="1" x14ac:dyDescent="0.25">
      <c r="A228" s="231" t="s">
        <v>257</v>
      </c>
      <c r="B228" s="234"/>
      <c r="C228" s="227"/>
      <c r="D228" s="257"/>
      <c r="E228" s="278">
        <f t="shared" ref="E228:E289" si="326">(L228-D228)/365</f>
        <v>0</v>
      </c>
      <c r="F228" s="278" t="str">
        <f t="shared" si="226"/>
        <v xml:space="preserve"> </v>
      </c>
      <c r="G228" s="256"/>
      <c r="H228" s="256"/>
      <c r="I228" s="256"/>
      <c r="J228" s="256"/>
      <c r="K228" s="256"/>
      <c r="L228" s="257"/>
      <c r="M228" s="243"/>
      <c r="N228" s="232"/>
      <c r="O228" s="232"/>
      <c r="P228" s="265" t="str">
        <f>IFERROR(VLOOKUP(O228,Références!$K$11:$N$19,2)," ")</f>
        <v xml:space="preserve"> </v>
      </c>
      <c r="Q228" s="265" t="str">
        <f>IFERROR(VLOOKUP(O228,Références!$K$11:$N$19,3)," ")</f>
        <v xml:space="preserve"> </v>
      </c>
      <c r="R228" s="265" t="str">
        <f>IFERROR(VLOOKUP(O228,Références!$K$11:$N$19,4)," ")</f>
        <v xml:space="preserve"> </v>
      </c>
      <c r="S228" s="256"/>
      <c r="T228" s="256"/>
      <c r="U228" s="256"/>
      <c r="V228" s="256"/>
      <c r="W228" s="256"/>
      <c r="X228" s="257"/>
      <c r="Y228" s="256"/>
      <c r="Z228" s="256"/>
      <c r="AA228" s="256"/>
      <c r="AB228" s="235"/>
      <c r="AC228" s="235"/>
      <c r="AD228" s="235"/>
      <c r="AE228" s="235"/>
      <c r="AF228" s="235"/>
      <c r="AG228" s="235"/>
      <c r="AH228" s="235"/>
      <c r="AI228" s="235">
        <f t="shared" ref="AI228:AI289" si="327">SUM(AF228,AH228)</f>
        <v>0</v>
      </c>
      <c r="AJ228" s="257"/>
      <c r="AK228" s="256">
        <f t="shared" ref="AK228:AK289" si="328">(AJ228-L228)</f>
        <v>0</v>
      </c>
      <c r="AL228" s="257"/>
      <c r="AM228" s="266">
        <f t="shared" ref="AM228:AM289" si="329">(AL228-L228)</f>
        <v>0</v>
      </c>
      <c r="AN228" s="256"/>
      <c r="AO228" s="276"/>
      <c r="AP228" s="261" t="str">
        <f t="shared" si="227"/>
        <v xml:space="preserve"> </v>
      </c>
      <c r="AQ228" s="256"/>
      <c r="AR228" s="295"/>
      <c r="AS228" s="295"/>
      <c r="AT228" s="263"/>
      <c r="AU228" s="277"/>
      <c r="AV228" s="263"/>
      <c r="AW228" s="230"/>
      <c r="AX228" s="300"/>
      <c r="AY228" s="301"/>
      <c r="AZ228" s="230"/>
      <c r="BA228" s="300"/>
      <c r="BB228" s="295"/>
      <c r="BC228" s="228">
        <f t="shared" ref="BC228:BC289" si="330">IF(BG228="Aucune",0,1)</f>
        <v>0</v>
      </c>
      <c r="BD228" s="228">
        <f t="shared" ref="BD228:BD289" si="331">IF(BH228="Aucune",0,1)</f>
        <v>0</v>
      </c>
      <c r="BE228" s="228">
        <f t="shared" ref="BE228:BE289" si="332">IF(AG228="Aucune",0,1)</f>
        <v>1</v>
      </c>
      <c r="BF228" s="228" t="str">
        <f t="shared" ref="BF228:BF289" si="333">IF(AO228=1,"ELECTIVE",IF(AO228=2,"URGENCY",IF(AO228=3,"EMERGENCY",IF(AO228=4,"SALVAGE","ALIVE"))))</f>
        <v>ALIVE</v>
      </c>
      <c r="BG228" s="208" t="str">
        <f t="shared" ref="BG228:BG289" si="334">IF(AD228="","Aucune","Infection")</f>
        <v>Aucune</v>
      </c>
      <c r="BH228" s="208" t="str">
        <f t="shared" ref="BH228:BH289" si="335">IF(AI228&gt;0,"Transfusion","Aucune")</f>
        <v>Aucune</v>
      </c>
      <c r="BI228" s="208" t="str">
        <f t="shared" ref="BI228:BI289" si="336">IF(AG228="","Aucune","Transfusé")</f>
        <v>Aucune</v>
      </c>
      <c r="BJ228" s="208" t="str">
        <f t="shared" ref="BJ228:BJ289" si="337">IF(X228&lt;&gt;"",IF(X228-L228&lt;2,"OUI","NON"),"NON")</f>
        <v>NON</v>
      </c>
      <c r="BK228" s="208" t="str">
        <f t="shared" ref="BK228:BK289" si="338">IF(AS228="","NON","OUI")</f>
        <v>NON</v>
      </c>
      <c r="BL228" s="208" t="str">
        <f t="shared" ref="BL228:BL289" si="339">IF(AL228-L228&gt;0,AL228-L228,"Inconnu")</f>
        <v>Inconnu</v>
      </c>
      <c r="BM228" s="208" t="str">
        <f t="shared" ref="BM228:BM289" si="340">IF($O228&lt;&gt;"HTX",IF($O228&lt;&gt;"LVAD",BL228,"Inconnu"),"Inconnu")</f>
        <v>Inconnu</v>
      </c>
      <c r="BN228" s="208" t="str">
        <f t="shared" ref="BN228:BN289" si="341">IF($O228="HTX",BL228,IF($O228="LVAD",BL228,"Inconnu"))</f>
        <v>Inconnu</v>
      </c>
      <c r="BO228" s="208" t="str">
        <f t="shared" ref="BO228:BO289" si="342">IF(AJ228-L228&gt;0,AJ228-L228,"Inconnu")</f>
        <v>Inconnu</v>
      </c>
      <c r="BP228" s="208" t="str">
        <f t="shared" ref="BP228:BP289" si="343">IF($O228&lt;&gt;"HTX",IF($O228&lt;&gt;"LVAD",BO228,"Inconnu"),"Inconnu")</f>
        <v>Inconnu</v>
      </c>
      <c r="BQ228" s="208" t="str">
        <f t="shared" ref="BQ228:BQ289" si="344">IF($O228="HTX",BO228,IF($O228="LVAD",BO228,"Inconnu"))</f>
        <v>Inconnu</v>
      </c>
      <c r="BR228" s="208" t="str">
        <f t="shared" ref="BR228:BR289" si="345">IF(BH228="Aucune",IF(BI228="Aucune","Aucune","Transfusé"),"Transfusé")</f>
        <v>Aucune</v>
      </c>
      <c r="BS228" s="208">
        <f t="shared" ref="BS228:BS289" si="346">AF228+AH228</f>
        <v>0</v>
      </c>
      <c r="BT228" s="229" t="e">
        <f>VLOOKUP($I228,Lieu_Activité!$A:$B,2,FALSE)</f>
        <v>#N/A</v>
      </c>
      <c r="BU228" s="208" t="str">
        <f t="shared" ref="BU228:BU289" si="347">IF(AB228="","Aucun","AVC")</f>
        <v>Aucun</v>
      </c>
      <c r="BV228" s="208" t="str">
        <f t="shared" ref="BV228:BV289" si="348">IF(AC228="","Aucun","IM")</f>
        <v>Aucun</v>
      </c>
      <c r="BW228" s="207" t="str">
        <f t="shared" ref="BW228:BW289" si="349">IF(M228="","NON","OUI")</f>
        <v>NON</v>
      </c>
      <c r="BX228" s="288"/>
    </row>
    <row r="229" spans="1:76" ht="12" customHeight="1" x14ac:dyDescent="0.25">
      <c r="A229" s="231" t="s">
        <v>257</v>
      </c>
      <c r="B229" s="234"/>
      <c r="C229" s="227"/>
      <c r="D229" s="257"/>
      <c r="E229" s="278">
        <f t="shared" ref="E229:E233" si="350">(L229-D229)/365</f>
        <v>0</v>
      </c>
      <c r="F229" s="278" t="str">
        <f t="shared" ref="F229:F233" si="351">IF(E229&lt;80," ","1")</f>
        <v xml:space="preserve"> </v>
      </c>
      <c r="G229" s="256"/>
      <c r="H229" s="256"/>
      <c r="I229" s="256"/>
      <c r="J229" s="256"/>
      <c r="K229" s="256"/>
      <c r="L229" s="257"/>
      <c r="M229" s="243"/>
      <c r="N229" s="232"/>
      <c r="O229" s="232"/>
      <c r="P229" s="265" t="str">
        <f>IFERROR(VLOOKUP(O229,Références!$K$11:$N$19,2)," ")</f>
        <v xml:space="preserve"> </v>
      </c>
      <c r="Q229" s="265" t="str">
        <f>IFERROR(VLOOKUP(O229,Références!$K$11:$N$19,3)," ")</f>
        <v xml:space="preserve"> </v>
      </c>
      <c r="R229" s="265" t="str">
        <f>IFERROR(VLOOKUP(O229,Références!$K$11:$N$19,4)," ")</f>
        <v xml:space="preserve"> </v>
      </c>
      <c r="S229" s="256"/>
      <c r="T229" s="256"/>
      <c r="U229" s="256"/>
      <c r="V229" s="256"/>
      <c r="W229" s="256"/>
      <c r="X229" s="257"/>
      <c r="Y229" s="256"/>
      <c r="Z229" s="256"/>
      <c r="AA229" s="256"/>
      <c r="AB229" s="235"/>
      <c r="AC229" s="235"/>
      <c r="AD229" s="235"/>
      <c r="AE229" s="235"/>
      <c r="AF229" s="235"/>
      <c r="AG229" s="235"/>
      <c r="AH229" s="235"/>
      <c r="AI229" s="235">
        <f t="shared" ref="AI229:AI233" si="352">SUM(AF229,AH229)</f>
        <v>0</v>
      </c>
      <c r="AJ229" s="257"/>
      <c r="AK229" s="256">
        <f t="shared" ref="AK229:AK233" si="353">(AJ229-L229)</f>
        <v>0</v>
      </c>
      <c r="AL229" s="257"/>
      <c r="AM229" s="266">
        <f t="shared" ref="AM229:AM233" si="354">(AL229-L229)</f>
        <v>0</v>
      </c>
      <c r="AN229" s="256"/>
      <c r="AO229" s="276"/>
      <c r="AP229" s="261" t="str">
        <f t="shared" si="227"/>
        <v xml:space="preserve"> </v>
      </c>
      <c r="AQ229" s="256"/>
      <c r="AR229" s="295"/>
      <c r="AS229" s="295"/>
      <c r="AT229" s="263"/>
      <c r="AU229" s="277"/>
      <c r="AV229" s="263"/>
      <c r="AW229" s="230"/>
      <c r="AX229" s="300"/>
      <c r="AY229" s="301"/>
      <c r="AZ229" s="230"/>
      <c r="BA229" s="300"/>
      <c r="BB229" s="295"/>
      <c r="BC229" s="228">
        <f t="shared" ref="BC229:BC233" si="355">IF(BG229="Aucune",0,1)</f>
        <v>0</v>
      </c>
      <c r="BD229" s="228">
        <f t="shared" ref="BD229:BD233" si="356">IF(BH229="Aucune",0,1)</f>
        <v>0</v>
      </c>
      <c r="BE229" s="228">
        <f t="shared" ref="BE229:BE233" si="357">IF(AG229="Aucune",0,1)</f>
        <v>1</v>
      </c>
      <c r="BF229" s="228" t="str">
        <f t="shared" ref="BF229:BF233" si="358">IF(AO229=1,"ELECTIVE",IF(AO229=2,"URGENCY",IF(AO229=3,"EMERGENCY",IF(AO229=4,"SALVAGE","ALIVE"))))</f>
        <v>ALIVE</v>
      </c>
      <c r="BG229" s="208" t="str">
        <f t="shared" ref="BG229:BG233" si="359">IF(AD229="","Aucune","Infection")</f>
        <v>Aucune</v>
      </c>
      <c r="BH229" s="208" t="str">
        <f t="shared" ref="BH229:BH233" si="360">IF(AI229&gt;0,"Transfusion","Aucune")</f>
        <v>Aucune</v>
      </c>
      <c r="BI229" s="208" t="str">
        <f t="shared" ref="BI229:BI233" si="361">IF(AG229="","Aucune","Transfusé")</f>
        <v>Aucune</v>
      </c>
      <c r="BJ229" s="208" t="str">
        <f t="shared" ref="BJ229:BJ233" si="362">IF(X229&lt;&gt;"",IF(X229-L229&lt;2,"OUI","NON"),"NON")</f>
        <v>NON</v>
      </c>
      <c r="BK229" s="208" t="str">
        <f t="shared" ref="BK229:BK233" si="363">IF(AS229="","NON","OUI")</f>
        <v>NON</v>
      </c>
      <c r="BL229" s="208" t="str">
        <f t="shared" ref="BL229:BL233" si="364">IF(AL229-L229&gt;0,AL229-L229,"Inconnu")</f>
        <v>Inconnu</v>
      </c>
      <c r="BM229" s="208" t="str">
        <f t="shared" ref="BM229:BM233" si="365">IF($O229&lt;&gt;"HTX",IF($O229&lt;&gt;"LVAD",BL229,"Inconnu"),"Inconnu")</f>
        <v>Inconnu</v>
      </c>
      <c r="BN229" s="208" t="str">
        <f t="shared" ref="BN229:BN233" si="366">IF($O229="HTX",BL229,IF($O229="LVAD",BL229,"Inconnu"))</f>
        <v>Inconnu</v>
      </c>
      <c r="BO229" s="208" t="str">
        <f t="shared" ref="BO229:BO233" si="367">IF(AJ229-L229&gt;0,AJ229-L229,"Inconnu")</f>
        <v>Inconnu</v>
      </c>
      <c r="BP229" s="208" t="str">
        <f t="shared" ref="BP229:BP233" si="368">IF($O229&lt;&gt;"HTX",IF($O229&lt;&gt;"LVAD",BO229,"Inconnu"),"Inconnu")</f>
        <v>Inconnu</v>
      </c>
      <c r="BQ229" s="208" t="str">
        <f t="shared" ref="BQ229:BQ233" si="369">IF($O229="HTX",BO229,IF($O229="LVAD",BO229,"Inconnu"))</f>
        <v>Inconnu</v>
      </c>
      <c r="BR229" s="208" t="str">
        <f t="shared" ref="BR229:BR233" si="370">IF(BH229="Aucune",IF(BI229="Aucune","Aucune","Transfusé"),"Transfusé")</f>
        <v>Aucune</v>
      </c>
      <c r="BS229" s="208">
        <f t="shared" ref="BS229:BS233" si="371">AF229+AH229</f>
        <v>0</v>
      </c>
      <c r="BT229" s="229" t="e">
        <f>VLOOKUP($I229,Lieu_Activité!$A:$B,2,FALSE)</f>
        <v>#N/A</v>
      </c>
      <c r="BU229" s="208" t="str">
        <f t="shared" ref="BU229:BU233" si="372">IF(AB229="","Aucun","AVC")</f>
        <v>Aucun</v>
      </c>
      <c r="BV229" s="208" t="str">
        <f t="shared" ref="BV229:BV233" si="373">IF(AC229="","Aucun","IM")</f>
        <v>Aucun</v>
      </c>
      <c r="BW229" s="207" t="str">
        <f t="shared" ref="BW229:BW233" si="374">IF(M229="","NON","OUI")</f>
        <v>NON</v>
      </c>
      <c r="BX229" s="288"/>
    </row>
    <row r="230" spans="1:76" ht="12" customHeight="1" x14ac:dyDescent="0.25">
      <c r="A230" s="231" t="s">
        <v>257</v>
      </c>
      <c r="B230" s="234"/>
      <c r="C230" s="227"/>
      <c r="D230" s="257"/>
      <c r="E230" s="278">
        <f t="shared" si="350"/>
        <v>0</v>
      </c>
      <c r="F230" s="278" t="str">
        <f t="shared" si="351"/>
        <v xml:space="preserve"> </v>
      </c>
      <c r="G230" s="256"/>
      <c r="H230" s="256"/>
      <c r="I230" s="256"/>
      <c r="J230" s="256"/>
      <c r="K230" s="256"/>
      <c r="L230" s="257"/>
      <c r="M230" s="243"/>
      <c r="N230" s="232"/>
      <c r="O230" s="232"/>
      <c r="P230" s="265" t="str">
        <f>IFERROR(VLOOKUP(O230,Références!$K$11:$N$19,2)," ")</f>
        <v xml:space="preserve"> </v>
      </c>
      <c r="Q230" s="265" t="str">
        <f>IFERROR(VLOOKUP(O230,Références!$K$11:$N$19,3)," ")</f>
        <v xml:space="preserve"> </v>
      </c>
      <c r="R230" s="265" t="str">
        <f>IFERROR(VLOOKUP(O230,Références!$K$11:$N$19,4)," ")</f>
        <v xml:space="preserve"> </v>
      </c>
      <c r="S230" s="256"/>
      <c r="T230" s="256"/>
      <c r="U230" s="256"/>
      <c r="V230" s="256"/>
      <c r="W230" s="256"/>
      <c r="X230" s="257"/>
      <c r="Y230" s="256"/>
      <c r="Z230" s="256"/>
      <c r="AA230" s="256"/>
      <c r="AB230" s="235"/>
      <c r="AC230" s="235"/>
      <c r="AD230" s="235"/>
      <c r="AE230" s="235"/>
      <c r="AF230" s="235"/>
      <c r="AG230" s="235"/>
      <c r="AH230" s="235"/>
      <c r="AI230" s="235">
        <f t="shared" si="352"/>
        <v>0</v>
      </c>
      <c r="AJ230" s="257"/>
      <c r="AK230" s="256">
        <f t="shared" si="353"/>
        <v>0</v>
      </c>
      <c r="AL230" s="257"/>
      <c r="AM230" s="266">
        <f t="shared" si="354"/>
        <v>0</v>
      </c>
      <c r="AN230" s="256"/>
      <c r="AO230" s="276"/>
      <c r="AP230" s="261" t="str">
        <f t="shared" si="227"/>
        <v xml:space="preserve"> </v>
      </c>
      <c r="AQ230" s="256"/>
      <c r="AR230" s="295"/>
      <c r="AS230" s="295"/>
      <c r="AT230" s="263"/>
      <c r="AU230" s="277"/>
      <c r="AV230" s="263"/>
      <c r="AW230" s="230"/>
      <c r="AX230" s="300"/>
      <c r="AY230" s="301"/>
      <c r="AZ230" s="230"/>
      <c r="BA230" s="300"/>
      <c r="BB230" s="295"/>
      <c r="BC230" s="228">
        <f t="shared" si="355"/>
        <v>0</v>
      </c>
      <c r="BD230" s="228">
        <f t="shared" si="356"/>
        <v>0</v>
      </c>
      <c r="BE230" s="228">
        <f t="shared" si="357"/>
        <v>1</v>
      </c>
      <c r="BF230" s="228" t="str">
        <f t="shared" si="358"/>
        <v>ALIVE</v>
      </c>
      <c r="BG230" s="208" t="str">
        <f t="shared" si="359"/>
        <v>Aucune</v>
      </c>
      <c r="BH230" s="208" t="str">
        <f t="shared" si="360"/>
        <v>Aucune</v>
      </c>
      <c r="BI230" s="208" t="str">
        <f t="shared" si="361"/>
        <v>Aucune</v>
      </c>
      <c r="BJ230" s="208" t="str">
        <f t="shared" si="362"/>
        <v>NON</v>
      </c>
      <c r="BK230" s="208" t="str">
        <f t="shared" si="363"/>
        <v>NON</v>
      </c>
      <c r="BL230" s="208" t="str">
        <f t="shared" si="364"/>
        <v>Inconnu</v>
      </c>
      <c r="BM230" s="208" t="str">
        <f t="shared" si="365"/>
        <v>Inconnu</v>
      </c>
      <c r="BN230" s="208" t="str">
        <f t="shared" si="366"/>
        <v>Inconnu</v>
      </c>
      <c r="BO230" s="208" t="str">
        <f t="shared" si="367"/>
        <v>Inconnu</v>
      </c>
      <c r="BP230" s="208" t="str">
        <f t="shared" si="368"/>
        <v>Inconnu</v>
      </c>
      <c r="BQ230" s="208" t="str">
        <f t="shared" si="369"/>
        <v>Inconnu</v>
      </c>
      <c r="BR230" s="208" t="str">
        <f t="shared" si="370"/>
        <v>Aucune</v>
      </c>
      <c r="BS230" s="208">
        <f t="shared" si="371"/>
        <v>0</v>
      </c>
      <c r="BT230" s="229" t="e">
        <f>VLOOKUP($I230,Lieu_Activité!$A:$B,2,FALSE)</f>
        <v>#N/A</v>
      </c>
      <c r="BU230" s="208" t="str">
        <f t="shared" si="372"/>
        <v>Aucun</v>
      </c>
      <c r="BV230" s="208" t="str">
        <f t="shared" si="373"/>
        <v>Aucun</v>
      </c>
      <c r="BW230" s="207" t="str">
        <f t="shared" si="374"/>
        <v>NON</v>
      </c>
      <c r="BX230" s="288"/>
    </row>
    <row r="231" spans="1:76" ht="12" customHeight="1" x14ac:dyDescent="0.25">
      <c r="A231" s="231" t="s">
        <v>257</v>
      </c>
      <c r="B231" s="234"/>
      <c r="C231" s="227"/>
      <c r="D231" s="257"/>
      <c r="E231" s="278">
        <f t="shared" si="350"/>
        <v>0</v>
      </c>
      <c r="F231" s="278" t="str">
        <f t="shared" si="351"/>
        <v xml:space="preserve"> </v>
      </c>
      <c r="G231" s="256"/>
      <c r="H231" s="256"/>
      <c r="I231" s="256"/>
      <c r="J231" s="256"/>
      <c r="K231" s="256"/>
      <c r="L231" s="257"/>
      <c r="M231" s="243"/>
      <c r="N231" s="232"/>
      <c r="O231" s="232"/>
      <c r="P231" s="265" t="str">
        <f>IFERROR(VLOOKUP(O231,Références!$K$11:$N$19,2)," ")</f>
        <v xml:space="preserve"> </v>
      </c>
      <c r="Q231" s="265" t="str">
        <f>IFERROR(VLOOKUP(O231,Références!$K$11:$N$19,3)," ")</f>
        <v xml:space="preserve"> </v>
      </c>
      <c r="R231" s="265" t="str">
        <f>IFERROR(VLOOKUP(O231,Références!$K$11:$N$19,4)," ")</f>
        <v xml:space="preserve"> </v>
      </c>
      <c r="S231" s="256"/>
      <c r="T231" s="256"/>
      <c r="U231" s="256"/>
      <c r="V231" s="256"/>
      <c r="W231" s="256"/>
      <c r="X231" s="257"/>
      <c r="Y231" s="256"/>
      <c r="Z231" s="256"/>
      <c r="AA231" s="256"/>
      <c r="AB231" s="235"/>
      <c r="AC231" s="235"/>
      <c r="AD231" s="235"/>
      <c r="AE231" s="235"/>
      <c r="AF231" s="235"/>
      <c r="AG231" s="235"/>
      <c r="AH231" s="235"/>
      <c r="AI231" s="235">
        <f t="shared" si="352"/>
        <v>0</v>
      </c>
      <c r="AJ231" s="257"/>
      <c r="AK231" s="256">
        <f t="shared" si="353"/>
        <v>0</v>
      </c>
      <c r="AL231" s="257"/>
      <c r="AM231" s="266">
        <f t="shared" si="354"/>
        <v>0</v>
      </c>
      <c r="AN231" s="256"/>
      <c r="AO231" s="276"/>
      <c r="AP231" s="261" t="str">
        <f t="shared" si="227"/>
        <v xml:space="preserve"> </v>
      </c>
      <c r="AQ231" s="256"/>
      <c r="AR231" s="295"/>
      <c r="AS231" s="295"/>
      <c r="AT231" s="263"/>
      <c r="AU231" s="277"/>
      <c r="AV231" s="263"/>
      <c r="AW231" s="230"/>
      <c r="AX231" s="300"/>
      <c r="AY231" s="301"/>
      <c r="AZ231" s="230"/>
      <c r="BA231" s="300"/>
      <c r="BB231" s="295"/>
      <c r="BC231" s="228">
        <f t="shared" si="355"/>
        <v>0</v>
      </c>
      <c r="BD231" s="228">
        <f t="shared" si="356"/>
        <v>0</v>
      </c>
      <c r="BE231" s="228">
        <f t="shared" si="357"/>
        <v>1</v>
      </c>
      <c r="BF231" s="228" t="str">
        <f t="shared" si="358"/>
        <v>ALIVE</v>
      </c>
      <c r="BG231" s="208" t="str">
        <f t="shared" si="359"/>
        <v>Aucune</v>
      </c>
      <c r="BH231" s="208" t="str">
        <f t="shared" si="360"/>
        <v>Aucune</v>
      </c>
      <c r="BI231" s="208" t="str">
        <f t="shared" si="361"/>
        <v>Aucune</v>
      </c>
      <c r="BJ231" s="208" t="str">
        <f t="shared" si="362"/>
        <v>NON</v>
      </c>
      <c r="BK231" s="208" t="str">
        <f t="shared" si="363"/>
        <v>NON</v>
      </c>
      <c r="BL231" s="208" t="str">
        <f t="shared" si="364"/>
        <v>Inconnu</v>
      </c>
      <c r="BM231" s="208" t="str">
        <f t="shared" si="365"/>
        <v>Inconnu</v>
      </c>
      <c r="BN231" s="208" t="str">
        <f t="shared" si="366"/>
        <v>Inconnu</v>
      </c>
      <c r="BO231" s="208" t="str">
        <f t="shared" si="367"/>
        <v>Inconnu</v>
      </c>
      <c r="BP231" s="208" t="str">
        <f t="shared" si="368"/>
        <v>Inconnu</v>
      </c>
      <c r="BQ231" s="208" t="str">
        <f t="shared" si="369"/>
        <v>Inconnu</v>
      </c>
      <c r="BR231" s="208" t="str">
        <f t="shared" si="370"/>
        <v>Aucune</v>
      </c>
      <c r="BS231" s="208">
        <f t="shared" si="371"/>
        <v>0</v>
      </c>
      <c r="BT231" s="229" t="e">
        <f>VLOOKUP($I231,Lieu_Activité!$A:$B,2,FALSE)</f>
        <v>#N/A</v>
      </c>
      <c r="BU231" s="208" t="str">
        <f t="shared" si="372"/>
        <v>Aucun</v>
      </c>
      <c r="BV231" s="208" t="str">
        <f t="shared" si="373"/>
        <v>Aucun</v>
      </c>
      <c r="BW231" s="207" t="str">
        <f t="shared" si="374"/>
        <v>NON</v>
      </c>
      <c r="BX231" s="288"/>
    </row>
    <row r="232" spans="1:76" ht="12" customHeight="1" x14ac:dyDescent="0.25">
      <c r="A232" s="231" t="s">
        <v>257</v>
      </c>
      <c r="B232" s="267"/>
      <c r="C232" s="227"/>
      <c r="D232" s="257"/>
      <c r="E232" s="278">
        <f t="shared" si="350"/>
        <v>0</v>
      </c>
      <c r="F232" s="278" t="str">
        <f t="shared" si="351"/>
        <v xml:space="preserve"> </v>
      </c>
      <c r="G232" s="256"/>
      <c r="H232" s="256"/>
      <c r="I232" s="256"/>
      <c r="J232" s="256"/>
      <c r="K232" s="256"/>
      <c r="L232" s="257"/>
      <c r="M232" s="243"/>
      <c r="N232" s="232"/>
      <c r="O232" s="232"/>
      <c r="P232" s="265" t="str">
        <f>IFERROR(VLOOKUP(O232,Références!$K$11:$N$19,2)," ")</f>
        <v xml:space="preserve"> </v>
      </c>
      <c r="Q232" s="265" t="str">
        <f>IFERROR(VLOOKUP(O232,Références!$K$11:$N$19,3)," ")</f>
        <v xml:space="preserve"> </v>
      </c>
      <c r="R232" s="265" t="str">
        <f>IFERROR(VLOOKUP(O232,Références!$K$11:$N$19,4)," ")</f>
        <v xml:space="preserve"> </v>
      </c>
      <c r="S232" s="256"/>
      <c r="T232" s="256"/>
      <c r="U232" s="256"/>
      <c r="V232" s="256"/>
      <c r="W232" s="256"/>
      <c r="X232" s="257"/>
      <c r="Y232" s="256"/>
      <c r="Z232" s="256"/>
      <c r="AA232" s="256"/>
      <c r="AB232" s="235"/>
      <c r="AC232" s="235"/>
      <c r="AD232" s="235"/>
      <c r="AE232" s="235"/>
      <c r="AF232" s="235"/>
      <c r="AG232" s="235"/>
      <c r="AH232" s="235"/>
      <c r="AI232" s="235">
        <f t="shared" si="352"/>
        <v>0</v>
      </c>
      <c r="AJ232" s="257"/>
      <c r="AK232" s="256">
        <f t="shared" si="353"/>
        <v>0</v>
      </c>
      <c r="AL232" s="257"/>
      <c r="AM232" s="266">
        <f t="shared" si="354"/>
        <v>0</v>
      </c>
      <c r="AN232" s="256"/>
      <c r="AO232" s="276"/>
      <c r="AP232" s="261" t="str">
        <f t="shared" si="227"/>
        <v xml:space="preserve"> </v>
      </c>
      <c r="AQ232" s="256"/>
      <c r="AR232" s="295"/>
      <c r="AS232" s="295"/>
      <c r="AT232" s="263"/>
      <c r="AU232" s="277"/>
      <c r="AV232" s="263"/>
      <c r="AW232" s="230"/>
      <c r="AX232" s="300"/>
      <c r="AY232" s="301"/>
      <c r="AZ232" s="230"/>
      <c r="BA232" s="302" t="s">
        <v>246</v>
      </c>
      <c r="BB232" s="295"/>
      <c r="BC232" s="228">
        <f t="shared" si="355"/>
        <v>0</v>
      </c>
      <c r="BD232" s="228">
        <f t="shared" si="356"/>
        <v>0</v>
      </c>
      <c r="BE232" s="228">
        <f t="shared" si="357"/>
        <v>1</v>
      </c>
      <c r="BF232" s="228" t="str">
        <f t="shared" si="358"/>
        <v>ALIVE</v>
      </c>
      <c r="BG232" s="208" t="str">
        <f t="shared" si="359"/>
        <v>Aucune</v>
      </c>
      <c r="BH232" s="208" t="str">
        <f t="shared" si="360"/>
        <v>Aucune</v>
      </c>
      <c r="BI232" s="208" t="str">
        <f t="shared" si="361"/>
        <v>Aucune</v>
      </c>
      <c r="BJ232" s="208" t="str">
        <f t="shared" si="362"/>
        <v>NON</v>
      </c>
      <c r="BK232" s="208" t="str">
        <f t="shared" si="363"/>
        <v>NON</v>
      </c>
      <c r="BL232" s="208" t="str">
        <f t="shared" si="364"/>
        <v>Inconnu</v>
      </c>
      <c r="BM232" s="208" t="str">
        <f t="shared" si="365"/>
        <v>Inconnu</v>
      </c>
      <c r="BN232" s="208" t="str">
        <f t="shared" si="366"/>
        <v>Inconnu</v>
      </c>
      <c r="BO232" s="208" t="str">
        <f t="shared" si="367"/>
        <v>Inconnu</v>
      </c>
      <c r="BP232" s="208" t="str">
        <f t="shared" si="368"/>
        <v>Inconnu</v>
      </c>
      <c r="BQ232" s="208" t="str">
        <f t="shared" si="369"/>
        <v>Inconnu</v>
      </c>
      <c r="BR232" s="208" t="str">
        <f t="shared" si="370"/>
        <v>Aucune</v>
      </c>
      <c r="BS232" s="208">
        <f t="shared" si="371"/>
        <v>0</v>
      </c>
      <c r="BT232" s="229" t="e">
        <f>VLOOKUP($I232,Lieu_Activité!$A:$B,2,FALSE)</f>
        <v>#N/A</v>
      </c>
      <c r="BU232" s="208" t="str">
        <f t="shared" si="372"/>
        <v>Aucun</v>
      </c>
      <c r="BV232" s="208" t="str">
        <f t="shared" si="373"/>
        <v>Aucun</v>
      </c>
      <c r="BW232" s="207" t="str">
        <f t="shared" si="374"/>
        <v>NON</v>
      </c>
      <c r="BX232" s="288"/>
    </row>
    <row r="233" spans="1:76" ht="12" customHeight="1" x14ac:dyDescent="0.25">
      <c r="A233" s="231" t="s">
        <v>257</v>
      </c>
      <c r="B233" s="234"/>
      <c r="C233" s="227"/>
      <c r="D233" s="257"/>
      <c r="E233" s="278">
        <f t="shared" si="350"/>
        <v>0</v>
      </c>
      <c r="F233" s="278" t="str">
        <f t="shared" si="351"/>
        <v xml:space="preserve"> </v>
      </c>
      <c r="G233" s="256"/>
      <c r="H233" s="256"/>
      <c r="I233" s="256"/>
      <c r="J233" s="256"/>
      <c r="K233" s="256"/>
      <c r="L233" s="257"/>
      <c r="M233" s="243"/>
      <c r="N233" s="232"/>
      <c r="O233" s="273"/>
      <c r="P233" s="265" t="str">
        <f>IFERROR(VLOOKUP(O233,Références!$K$11:$N$19,2)," ")</f>
        <v xml:space="preserve"> </v>
      </c>
      <c r="Q233" s="265" t="str">
        <f>IFERROR(VLOOKUP(O233,Références!$K$11:$N$19,3)," ")</f>
        <v xml:space="preserve"> </v>
      </c>
      <c r="R233" s="265" t="str">
        <f>IFERROR(VLOOKUP(O233,Références!$K$11:$N$19,4)," ")</f>
        <v xml:space="preserve"> </v>
      </c>
      <c r="S233" s="256"/>
      <c r="T233" s="256"/>
      <c r="U233" s="256"/>
      <c r="V233" s="256"/>
      <c r="W233" s="256"/>
      <c r="X233" s="257"/>
      <c r="Y233" s="256"/>
      <c r="Z233" s="256"/>
      <c r="AA233" s="256"/>
      <c r="AB233" s="235"/>
      <c r="AC233" s="235"/>
      <c r="AD233" s="235"/>
      <c r="AE233" s="235"/>
      <c r="AF233" s="235"/>
      <c r="AG233" s="235"/>
      <c r="AH233" s="235"/>
      <c r="AI233" s="235">
        <f t="shared" si="352"/>
        <v>0</v>
      </c>
      <c r="AJ233" s="257"/>
      <c r="AK233" s="256">
        <f t="shared" si="353"/>
        <v>0</v>
      </c>
      <c r="AL233" s="257"/>
      <c r="AM233" s="266">
        <f t="shared" si="354"/>
        <v>0</v>
      </c>
      <c r="AN233" s="256"/>
      <c r="AO233" s="276"/>
      <c r="AP233" s="261" t="str">
        <f t="shared" si="227"/>
        <v xml:space="preserve"> </v>
      </c>
      <c r="AQ233" s="256"/>
      <c r="AR233" s="295"/>
      <c r="AS233" s="295"/>
      <c r="AT233" s="263"/>
      <c r="AU233" s="277"/>
      <c r="AV233" s="263"/>
      <c r="AW233" s="230"/>
      <c r="AX233" s="300"/>
      <c r="AY233" s="301"/>
      <c r="AZ233" s="230"/>
      <c r="BA233" s="300"/>
      <c r="BB233" s="295"/>
      <c r="BC233" s="228">
        <f t="shared" si="355"/>
        <v>0</v>
      </c>
      <c r="BD233" s="228">
        <f t="shared" si="356"/>
        <v>0</v>
      </c>
      <c r="BE233" s="228">
        <f t="shared" si="357"/>
        <v>1</v>
      </c>
      <c r="BF233" s="228" t="str">
        <f t="shared" si="358"/>
        <v>ALIVE</v>
      </c>
      <c r="BG233" s="208" t="str">
        <f t="shared" si="359"/>
        <v>Aucune</v>
      </c>
      <c r="BH233" s="208" t="str">
        <f t="shared" si="360"/>
        <v>Aucune</v>
      </c>
      <c r="BI233" s="208" t="str">
        <f t="shared" si="361"/>
        <v>Aucune</v>
      </c>
      <c r="BJ233" s="208" t="str">
        <f t="shared" si="362"/>
        <v>NON</v>
      </c>
      <c r="BK233" s="208" t="str">
        <f t="shared" si="363"/>
        <v>NON</v>
      </c>
      <c r="BL233" s="208" t="str">
        <f t="shared" si="364"/>
        <v>Inconnu</v>
      </c>
      <c r="BM233" s="208" t="str">
        <f t="shared" si="365"/>
        <v>Inconnu</v>
      </c>
      <c r="BN233" s="208" t="str">
        <f t="shared" si="366"/>
        <v>Inconnu</v>
      </c>
      <c r="BO233" s="208" t="str">
        <f t="shared" si="367"/>
        <v>Inconnu</v>
      </c>
      <c r="BP233" s="208" t="str">
        <f t="shared" si="368"/>
        <v>Inconnu</v>
      </c>
      <c r="BQ233" s="208" t="str">
        <f t="shared" si="369"/>
        <v>Inconnu</v>
      </c>
      <c r="BR233" s="208" t="str">
        <f t="shared" si="370"/>
        <v>Aucune</v>
      </c>
      <c r="BS233" s="208">
        <f t="shared" si="371"/>
        <v>0</v>
      </c>
      <c r="BT233" s="229" t="e">
        <f>VLOOKUP($I233,Lieu_Activité!$A:$B,2,FALSE)</f>
        <v>#N/A</v>
      </c>
      <c r="BU233" s="208" t="str">
        <f t="shared" si="372"/>
        <v>Aucun</v>
      </c>
      <c r="BV233" s="208" t="str">
        <f t="shared" si="373"/>
        <v>Aucun</v>
      </c>
      <c r="BW233" s="207" t="str">
        <f t="shared" si="374"/>
        <v>NON</v>
      </c>
      <c r="BX233" s="288"/>
    </row>
    <row r="234" spans="1:76" ht="12" customHeight="1" x14ac:dyDescent="0.25">
      <c r="A234" s="231" t="s">
        <v>257</v>
      </c>
      <c r="B234" s="234"/>
      <c r="C234" s="227"/>
      <c r="D234" s="257"/>
      <c r="E234" s="278">
        <f t="shared" si="326"/>
        <v>0</v>
      </c>
      <c r="F234" s="278" t="str">
        <f t="shared" si="226"/>
        <v xml:space="preserve"> </v>
      </c>
      <c r="G234" s="256"/>
      <c r="H234" s="256"/>
      <c r="I234" s="256"/>
      <c r="J234" s="256"/>
      <c r="K234" s="256"/>
      <c r="L234" s="257"/>
      <c r="M234" s="243"/>
      <c r="N234" s="232"/>
      <c r="O234" s="272"/>
      <c r="P234" s="265" t="str">
        <f>IFERROR(VLOOKUP(O234,Références!$K$11:$N$19,2)," ")</f>
        <v xml:space="preserve"> </v>
      </c>
      <c r="Q234" s="265" t="str">
        <f>IFERROR(VLOOKUP(O234,Références!$K$11:$N$19,3)," ")</f>
        <v xml:space="preserve"> </v>
      </c>
      <c r="R234" s="265" t="str">
        <f>IFERROR(VLOOKUP(O234,Références!$K$11:$N$19,4)," ")</f>
        <v xml:space="preserve"> </v>
      </c>
      <c r="S234" s="256"/>
      <c r="T234" s="256"/>
      <c r="U234" s="256"/>
      <c r="V234" s="256"/>
      <c r="W234" s="256"/>
      <c r="X234" s="257"/>
      <c r="Y234" s="256"/>
      <c r="Z234" s="256"/>
      <c r="AA234" s="256"/>
      <c r="AB234" s="235"/>
      <c r="AC234" s="235"/>
      <c r="AD234" s="235"/>
      <c r="AE234" s="235"/>
      <c r="AF234" s="235"/>
      <c r="AG234" s="235"/>
      <c r="AH234" s="235"/>
      <c r="AI234" s="235">
        <f t="shared" si="327"/>
        <v>0</v>
      </c>
      <c r="AJ234" s="257"/>
      <c r="AK234" s="256">
        <f t="shared" si="328"/>
        <v>0</v>
      </c>
      <c r="AL234" s="257"/>
      <c r="AM234" s="266">
        <f t="shared" si="329"/>
        <v>0</v>
      </c>
      <c r="AN234" s="256"/>
      <c r="AO234" s="276"/>
      <c r="AP234" s="261" t="str">
        <f t="shared" si="227"/>
        <v xml:space="preserve"> </v>
      </c>
      <c r="AQ234" s="256"/>
      <c r="AR234" s="295"/>
      <c r="AS234" s="295"/>
      <c r="AT234" s="263"/>
      <c r="AU234" s="277"/>
      <c r="AV234" s="263"/>
      <c r="AW234" s="230"/>
      <c r="AX234" s="300"/>
      <c r="AY234" s="301"/>
      <c r="AZ234" s="300"/>
      <c r="BA234" s="300"/>
      <c r="BB234" s="295"/>
      <c r="BC234" s="228">
        <f t="shared" si="330"/>
        <v>0</v>
      </c>
      <c r="BD234" s="228">
        <f t="shared" si="331"/>
        <v>0</v>
      </c>
      <c r="BE234" s="228">
        <f t="shared" si="332"/>
        <v>1</v>
      </c>
      <c r="BF234" s="228" t="str">
        <f t="shared" si="333"/>
        <v>ALIVE</v>
      </c>
      <c r="BG234" s="208" t="str">
        <f t="shared" si="334"/>
        <v>Aucune</v>
      </c>
      <c r="BH234" s="208" t="str">
        <f t="shared" si="335"/>
        <v>Aucune</v>
      </c>
      <c r="BI234" s="208" t="str">
        <f t="shared" si="336"/>
        <v>Aucune</v>
      </c>
      <c r="BJ234" s="208" t="str">
        <f t="shared" si="337"/>
        <v>NON</v>
      </c>
      <c r="BK234" s="208" t="str">
        <f t="shared" si="338"/>
        <v>NON</v>
      </c>
      <c r="BL234" s="208" t="str">
        <f t="shared" si="339"/>
        <v>Inconnu</v>
      </c>
      <c r="BM234" s="208" t="str">
        <f t="shared" si="340"/>
        <v>Inconnu</v>
      </c>
      <c r="BN234" s="208" t="str">
        <f t="shared" si="341"/>
        <v>Inconnu</v>
      </c>
      <c r="BO234" s="208" t="str">
        <f t="shared" si="342"/>
        <v>Inconnu</v>
      </c>
      <c r="BP234" s="208" t="str">
        <f t="shared" si="343"/>
        <v>Inconnu</v>
      </c>
      <c r="BQ234" s="208" t="str">
        <f t="shared" si="344"/>
        <v>Inconnu</v>
      </c>
      <c r="BR234" s="208" t="str">
        <f t="shared" si="345"/>
        <v>Aucune</v>
      </c>
      <c r="BS234" s="208">
        <f t="shared" si="346"/>
        <v>0</v>
      </c>
      <c r="BT234" s="229" t="e">
        <f>VLOOKUP($I234,Lieu_Activité!$A:$B,2,FALSE)</f>
        <v>#N/A</v>
      </c>
      <c r="BU234" s="208" t="str">
        <f t="shared" si="347"/>
        <v>Aucun</v>
      </c>
      <c r="BV234" s="208" t="str">
        <f t="shared" si="348"/>
        <v>Aucun</v>
      </c>
      <c r="BW234" s="207" t="str">
        <f t="shared" si="349"/>
        <v>NON</v>
      </c>
      <c r="BX234" s="288"/>
    </row>
    <row r="235" spans="1:76" ht="12.75" customHeight="1" x14ac:dyDescent="0.25">
      <c r="A235" s="231" t="s">
        <v>257</v>
      </c>
      <c r="B235" s="234"/>
      <c r="C235" s="227"/>
      <c r="D235" s="257"/>
      <c r="E235" s="278">
        <f t="shared" si="326"/>
        <v>0</v>
      </c>
      <c r="F235" s="278" t="str">
        <f t="shared" si="226"/>
        <v xml:space="preserve"> </v>
      </c>
      <c r="G235" s="256"/>
      <c r="H235" s="256"/>
      <c r="I235" s="256"/>
      <c r="J235" s="256"/>
      <c r="K235" s="256"/>
      <c r="L235" s="257"/>
      <c r="M235" s="243"/>
      <c r="N235" s="232"/>
      <c r="O235" s="232"/>
      <c r="P235" s="265" t="str">
        <f>IFERROR(VLOOKUP(O235,Références!$K$11:$N$19,2)," ")</f>
        <v xml:space="preserve"> </v>
      </c>
      <c r="Q235" s="265" t="str">
        <f>IFERROR(VLOOKUP(O235,Références!$K$11:$N$19,3)," ")</f>
        <v xml:space="preserve"> </v>
      </c>
      <c r="R235" s="265" t="str">
        <f>IFERROR(VLOOKUP(O235,Références!$K$11:$N$19,4)," ")</f>
        <v xml:space="preserve"> </v>
      </c>
      <c r="S235" s="256"/>
      <c r="T235" s="256"/>
      <c r="U235" s="256"/>
      <c r="V235" s="256"/>
      <c r="W235" s="256"/>
      <c r="X235" s="257"/>
      <c r="Y235" s="256"/>
      <c r="Z235" s="256"/>
      <c r="AA235" s="256"/>
      <c r="AB235" s="235"/>
      <c r="AC235" s="235"/>
      <c r="AD235" s="235"/>
      <c r="AE235" s="235"/>
      <c r="AF235" s="235"/>
      <c r="AG235" s="235"/>
      <c r="AH235" s="235"/>
      <c r="AI235" s="235">
        <f t="shared" si="327"/>
        <v>0</v>
      </c>
      <c r="AJ235" s="257"/>
      <c r="AK235" s="256">
        <f t="shared" si="328"/>
        <v>0</v>
      </c>
      <c r="AL235" s="257"/>
      <c r="AM235" s="266">
        <f t="shared" si="329"/>
        <v>0</v>
      </c>
      <c r="AN235" s="256"/>
      <c r="AO235" s="276"/>
      <c r="AP235" s="261" t="str">
        <f t="shared" si="227"/>
        <v xml:space="preserve"> </v>
      </c>
      <c r="AQ235" s="256"/>
      <c r="AR235" s="295"/>
      <c r="AS235" s="295"/>
      <c r="AT235" s="263"/>
      <c r="AU235" s="277"/>
      <c r="AV235" s="263"/>
      <c r="AW235" s="230"/>
      <c r="AX235" s="300"/>
      <c r="AY235" s="301"/>
      <c r="AZ235" s="230"/>
      <c r="BA235" s="300"/>
      <c r="BB235" s="295"/>
      <c r="BC235" s="228">
        <f t="shared" si="330"/>
        <v>0</v>
      </c>
      <c r="BD235" s="228">
        <f t="shared" si="331"/>
        <v>0</v>
      </c>
      <c r="BE235" s="228">
        <f t="shared" si="332"/>
        <v>1</v>
      </c>
      <c r="BF235" s="228" t="str">
        <f t="shared" si="333"/>
        <v>ALIVE</v>
      </c>
      <c r="BG235" s="208" t="str">
        <f t="shared" si="334"/>
        <v>Aucune</v>
      </c>
      <c r="BH235" s="208" t="str">
        <f t="shared" si="335"/>
        <v>Aucune</v>
      </c>
      <c r="BI235" s="208" t="str">
        <f t="shared" si="336"/>
        <v>Aucune</v>
      </c>
      <c r="BJ235" s="208" t="str">
        <f t="shared" si="337"/>
        <v>NON</v>
      </c>
      <c r="BK235" s="208" t="str">
        <f t="shared" si="338"/>
        <v>NON</v>
      </c>
      <c r="BL235" s="208" t="str">
        <f t="shared" si="339"/>
        <v>Inconnu</v>
      </c>
      <c r="BM235" s="208" t="str">
        <f t="shared" si="340"/>
        <v>Inconnu</v>
      </c>
      <c r="BN235" s="208" t="str">
        <f t="shared" si="341"/>
        <v>Inconnu</v>
      </c>
      <c r="BO235" s="208" t="str">
        <f t="shared" si="342"/>
        <v>Inconnu</v>
      </c>
      <c r="BP235" s="208" t="str">
        <f t="shared" si="343"/>
        <v>Inconnu</v>
      </c>
      <c r="BQ235" s="208" t="str">
        <f t="shared" si="344"/>
        <v>Inconnu</v>
      </c>
      <c r="BR235" s="208" t="str">
        <f t="shared" si="345"/>
        <v>Aucune</v>
      </c>
      <c r="BS235" s="208">
        <f t="shared" si="346"/>
        <v>0</v>
      </c>
      <c r="BT235" s="229" t="e">
        <f>VLOOKUP($I235,Lieu_Activité!$A:$B,2,FALSE)</f>
        <v>#N/A</v>
      </c>
      <c r="BU235" s="208" t="str">
        <f t="shared" si="347"/>
        <v>Aucun</v>
      </c>
      <c r="BV235" s="208" t="str">
        <f t="shared" si="348"/>
        <v>Aucun</v>
      </c>
      <c r="BW235" s="207" t="str">
        <f t="shared" si="349"/>
        <v>NON</v>
      </c>
      <c r="BX235" s="288"/>
    </row>
    <row r="236" spans="1:76" ht="12" customHeight="1" x14ac:dyDescent="0.25">
      <c r="A236" s="231" t="s">
        <v>257</v>
      </c>
      <c r="B236" s="234"/>
      <c r="C236" s="227"/>
      <c r="D236" s="257"/>
      <c r="E236" s="278">
        <f t="shared" si="326"/>
        <v>0</v>
      </c>
      <c r="F236" s="278" t="str">
        <f t="shared" si="226"/>
        <v xml:space="preserve"> </v>
      </c>
      <c r="G236" s="256"/>
      <c r="H236" s="256"/>
      <c r="I236" s="256"/>
      <c r="J236" s="256"/>
      <c r="K236" s="256"/>
      <c r="L236" s="257"/>
      <c r="M236" s="243"/>
      <c r="N236" s="232"/>
      <c r="O236" s="265"/>
      <c r="P236" s="265" t="str">
        <f>IFERROR(VLOOKUP(O236,Références!$K$11:$N$19,2)," ")</f>
        <v xml:space="preserve"> </v>
      </c>
      <c r="Q236" s="265" t="str">
        <f>IFERROR(VLOOKUP(O236,Références!$K$11:$N$19,3)," ")</f>
        <v xml:space="preserve"> </v>
      </c>
      <c r="R236" s="265" t="str">
        <f>IFERROR(VLOOKUP(O236,Références!$K$11:$N$19,4)," ")</f>
        <v xml:space="preserve"> </v>
      </c>
      <c r="S236" s="256"/>
      <c r="T236" s="256"/>
      <c r="U236" s="256"/>
      <c r="V236" s="256"/>
      <c r="W236" s="256"/>
      <c r="X236" s="257"/>
      <c r="Y236" s="256"/>
      <c r="Z236" s="256"/>
      <c r="AA236" s="256"/>
      <c r="AB236" s="235"/>
      <c r="AC236" s="235"/>
      <c r="AD236" s="235"/>
      <c r="AE236" s="235"/>
      <c r="AF236" s="235"/>
      <c r="AG236" s="235"/>
      <c r="AH236" s="235"/>
      <c r="AI236" s="235">
        <f t="shared" si="327"/>
        <v>0</v>
      </c>
      <c r="AJ236" s="257"/>
      <c r="AK236" s="256">
        <f t="shared" si="328"/>
        <v>0</v>
      </c>
      <c r="AL236" s="257"/>
      <c r="AM236" s="266">
        <f t="shared" si="329"/>
        <v>0</v>
      </c>
      <c r="AN236" s="256"/>
      <c r="AO236" s="276"/>
      <c r="AP236" s="261" t="str">
        <f t="shared" si="227"/>
        <v xml:space="preserve"> </v>
      </c>
      <c r="AQ236" s="256"/>
      <c r="AR236" s="295"/>
      <c r="AS236" s="295"/>
      <c r="AT236" s="263"/>
      <c r="AU236" s="277"/>
      <c r="AV236" s="263"/>
      <c r="AW236" s="230"/>
      <c r="AX236" s="300"/>
      <c r="AY236" s="301"/>
      <c r="AZ236" s="230"/>
      <c r="BA236" s="300"/>
      <c r="BB236" s="295"/>
      <c r="BC236" s="228">
        <f t="shared" si="330"/>
        <v>0</v>
      </c>
      <c r="BD236" s="228">
        <f t="shared" si="331"/>
        <v>0</v>
      </c>
      <c r="BE236" s="228">
        <f t="shared" si="332"/>
        <v>1</v>
      </c>
      <c r="BF236" s="228" t="str">
        <f t="shared" si="333"/>
        <v>ALIVE</v>
      </c>
      <c r="BG236" s="208" t="str">
        <f t="shared" si="334"/>
        <v>Aucune</v>
      </c>
      <c r="BH236" s="208" t="str">
        <f t="shared" si="335"/>
        <v>Aucune</v>
      </c>
      <c r="BI236" s="208" t="str">
        <f t="shared" si="336"/>
        <v>Aucune</v>
      </c>
      <c r="BJ236" s="208" t="str">
        <f t="shared" si="337"/>
        <v>NON</v>
      </c>
      <c r="BK236" s="208" t="str">
        <f t="shared" si="338"/>
        <v>NON</v>
      </c>
      <c r="BL236" s="208" t="str">
        <f t="shared" si="339"/>
        <v>Inconnu</v>
      </c>
      <c r="BM236" s="208" t="str">
        <f t="shared" si="340"/>
        <v>Inconnu</v>
      </c>
      <c r="BN236" s="208" t="str">
        <f t="shared" si="341"/>
        <v>Inconnu</v>
      </c>
      <c r="BO236" s="208" t="str">
        <f t="shared" si="342"/>
        <v>Inconnu</v>
      </c>
      <c r="BP236" s="208" t="str">
        <f t="shared" si="343"/>
        <v>Inconnu</v>
      </c>
      <c r="BQ236" s="208" t="str">
        <f t="shared" si="344"/>
        <v>Inconnu</v>
      </c>
      <c r="BR236" s="208" t="str">
        <f t="shared" si="345"/>
        <v>Aucune</v>
      </c>
      <c r="BS236" s="208">
        <f t="shared" si="346"/>
        <v>0</v>
      </c>
      <c r="BT236" s="229" t="e">
        <f>VLOOKUP($I236,Lieu_Activité!$A:$B,2,FALSE)</f>
        <v>#N/A</v>
      </c>
      <c r="BU236" s="208" t="str">
        <f t="shared" si="347"/>
        <v>Aucun</v>
      </c>
      <c r="BV236" s="208" t="str">
        <f t="shared" si="348"/>
        <v>Aucun</v>
      </c>
      <c r="BW236" s="207" t="str">
        <f t="shared" si="349"/>
        <v>NON</v>
      </c>
      <c r="BX236" s="288"/>
    </row>
    <row r="237" spans="1:76" ht="12" customHeight="1" x14ac:dyDescent="0.25">
      <c r="A237" s="231" t="s">
        <v>257</v>
      </c>
      <c r="B237" s="234"/>
      <c r="C237" s="227"/>
      <c r="D237" s="257"/>
      <c r="E237" s="278">
        <f t="shared" si="326"/>
        <v>0</v>
      </c>
      <c r="F237" s="278" t="str">
        <f t="shared" si="226"/>
        <v xml:space="preserve"> </v>
      </c>
      <c r="G237" s="256"/>
      <c r="H237" s="256"/>
      <c r="I237" s="256"/>
      <c r="J237" s="256"/>
      <c r="K237" s="256"/>
      <c r="L237" s="257"/>
      <c r="M237" s="243"/>
      <c r="N237" s="232"/>
      <c r="O237" s="232"/>
      <c r="P237" s="265" t="str">
        <f>IFERROR(VLOOKUP(O237,Références!$K$11:$N$19,2)," ")</f>
        <v xml:space="preserve"> </v>
      </c>
      <c r="Q237" s="265" t="str">
        <f>IFERROR(VLOOKUP(O237,Références!$K$11:$N$19,3)," ")</f>
        <v xml:space="preserve"> </v>
      </c>
      <c r="R237" s="265" t="str">
        <f>IFERROR(VLOOKUP(O237,Références!$K$11:$N$19,4)," ")</f>
        <v xml:space="preserve"> </v>
      </c>
      <c r="S237" s="256"/>
      <c r="T237" s="256"/>
      <c r="U237" s="256"/>
      <c r="V237" s="256"/>
      <c r="W237" s="256"/>
      <c r="X237" s="257"/>
      <c r="Y237" s="256"/>
      <c r="Z237" s="256"/>
      <c r="AA237" s="256"/>
      <c r="AB237" s="235"/>
      <c r="AC237" s="235"/>
      <c r="AD237" s="235"/>
      <c r="AE237" s="235"/>
      <c r="AF237" s="235"/>
      <c r="AG237" s="235"/>
      <c r="AH237" s="235"/>
      <c r="AI237" s="235">
        <f t="shared" si="327"/>
        <v>0</v>
      </c>
      <c r="AJ237" s="257"/>
      <c r="AK237" s="256">
        <f t="shared" si="328"/>
        <v>0</v>
      </c>
      <c r="AL237" s="257"/>
      <c r="AM237" s="266">
        <f t="shared" si="329"/>
        <v>0</v>
      </c>
      <c r="AN237" s="256"/>
      <c r="AO237" s="276"/>
      <c r="AP237" s="261" t="str">
        <f t="shared" si="227"/>
        <v xml:space="preserve"> </v>
      </c>
      <c r="AQ237" s="256"/>
      <c r="AR237" s="295"/>
      <c r="AS237" s="295"/>
      <c r="AT237" s="263"/>
      <c r="AU237" s="277"/>
      <c r="AV237" s="263"/>
      <c r="AW237" s="230"/>
      <c r="AX237" s="300"/>
      <c r="AY237" s="301"/>
      <c r="AZ237" s="230"/>
      <c r="BA237" s="300"/>
      <c r="BB237" s="295"/>
      <c r="BC237" s="228">
        <f t="shared" si="330"/>
        <v>0</v>
      </c>
      <c r="BD237" s="228">
        <f t="shared" si="331"/>
        <v>0</v>
      </c>
      <c r="BE237" s="228">
        <f t="shared" si="332"/>
        <v>1</v>
      </c>
      <c r="BF237" s="228" t="str">
        <f t="shared" si="333"/>
        <v>ALIVE</v>
      </c>
      <c r="BG237" s="208" t="str">
        <f t="shared" si="334"/>
        <v>Aucune</v>
      </c>
      <c r="BH237" s="208" t="str">
        <f t="shared" si="335"/>
        <v>Aucune</v>
      </c>
      <c r="BI237" s="208" t="str">
        <f t="shared" si="336"/>
        <v>Aucune</v>
      </c>
      <c r="BJ237" s="208" t="str">
        <f t="shared" si="337"/>
        <v>NON</v>
      </c>
      <c r="BK237" s="208" t="str">
        <f t="shared" si="338"/>
        <v>NON</v>
      </c>
      <c r="BL237" s="208" t="str">
        <f t="shared" si="339"/>
        <v>Inconnu</v>
      </c>
      <c r="BM237" s="208" t="str">
        <f t="shared" si="340"/>
        <v>Inconnu</v>
      </c>
      <c r="BN237" s="208" t="str">
        <f t="shared" si="341"/>
        <v>Inconnu</v>
      </c>
      <c r="BO237" s="208" t="str">
        <f t="shared" si="342"/>
        <v>Inconnu</v>
      </c>
      <c r="BP237" s="208" t="str">
        <f t="shared" si="343"/>
        <v>Inconnu</v>
      </c>
      <c r="BQ237" s="208" t="str">
        <f t="shared" si="344"/>
        <v>Inconnu</v>
      </c>
      <c r="BR237" s="208" t="str">
        <f t="shared" si="345"/>
        <v>Aucune</v>
      </c>
      <c r="BS237" s="208">
        <f t="shared" si="346"/>
        <v>0</v>
      </c>
      <c r="BT237" s="229" t="e">
        <f>VLOOKUP($I237,Lieu_Activité!$A:$B,2,FALSE)</f>
        <v>#N/A</v>
      </c>
      <c r="BU237" s="208" t="str">
        <f t="shared" si="347"/>
        <v>Aucun</v>
      </c>
      <c r="BV237" s="208" t="str">
        <f t="shared" si="348"/>
        <v>Aucun</v>
      </c>
      <c r="BW237" s="207" t="str">
        <f t="shared" si="349"/>
        <v>NON</v>
      </c>
      <c r="BX237" s="288"/>
    </row>
    <row r="238" spans="1:76" ht="12.75" customHeight="1" x14ac:dyDescent="0.25">
      <c r="A238" s="231" t="s">
        <v>257</v>
      </c>
      <c r="B238" s="234"/>
      <c r="C238" s="227"/>
      <c r="D238" s="257"/>
      <c r="E238" s="278">
        <f t="shared" si="326"/>
        <v>0</v>
      </c>
      <c r="F238" s="278" t="str">
        <f t="shared" si="226"/>
        <v xml:space="preserve"> </v>
      </c>
      <c r="G238" s="256"/>
      <c r="H238" s="256"/>
      <c r="I238" s="256"/>
      <c r="J238" s="256"/>
      <c r="K238" s="256"/>
      <c r="L238" s="257"/>
      <c r="M238" s="243"/>
      <c r="N238" s="232"/>
      <c r="O238" s="232"/>
      <c r="P238" s="265" t="str">
        <f>IFERROR(VLOOKUP(O238,Références!$K$11:$N$19,2)," ")</f>
        <v xml:space="preserve"> </v>
      </c>
      <c r="Q238" s="265" t="str">
        <f>IFERROR(VLOOKUP(O238,Références!$K$11:$N$19,3)," ")</f>
        <v xml:space="preserve"> </v>
      </c>
      <c r="R238" s="265" t="str">
        <f>IFERROR(VLOOKUP(O238,Références!$K$11:$N$19,4)," ")</f>
        <v xml:space="preserve"> </v>
      </c>
      <c r="S238" s="256"/>
      <c r="T238" s="256"/>
      <c r="U238" s="256"/>
      <c r="V238" s="256"/>
      <c r="W238" s="256"/>
      <c r="X238" s="257"/>
      <c r="Y238" s="256"/>
      <c r="Z238" s="256"/>
      <c r="AA238" s="256"/>
      <c r="AB238" s="235"/>
      <c r="AC238" s="235"/>
      <c r="AD238" s="235"/>
      <c r="AE238" s="235"/>
      <c r="AF238" s="235"/>
      <c r="AG238" s="235"/>
      <c r="AH238" s="235"/>
      <c r="AI238" s="235">
        <f t="shared" si="327"/>
        <v>0</v>
      </c>
      <c r="AJ238" s="257"/>
      <c r="AK238" s="256">
        <f t="shared" si="328"/>
        <v>0</v>
      </c>
      <c r="AL238" s="257"/>
      <c r="AM238" s="266">
        <f t="shared" si="329"/>
        <v>0</v>
      </c>
      <c r="AN238" s="256"/>
      <c r="AO238" s="276"/>
      <c r="AP238" s="261" t="str">
        <f t="shared" si="227"/>
        <v xml:space="preserve"> </v>
      </c>
      <c r="AQ238" s="256"/>
      <c r="AR238" s="295"/>
      <c r="AS238" s="295"/>
      <c r="AT238" s="263"/>
      <c r="AU238" s="277"/>
      <c r="AV238" s="263"/>
      <c r="AW238" s="230"/>
      <c r="AX238" s="300"/>
      <c r="AY238" s="301"/>
      <c r="AZ238" s="300"/>
      <c r="BA238" s="300"/>
      <c r="BB238" s="295"/>
      <c r="BC238" s="228">
        <f t="shared" si="330"/>
        <v>0</v>
      </c>
      <c r="BD238" s="228">
        <f t="shared" si="331"/>
        <v>0</v>
      </c>
      <c r="BE238" s="228">
        <f t="shared" si="332"/>
        <v>1</v>
      </c>
      <c r="BF238" s="228" t="str">
        <f t="shared" si="333"/>
        <v>ALIVE</v>
      </c>
      <c r="BG238" s="208" t="str">
        <f t="shared" si="334"/>
        <v>Aucune</v>
      </c>
      <c r="BH238" s="208" t="str">
        <f t="shared" si="335"/>
        <v>Aucune</v>
      </c>
      <c r="BI238" s="208" t="str">
        <f t="shared" si="336"/>
        <v>Aucune</v>
      </c>
      <c r="BJ238" s="208" t="str">
        <f t="shared" si="337"/>
        <v>NON</v>
      </c>
      <c r="BK238" s="208" t="str">
        <f t="shared" si="338"/>
        <v>NON</v>
      </c>
      <c r="BL238" s="208" t="str">
        <f t="shared" si="339"/>
        <v>Inconnu</v>
      </c>
      <c r="BM238" s="208" t="str">
        <f t="shared" si="340"/>
        <v>Inconnu</v>
      </c>
      <c r="BN238" s="208" t="str">
        <f t="shared" si="341"/>
        <v>Inconnu</v>
      </c>
      <c r="BO238" s="208" t="str">
        <f t="shared" si="342"/>
        <v>Inconnu</v>
      </c>
      <c r="BP238" s="208" t="str">
        <f t="shared" si="343"/>
        <v>Inconnu</v>
      </c>
      <c r="BQ238" s="208" t="str">
        <f t="shared" si="344"/>
        <v>Inconnu</v>
      </c>
      <c r="BR238" s="208" t="str">
        <f t="shared" si="345"/>
        <v>Aucune</v>
      </c>
      <c r="BS238" s="208">
        <f t="shared" si="346"/>
        <v>0</v>
      </c>
      <c r="BT238" s="229" t="e">
        <f>VLOOKUP($I238,Lieu_Activité!$A:$B,2,FALSE)</f>
        <v>#N/A</v>
      </c>
      <c r="BU238" s="208" t="str">
        <f t="shared" si="347"/>
        <v>Aucun</v>
      </c>
      <c r="BV238" s="208" t="str">
        <f t="shared" si="348"/>
        <v>Aucun</v>
      </c>
      <c r="BW238" s="207" t="str">
        <f t="shared" si="349"/>
        <v>NON</v>
      </c>
      <c r="BX238" s="288"/>
    </row>
    <row r="239" spans="1:76" ht="12" customHeight="1" x14ac:dyDescent="0.25">
      <c r="A239" s="231" t="s">
        <v>257</v>
      </c>
      <c r="B239" s="234"/>
      <c r="C239" s="227"/>
      <c r="D239" s="257"/>
      <c r="E239" s="278">
        <f t="shared" si="326"/>
        <v>0</v>
      </c>
      <c r="F239" s="278" t="str">
        <f t="shared" si="226"/>
        <v xml:space="preserve"> </v>
      </c>
      <c r="G239" s="256"/>
      <c r="H239" s="256"/>
      <c r="I239" s="256"/>
      <c r="J239" s="256"/>
      <c r="K239" s="256"/>
      <c r="L239" s="257"/>
      <c r="M239" s="243"/>
      <c r="N239" s="232"/>
      <c r="O239" s="232"/>
      <c r="P239" s="265" t="str">
        <f>IFERROR(VLOOKUP(O239,Références!$K$11:$N$19,2)," ")</f>
        <v xml:space="preserve"> </v>
      </c>
      <c r="Q239" s="265" t="str">
        <f>IFERROR(VLOOKUP(O239,Références!$K$11:$N$19,3)," ")</f>
        <v xml:space="preserve"> </v>
      </c>
      <c r="R239" s="265" t="str">
        <f>IFERROR(VLOOKUP(O239,Références!$K$11:$N$19,4)," ")</f>
        <v xml:space="preserve"> </v>
      </c>
      <c r="S239" s="256"/>
      <c r="T239" s="256"/>
      <c r="U239" s="256"/>
      <c r="V239" s="256"/>
      <c r="W239" s="256"/>
      <c r="X239" s="257"/>
      <c r="Y239" s="256"/>
      <c r="Z239" s="256"/>
      <c r="AA239" s="256"/>
      <c r="AB239" s="235"/>
      <c r="AC239" s="235"/>
      <c r="AD239" s="235"/>
      <c r="AE239" s="235"/>
      <c r="AF239" s="235"/>
      <c r="AG239" s="235"/>
      <c r="AH239" s="235"/>
      <c r="AI239" s="235">
        <f t="shared" si="327"/>
        <v>0</v>
      </c>
      <c r="AJ239" s="257"/>
      <c r="AK239" s="256">
        <f t="shared" si="328"/>
        <v>0</v>
      </c>
      <c r="AL239" s="257"/>
      <c r="AM239" s="266">
        <f t="shared" si="329"/>
        <v>0</v>
      </c>
      <c r="AN239" s="256"/>
      <c r="AO239" s="276"/>
      <c r="AP239" s="261" t="str">
        <f t="shared" si="227"/>
        <v xml:space="preserve"> </v>
      </c>
      <c r="AQ239" s="256"/>
      <c r="AR239" s="295"/>
      <c r="AS239" s="295"/>
      <c r="AT239" s="263"/>
      <c r="AU239" s="277"/>
      <c r="AV239" s="263"/>
      <c r="AW239" s="230"/>
      <c r="AX239" s="300"/>
      <c r="AY239" s="301"/>
      <c r="AZ239" s="230"/>
      <c r="BA239" s="300"/>
      <c r="BB239" s="295"/>
      <c r="BC239" s="228">
        <f t="shared" si="330"/>
        <v>0</v>
      </c>
      <c r="BD239" s="228">
        <f t="shared" si="331"/>
        <v>0</v>
      </c>
      <c r="BE239" s="228">
        <f t="shared" si="332"/>
        <v>1</v>
      </c>
      <c r="BF239" s="228" t="str">
        <f t="shared" si="333"/>
        <v>ALIVE</v>
      </c>
      <c r="BG239" s="208" t="str">
        <f t="shared" si="334"/>
        <v>Aucune</v>
      </c>
      <c r="BH239" s="208" t="str">
        <f t="shared" si="335"/>
        <v>Aucune</v>
      </c>
      <c r="BI239" s="208" t="str">
        <f t="shared" si="336"/>
        <v>Aucune</v>
      </c>
      <c r="BJ239" s="208" t="str">
        <f t="shared" si="337"/>
        <v>NON</v>
      </c>
      <c r="BK239" s="208" t="str">
        <f t="shared" si="338"/>
        <v>NON</v>
      </c>
      <c r="BL239" s="208" t="str">
        <f t="shared" si="339"/>
        <v>Inconnu</v>
      </c>
      <c r="BM239" s="208" t="str">
        <f t="shared" si="340"/>
        <v>Inconnu</v>
      </c>
      <c r="BN239" s="208" t="str">
        <f t="shared" si="341"/>
        <v>Inconnu</v>
      </c>
      <c r="BO239" s="208" t="str">
        <f t="shared" si="342"/>
        <v>Inconnu</v>
      </c>
      <c r="BP239" s="208" t="str">
        <f t="shared" si="343"/>
        <v>Inconnu</v>
      </c>
      <c r="BQ239" s="208" t="str">
        <f t="shared" si="344"/>
        <v>Inconnu</v>
      </c>
      <c r="BR239" s="208" t="str">
        <f t="shared" si="345"/>
        <v>Aucune</v>
      </c>
      <c r="BS239" s="208">
        <f t="shared" si="346"/>
        <v>0</v>
      </c>
      <c r="BT239" s="229" t="e">
        <f>VLOOKUP($I239,Lieu_Activité!$A:$B,2,FALSE)</f>
        <v>#N/A</v>
      </c>
      <c r="BU239" s="208" t="str">
        <f t="shared" si="347"/>
        <v>Aucun</v>
      </c>
      <c r="BV239" s="208" t="str">
        <f t="shared" si="348"/>
        <v>Aucun</v>
      </c>
      <c r="BW239" s="207" t="str">
        <f t="shared" si="349"/>
        <v>NON</v>
      </c>
      <c r="BX239" s="288"/>
    </row>
    <row r="240" spans="1:76" ht="12" customHeight="1" x14ac:dyDescent="0.25">
      <c r="A240" s="231" t="s">
        <v>257</v>
      </c>
      <c r="B240" s="234"/>
      <c r="C240" s="227"/>
      <c r="D240" s="257"/>
      <c r="E240" s="278">
        <f t="shared" si="326"/>
        <v>0</v>
      </c>
      <c r="F240" s="278" t="str">
        <f t="shared" si="226"/>
        <v xml:space="preserve"> </v>
      </c>
      <c r="G240" s="256"/>
      <c r="H240" s="256"/>
      <c r="I240" s="256"/>
      <c r="J240" s="256"/>
      <c r="K240" s="256"/>
      <c r="L240" s="257"/>
      <c r="M240" s="243"/>
      <c r="N240" s="232"/>
      <c r="O240" s="232"/>
      <c r="P240" s="265" t="str">
        <f>IFERROR(VLOOKUP(O240,Références!$K$11:$N$19,2)," ")</f>
        <v xml:space="preserve"> </v>
      </c>
      <c r="Q240" s="265" t="str">
        <f>IFERROR(VLOOKUP(O240,Références!$K$11:$N$19,3)," ")</f>
        <v xml:space="preserve"> </v>
      </c>
      <c r="R240" s="265" t="str">
        <f>IFERROR(VLOOKUP(O240,Références!$K$11:$N$19,4)," ")</f>
        <v xml:space="preserve"> </v>
      </c>
      <c r="S240" s="256"/>
      <c r="T240" s="256"/>
      <c r="U240" s="256"/>
      <c r="V240" s="256"/>
      <c r="W240" s="256"/>
      <c r="X240" s="257"/>
      <c r="Y240" s="256"/>
      <c r="Z240" s="256"/>
      <c r="AA240" s="256"/>
      <c r="AB240" s="235"/>
      <c r="AC240" s="235"/>
      <c r="AD240" s="235"/>
      <c r="AE240" s="235"/>
      <c r="AF240" s="235"/>
      <c r="AG240" s="235"/>
      <c r="AH240" s="235"/>
      <c r="AI240" s="235">
        <f t="shared" si="327"/>
        <v>0</v>
      </c>
      <c r="AJ240" s="257"/>
      <c r="AK240" s="256">
        <f t="shared" si="328"/>
        <v>0</v>
      </c>
      <c r="AL240" s="257"/>
      <c r="AM240" s="266">
        <f t="shared" si="329"/>
        <v>0</v>
      </c>
      <c r="AN240" s="256"/>
      <c r="AO240" s="276"/>
      <c r="AP240" s="261" t="str">
        <f t="shared" si="227"/>
        <v xml:space="preserve"> </v>
      </c>
      <c r="AQ240" s="256"/>
      <c r="AR240" s="295"/>
      <c r="AS240" s="295"/>
      <c r="AT240" s="263"/>
      <c r="AU240" s="277"/>
      <c r="AV240" s="263"/>
      <c r="AW240" s="230"/>
      <c r="AX240" s="300"/>
      <c r="AY240" s="301"/>
      <c r="AZ240" s="230"/>
      <c r="BA240" s="300"/>
      <c r="BB240" s="295"/>
      <c r="BC240" s="228">
        <f t="shared" si="330"/>
        <v>0</v>
      </c>
      <c r="BD240" s="228">
        <f t="shared" si="331"/>
        <v>0</v>
      </c>
      <c r="BE240" s="228">
        <f t="shared" si="332"/>
        <v>1</v>
      </c>
      <c r="BF240" s="228" t="str">
        <f t="shared" si="333"/>
        <v>ALIVE</v>
      </c>
      <c r="BG240" s="208" t="str">
        <f t="shared" si="334"/>
        <v>Aucune</v>
      </c>
      <c r="BH240" s="208" t="str">
        <f t="shared" si="335"/>
        <v>Aucune</v>
      </c>
      <c r="BI240" s="208" t="str">
        <f t="shared" si="336"/>
        <v>Aucune</v>
      </c>
      <c r="BJ240" s="208" t="str">
        <f t="shared" si="337"/>
        <v>NON</v>
      </c>
      <c r="BK240" s="208" t="str">
        <f t="shared" si="338"/>
        <v>NON</v>
      </c>
      <c r="BL240" s="208" t="str">
        <f t="shared" si="339"/>
        <v>Inconnu</v>
      </c>
      <c r="BM240" s="208" t="str">
        <f t="shared" si="340"/>
        <v>Inconnu</v>
      </c>
      <c r="BN240" s="208" t="str">
        <f t="shared" si="341"/>
        <v>Inconnu</v>
      </c>
      <c r="BO240" s="208" t="str">
        <f t="shared" si="342"/>
        <v>Inconnu</v>
      </c>
      <c r="BP240" s="208" t="str">
        <f t="shared" si="343"/>
        <v>Inconnu</v>
      </c>
      <c r="BQ240" s="208" t="str">
        <f t="shared" si="344"/>
        <v>Inconnu</v>
      </c>
      <c r="BR240" s="208" t="str">
        <f t="shared" si="345"/>
        <v>Aucune</v>
      </c>
      <c r="BS240" s="208">
        <f t="shared" si="346"/>
        <v>0</v>
      </c>
      <c r="BT240" s="229" t="e">
        <f>VLOOKUP($I240,Lieu_Activité!$A:$B,2,FALSE)</f>
        <v>#N/A</v>
      </c>
      <c r="BU240" s="208" t="str">
        <f t="shared" si="347"/>
        <v>Aucun</v>
      </c>
      <c r="BV240" s="208" t="str">
        <f t="shared" si="348"/>
        <v>Aucun</v>
      </c>
      <c r="BW240" s="207" t="str">
        <f t="shared" si="349"/>
        <v>NON</v>
      </c>
      <c r="BX240" s="288"/>
    </row>
    <row r="241" spans="1:76" ht="12" customHeight="1" x14ac:dyDescent="0.25">
      <c r="A241" s="231" t="s">
        <v>257</v>
      </c>
      <c r="B241" s="268"/>
      <c r="C241" s="227"/>
      <c r="D241" s="257"/>
      <c r="E241" s="278">
        <f t="shared" si="326"/>
        <v>0</v>
      </c>
      <c r="F241" s="278" t="str">
        <f t="shared" si="226"/>
        <v xml:space="preserve"> </v>
      </c>
      <c r="G241" s="256"/>
      <c r="H241" s="256"/>
      <c r="I241" s="256"/>
      <c r="J241" s="256"/>
      <c r="K241" s="256"/>
      <c r="L241" s="257"/>
      <c r="M241" s="243"/>
      <c r="N241" s="232"/>
      <c r="O241" s="232"/>
      <c r="P241" s="265" t="str">
        <f>IFERROR(VLOOKUP(O241,Références!$K$11:$N$19,2)," ")</f>
        <v xml:space="preserve"> </v>
      </c>
      <c r="Q241" s="265" t="str">
        <f>IFERROR(VLOOKUP(O241,Références!$K$11:$N$19,3)," ")</f>
        <v xml:space="preserve"> </v>
      </c>
      <c r="R241" s="265" t="str">
        <f>IFERROR(VLOOKUP(O241,Références!$K$11:$N$19,4)," ")</f>
        <v xml:space="preserve"> </v>
      </c>
      <c r="S241" s="256"/>
      <c r="T241" s="256"/>
      <c r="U241" s="256"/>
      <c r="V241" s="256"/>
      <c r="W241" s="256"/>
      <c r="X241" s="257"/>
      <c r="Y241" s="256"/>
      <c r="Z241" s="256"/>
      <c r="AA241" s="256"/>
      <c r="AB241" s="235"/>
      <c r="AC241" s="235"/>
      <c r="AD241" s="235"/>
      <c r="AE241" s="235"/>
      <c r="AF241" s="235"/>
      <c r="AG241" s="235"/>
      <c r="AH241" s="235"/>
      <c r="AI241" s="235">
        <f t="shared" si="327"/>
        <v>0</v>
      </c>
      <c r="AJ241" s="257"/>
      <c r="AK241" s="256">
        <f t="shared" si="328"/>
        <v>0</v>
      </c>
      <c r="AL241" s="257"/>
      <c r="AM241" s="266">
        <f t="shared" si="329"/>
        <v>0</v>
      </c>
      <c r="AN241" s="256"/>
      <c r="AO241" s="276"/>
      <c r="AP241" s="261" t="str">
        <f t="shared" si="227"/>
        <v xml:space="preserve"> </v>
      </c>
      <c r="AQ241" s="256"/>
      <c r="AR241" s="295"/>
      <c r="AS241" s="295"/>
      <c r="AT241" s="263"/>
      <c r="AU241" s="277"/>
      <c r="AV241" s="263"/>
      <c r="AW241" s="230"/>
      <c r="AX241" s="300"/>
      <c r="AY241" s="301"/>
      <c r="AZ241" s="230"/>
      <c r="BA241" s="302" t="s">
        <v>246</v>
      </c>
      <c r="BB241" s="295"/>
      <c r="BC241" s="228">
        <f t="shared" si="330"/>
        <v>0</v>
      </c>
      <c r="BD241" s="228">
        <f t="shared" si="331"/>
        <v>0</v>
      </c>
      <c r="BE241" s="228">
        <f t="shared" si="332"/>
        <v>1</v>
      </c>
      <c r="BF241" s="228" t="str">
        <f t="shared" si="333"/>
        <v>ALIVE</v>
      </c>
      <c r="BG241" s="208" t="str">
        <f t="shared" si="334"/>
        <v>Aucune</v>
      </c>
      <c r="BH241" s="208" t="str">
        <f t="shared" si="335"/>
        <v>Aucune</v>
      </c>
      <c r="BI241" s="208" t="str">
        <f t="shared" si="336"/>
        <v>Aucune</v>
      </c>
      <c r="BJ241" s="208" t="str">
        <f t="shared" si="337"/>
        <v>NON</v>
      </c>
      <c r="BK241" s="208" t="str">
        <f t="shared" si="338"/>
        <v>NON</v>
      </c>
      <c r="BL241" s="208" t="str">
        <f t="shared" si="339"/>
        <v>Inconnu</v>
      </c>
      <c r="BM241" s="208" t="str">
        <f t="shared" si="340"/>
        <v>Inconnu</v>
      </c>
      <c r="BN241" s="208" t="str">
        <f t="shared" si="341"/>
        <v>Inconnu</v>
      </c>
      <c r="BO241" s="208" t="str">
        <f t="shared" si="342"/>
        <v>Inconnu</v>
      </c>
      <c r="BP241" s="208" t="str">
        <f t="shared" si="343"/>
        <v>Inconnu</v>
      </c>
      <c r="BQ241" s="208" t="str">
        <f t="shared" si="344"/>
        <v>Inconnu</v>
      </c>
      <c r="BR241" s="208" t="str">
        <f t="shared" si="345"/>
        <v>Aucune</v>
      </c>
      <c r="BS241" s="208">
        <f t="shared" si="346"/>
        <v>0</v>
      </c>
      <c r="BT241" s="229" t="e">
        <f>VLOOKUP($I241,Lieu_Activité!$A:$B,2,FALSE)</f>
        <v>#N/A</v>
      </c>
      <c r="BU241" s="208" t="str">
        <f t="shared" si="347"/>
        <v>Aucun</v>
      </c>
      <c r="BV241" s="208" t="str">
        <f t="shared" si="348"/>
        <v>Aucun</v>
      </c>
      <c r="BW241" s="207" t="str">
        <f t="shared" si="349"/>
        <v>NON</v>
      </c>
      <c r="BX241" s="288"/>
    </row>
    <row r="242" spans="1:76" ht="12.75" customHeight="1" x14ac:dyDescent="0.25">
      <c r="A242" s="231" t="s">
        <v>257</v>
      </c>
      <c r="B242" s="234"/>
      <c r="C242" s="227"/>
      <c r="D242" s="257"/>
      <c r="E242" s="278">
        <f t="shared" si="326"/>
        <v>0</v>
      </c>
      <c r="F242" s="278" t="str">
        <f t="shared" si="226"/>
        <v xml:space="preserve"> </v>
      </c>
      <c r="G242" s="256"/>
      <c r="H242" s="256"/>
      <c r="I242" s="256"/>
      <c r="J242" s="256"/>
      <c r="K242" s="256"/>
      <c r="L242" s="257"/>
      <c r="M242" s="243"/>
      <c r="N242" s="232"/>
      <c r="O242" s="232"/>
      <c r="P242" s="265" t="str">
        <f>IFERROR(VLOOKUP(O242,Références!$K$11:$N$19,2)," ")</f>
        <v xml:space="preserve"> </v>
      </c>
      <c r="Q242" s="265" t="str">
        <f>IFERROR(VLOOKUP(O242,Références!$K$11:$N$19,3)," ")</f>
        <v xml:space="preserve"> </v>
      </c>
      <c r="R242" s="265" t="str">
        <f>IFERROR(VLOOKUP(O242,Références!$K$11:$N$19,4)," ")</f>
        <v xml:space="preserve"> </v>
      </c>
      <c r="S242" s="256"/>
      <c r="T242" s="256"/>
      <c r="U242" s="256"/>
      <c r="V242" s="256"/>
      <c r="W242" s="256"/>
      <c r="X242" s="257"/>
      <c r="Y242" s="256"/>
      <c r="Z242" s="256"/>
      <c r="AA242" s="256"/>
      <c r="AB242" s="235"/>
      <c r="AC242" s="235"/>
      <c r="AD242" s="235"/>
      <c r="AE242" s="235"/>
      <c r="AF242" s="235"/>
      <c r="AG242" s="235"/>
      <c r="AH242" s="235"/>
      <c r="AI242" s="235">
        <f t="shared" si="327"/>
        <v>0</v>
      </c>
      <c r="AJ242" s="257"/>
      <c r="AK242" s="256">
        <f t="shared" si="328"/>
        <v>0</v>
      </c>
      <c r="AL242" s="257"/>
      <c r="AM242" s="266">
        <f t="shared" si="329"/>
        <v>0</v>
      </c>
      <c r="AN242" s="256"/>
      <c r="AO242" s="276"/>
      <c r="AP242" s="261" t="str">
        <f t="shared" si="227"/>
        <v xml:space="preserve"> </v>
      </c>
      <c r="AQ242" s="256"/>
      <c r="AR242" s="295"/>
      <c r="AS242" s="295"/>
      <c r="AT242" s="263"/>
      <c r="AU242" s="277"/>
      <c r="AV242" s="263"/>
      <c r="AW242" s="230"/>
      <c r="AX242" s="300"/>
      <c r="AY242" s="301"/>
      <c r="AZ242" s="230"/>
      <c r="BA242" s="300"/>
      <c r="BB242" s="295"/>
      <c r="BC242" s="228">
        <f t="shared" si="330"/>
        <v>0</v>
      </c>
      <c r="BD242" s="228">
        <f t="shared" si="331"/>
        <v>0</v>
      </c>
      <c r="BE242" s="228">
        <f t="shared" si="332"/>
        <v>1</v>
      </c>
      <c r="BF242" s="228" t="str">
        <f t="shared" si="333"/>
        <v>ALIVE</v>
      </c>
      <c r="BG242" s="208" t="str">
        <f t="shared" si="334"/>
        <v>Aucune</v>
      </c>
      <c r="BH242" s="208" t="str">
        <f t="shared" si="335"/>
        <v>Aucune</v>
      </c>
      <c r="BI242" s="208" t="str">
        <f t="shared" si="336"/>
        <v>Aucune</v>
      </c>
      <c r="BJ242" s="208" t="str">
        <f t="shared" si="337"/>
        <v>NON</v>
      </c>
      <c r="BK242" s="208" t="str">
        <f t="shared" si="338"/>
        <v>NON</v>
      </c>
      <c r="BL242" s="208" t="str">
        <f t="shared" si="339"/>
        <v>Inconnu</v>
      </c>
      <c r="BM242" s="208" t="str">
        <f t="shared" si="340"/>
        <v>Inconnu</v>
      </c>
      <c r="BN242" s="208" t="str">
        <f t="shared" si="341"/>
        <v>Inconnu</v>
      </c>
      <c r="BO242" s="208" t="str">
        <f t="shared" si="342"/>
        <v>Inconnu</v>
      </c>
      <c r="BP242" s="208" t="str">
        <f t="shared" si="343"/>
        <v>Inconnu</v>
      </c>
      <c r="BQ242" s="208" t="str">
        <f t="shared" si="344"/>
        <v>Inconnu</v>
      </c>
      <c r="BR242" s="208" t="str">
        <f t="shared" si="345"/>
        <v>Aucune</v>
      </c>
      <c r="BS242" s="208">
        <f t="shared" si="346"/>
        <v>0</v>
      </c>
      <c r="BT242" s="229" t="e">
        <f>VLOOKUP($I242,Lieu_Activité!$A:$B,2,FALSE)</f>
        <v>#N/A</v>
      </c>
      <c r="BU242" s="208" t="str">
        <f t="shared" si="347"/>
        <v>Aucun</v>
      </c>
      <c r="BV242" s="208" t="str">
        <f t="shared" si="348"/>
        <v>Aucun</v>
      </c>
      <c r="BW242" s="207" t="str">
        <f t="shared" si="349"/>
        <v>NON</v>
      </c>
      <c r="BX242" s="288"/>
    </row>
    <row r="243" spans="1:76" ht="12" customHeight="1" x14ac:dyDescent="0.25">
      <c r="A243" s="231" t="s">
        <v>257</v>
      </c>
      <c r="B243" s="234"/>
      <c r="C243" s="227"/>
      <c r="D243" s="257"/>
      <c r="E243" s="278">
        <f t="shared" si="326"/>
        <v>0</v>
      </c>
      <c r="F243" s="278" t="str">
        <f t="shared" si="226"/>
        <v xml:space="preserve"> </v>
      </c>
      <c r="G243" s="256"/>
      <c r="H243" s="256"/>
      <c r="I243" s="256"/>
      <c r="J243" s="256"/>
      <c r="K243" s="256"/>
      <c r="L243" s="257"/>
      <c r="M243" s="243"/>
      <c r="N243" s="232"/>
      <c r="O243" s="265"/>
      <c r="P243" s="265" t="str">
        <f>IFERROR(VLOOKUP(O243,Références!$K$11:$N$19,2)," ")</f>
        <v xml:space="preserve"> </v>
      </c>
      <c r="Q243" s="265" t="str">
        <f>IFERROR(VLOOKUP(O243,Références!$K$11:$N$19,3)," ")</f>
        <v xml:space="preserve"> </v>
      </c>
      <c r="R243" s="265" t="str">
        <f>IFERROR(VLOOKUP(O243,Références!$K$11:$N$19,4)," ")</f>
        <v xml:space="preserve"> </v>
      </c>
      <c r="S243" s="256"/>
      <c r="T243" s="256"/>
      <c r="U243" s="256"/>
      <c r="V243" s="256"/>
      <c r="W243" s="256"/>
      <c r="X243" s="257"/>
      <c r="Y243" s="256"/>
      <c r="Z243" s="256"/>
      <c r="AA243" s="256"/>
      <c r="AB243" s="235"/>
      <c r="AC243" s="235"/>
      <c r="AD243" s="235"/>
      <c r="AE243" s="235"/>
      <c r="AF243" s="235"/>
      <c r="AG243" s="235"/>
      <c r="AH243" s="235"/>
      <c r="AI243" s="235">
        <f t="shared" si="327"/>
        <v>0</v>
      </c>
      <c r="AJ243" s="257"/>
      <c r="AK243" s="256">
        <f t="shared" si="328"/>
        <v>0</v>
      </c>
      <c r="AL243" s="257"/>
      <c r="AM243" s="266">
        <f t="shared" si="329"/>
        <v>0</v>
      </c>
      <c r="AN243" s="256"/>
      <c r="AO243" s="276"/>
      <c r="AP243" s="261" t="str">
        <f t="shared" si="227"/>
        <v xml:space="preserve"> </v>
      </c>
      <c r="AQ243" s="256"/>
      <c r="AR243" s="295"/>
      <c r="AS243" s="295"/>
      <c r="AT243" s="263"/>
      <c r="AU243" s="277"/>
      <c r="AV243" s="263"/>
      <c r="AW243" s="230"/>
      <c r="AX243" s="300"/>
      <c r="AY243" s="301"/>
      <c r="AZ243" s="230"/>
      <c r="BA243" s="300"/>
      <c r="BB243" s="295"/>
      <c r="BC243" s="228">
        <f t="shared" si="330"/>
        <v>0</v>
      </c>
      <c r="BD243" s="228">
        <f t="shared" si="331"/>
        <v>0</v>
      </c>
      <c r="BE243" s="228">
        <f t="shared" si="332"/>
        <v>1</v>
      </c>
      <c r="BF243" s="228" t="str">
        <f t="shared" si="333"/>
        <v>ALIVE</v>
      </c>
      <c r="BG243" s="208" t="str">
        <f t="shared" si="334"/>
        <v>Aucune</v>
      </c>
      <c r="BH243" s="208" t="str">
        <f t="shared" si="335"/>
        <v>Aucune</v>
      </c>
      <c r="BI243" s="208" t="str">
        <f t="shared" si="336"/>
        <v>Aucune</v>
      </c>
      <c r="BJ243" s="208" t="str">
        <f t="shared" si="337"/>
        <v>NON</v>
      </c>
      <c r="BK243" s="208" t="str">
        <f t="shared" si="338"/>
        <v>NON</v>
      </c>
      <c r="BL243" s="208" t="str">
        <f t="shared" si="339"/>
        <v>Inconnu</v>
      </c>
      <c r="BM243" s="208" t="str">
        <f t="shared" si="340"/>
        <v>Inconnu</v>
      </c>
      <c r="BN243" s="208" t="str">
        <f t="shared" si="341"/>
        <v>Inconnu</v>
      </c>
      <c r="BO243" s="208" t="str">
        <f t="shared" si="342"/>
        <v>Inconnu</v>
      </c>
      <c r="BP243" s="208" t="str">
        <f t="shared" si="343"/>
        <v>Inconnu</v>
      </c>
      <c r="BQ243" s="208" t="str">
        <f t="shared" si="344"/>
        <v>Inconnu</v>
      </c>
      <c r="BR243" s="208" t="str">
        <f t="shared" si="345"/>
        <v>Aucune</v>
      </c>
      <c r="BS243" s="208">
        <f t="shared" si="346"/>
        <v>0</v>
      </c>
      <c r="BT243" s="229" t="e">
        <f>VLOOKUP($I243,Lieu_Activité!$A:$B,2,FALSE)</f>
        <v>#N/A</v>
      </c>
      <c r="BU243" s="208" t="str">
        <f t="shared" si="347"/>
        <v>Aucun</v>
      </c>
      <c r="BV243" s="208" t="str">
        <f t="shared" si="348"/>
        <v>Aucun</v>
      </c>
      <c r="BW243" s="207" t="str">
        <f t="shared" si="349"/>
        <v>NON</v>
      </c>
      <c r="BX243" s="288"/>
    </row>
    <row r="244" spans="1:76" ht="12" customHeight="1" x14ac:dyDescent="0.25">
      <c r="A244" s="231" t="s">
        <v>257</v>
      </c>
      <c r="B244" s="234"/>
      <c r="C244" s="227"/>
      <c r="D244" s="257"/>
      <c r="E244" s="278">
        <f t="shared" si="326"/>
        <v>0</v>
      </c>
      <c r="F244" s="278" t="str">
        <f t="shared" si="226"/>
        <v xml:space="preserve"> </v>
      </c>
      <c r="G244" s="256"/>
      <c r="H244" s="256"/>
      <c r="I244" s="256"/>
      <c r="J244" s="256"/>
      <c r="K244" s="256"/>
      <c r="L244" s="257"/>
      <c r="M244" s="243"/>
      <c r="N244" s="232"/>
      <c r="O244" s="232"/>
      <c r="P244" s="265" t="str">
        <f>IFERROR(VLOOKUP(O244,Références!$K$11:$N$19,2)," ")</f>
        <v xml:space="preserve"> </v>
      </c>
      <c r="Q244" s="265" t="str">
        <f>IFERROR(VLOOKUP(O244,Références!$K$11:$N$19,3)," ")</f>
        <v xml:space="preserve"> </v>
      </c>
      <c r="R244" s="265" t="str">
        <f>IFERROR(VLOOKUP(O244,Références!$K$11:$N$19,4)," ")</f>
        <v xml:space="preserve"> </v>
      </c>
      <c r="S244" s="256"/>
      <c r="T244" s="256"/>
      <c r="U244" s="256"/>
      <c r="V244" s="256"/>
      <c r="W244" s="256"/>
      <c r="X244" s="257"/>
      <c r="Y244" s="256"/>
      <c r="Z244" s="256"/>
      <c r="AA244" s="256"/>
      <c r="AB244" s="235"/>
      <c r="AC244" s="235"/>
      <c r="AD244" s="235"/>
      <c r="AE244" s="235"/>
      <c r="AF244" s="235"/>
      <c r="AG244" s="235"/>
      <c r="AH244" s="235"/>
      <c r="AI244" s="235">
        <f t="shared" si="327"/>
        <v>0</v>
      </c>
      <c r="AJ244" s="257"/>
      <c r="AK244" s="256">
        <f t="shared" si="328"/>
        <v>0</v>
      </c>
      <c r="AL244" s="257"/>
      <c r="AM244" s="266">
        <f t="shared" si="329"/>
        <v>0</v>
      </c>
      <c r="AN244" s="256"/>
      <c r="AO244" s="276"/>
      <c r="AP244" s="261" t="str">
        <f t="shared" si="227"/>
        <v xml:space="preserve"> </v>
      </c>
      <c r="AQ244" s="256"/>
      <c r="AR244" s="295"/>
      <c r="AS244" s="295"/>
      <c r="AT244" s="263"/>
      <c r="AU244" s="277"/>
      <c r="AV244" s="263"/>
      <c r="AW244" s="230"/>
      <c r="AX244" s="300"/>
      <c r="AY244" s="301"/>
      <c r="AZ244" s="230"/>
      <c r="BA244" s="300"/>
      <c r="BB244" s="295"/>
      <c r="BC244" s="228">
        <f t="shared" si="330"/>
        <v>0</v>
      </c>
      <c r="BD244" s="228">
        <f t="shared" si="331"/>
        <v>0</v>
      </c>
      <c r="BE244" s="228">
        <f t="shared" si="332"/>
        <v>1</v>
      </c>
      <c r="BF244" s="228" t="str">
        <f t="shared" si="333"/>
        <v>ALIVE</v>
      </c>
      <c r="BG244" s="208" t="str">
        <f t="shared" si="334"/>
        <v>Aucune</v>
      </c>
      <c r="BH244" s="208" t="str">
        <f t="shared" si="335"/>
        <v>Aucune</v>
      </c>
      <c r="BI244" s="208" t="str">
        <f t="shared" si="336"/>
        <v>Aucune</v>
      </c>
      <c r="BJ244" s="208" t="str">
        <f t="shared" si="337"/>
        <v>NON</v>
      </c>
      <c r="BK244" s="208" t="str">
        <f t="shared" si="338"/>
        <v>NON</v>
      </c>
      <c r="BL244" s="208" t="str">
        <f t="shared" si="339"/>
        <v>Inconnu</v>
      </c>
      <c r="BM244" s="208" t="str">
        <f t="shared" si="340"/>
        <v>Inconnu</v>
      </c>
      <c r="BN244" s="208" t="str">
        <f t="shared" si="341"/>
        <v>Inconnu</v>
      </c>
      <c r="BO244" s="208" t="str">
        <f t="shared" si="342"/>
        <v>Inconnu</v>
      </c>
      <c r="BP244" s="208" t="str">
        <f t="shared" si="343"/>
        <v>Inconnu</v>
      </c>
      <c r="BQ244" s="208" t="str">
        <f t="shared" si="344"/>
        <v>Inconnu</v>
      </c>
      <c r="BR244" s="208" t="str">
        <f t="shared" si="345"/>
        <v>Aucune</v>
      </c>
      <c r="BS244" s="208">
        <f t="shared" si="346"/>
        <v>0</v>
      </c>
      <c r="BT244" s="229" t="e">
        <f>VLOOKUP($I244,Lieu_Activité!$A:$B,2,FALSE)</f>
        <v>#N/A</v>
      </c>
      <c r="BU244" s="208" t="str">
        <f t="shared" si="347"/>
        <v>Aucun</v>
      </c>
      <c r="BV244" s="208" t="str">
        <f t="shared" si="348"/>
        <v>Aucun</v>
      </c>
      <c r="BW244" s="207" t="str">
        <f t="shared" si="349"/>
        <v>NON</v>
      </c>
      <c r="BX244" s="288"/>
    </row>
    <row r="245" spans="1:76" ht="12.75" customHeight="1" x14ac:dyDescent="0.25">
      <c r="A245" s="231" t="s">
        <v>257</v>
      </c>
      <c r="B245" s="234"/>
      <c r="C245" s="227"/>
      <c r="D245" s="257"/>
      <c r="E245" s="278">
        <f t="shared" ref="E245:E248" si="375">(L245-D245)/365</f>
        <v>0</v>
      </c>
      <c r="F245" s="278" t="str">
        <f t="shared" ref="F245:F248" si="376">IF(E245&lt;80," ","1")</f>
        <v xml:space="preserve"> </v>
      </c>
      <c r="G245" s="256"/>
      <c r="H245" s="256"/>
      <c r="I245" s="256"/>
      <c r="J245" s="256"/>
      <c r="K245" s="256"/>
      <c r="L245" s="257"/>
      <c r="M245" s="243"/>
      <c r="N245" s="232"/>
      <c r="O245" s="232"/>
      <c r="P245" s="265" t="str">
        <f>IFERROR(VLOOKUP(O245,Références!$K$11:$N$19,2)," ")</f>
        <v xml:space="preserve"> </v>
      </c>
      <c r="Q245" s="265" t="str">
        <f>IFERROR(VLOOKUP(O245,Références!$K$11:$N$19,3)," ")</f>
        <v xml:space="preserve"> </v>
      </c>
      <c r="R245" s="265" t="str">
        <f>IFERROR(VLOOKUP(O245,Références!$K$11:$N$19,4)," ")</f>
        <v xml:space="preserve"> </v>
      </c>
      <c r="S245" s="256"/>
      <c r="T245" s="256"/>
      <c r="U245" s="256"/>
      <c r="V245" s="256"/>
      <c r="W245" s="256"/>
      <c r="X245" s="257"/>
      <c r="Y245" s="256"/>
      <c r="Z245" s="256"/>
      <c r="AA245" s="256"/>
      <c r="AB245" s="235"/>
      <c r="AC245" s="235"/>
      <c r="AD245" s="235"/>
      <c r="AE245" s="235"/>
      <c r="AF245" s="235"/>
      <c r="AG245" s="235"/>
      <c r="AH245" s="235"/>
      <c r="AI245" s="235">
        <f t="shared" ref="AI245:AI248" si="377">SUM(AF245,AH245)</f>
        <v>0</v>
      </c>
      <c r="AJ245" s="257"/>
      <c r="AK245" s="256">
        <f t="shared" ref="AK245:AK248" si="378">(AJ245-L245)</f>
        <v>0</v>
      </c>
      <c r="AL245" s="257"/>
      <c r="AM245" s="266">
        <f t="shared" ref="AM245:AM248" si="379">(AL245-L245)</f>
        <v>0</v>
      </c>
      <c r="AN245" s="256"/>
      <c r="AO245" s="276"/>
      <c r="AP245" s="261" t="str">
        <f t="shared" ref="AP245:AP248" si="380">IF(AO245=1,"ELECTIVE",IF(AO245=2,"URGENCY",IF(AO245=3,"EMERGENCY",IF(AO245=4,"SALVAGE"," "))))</f>
        <v xml:space="preserve"> </v>
      </c>
      <c r="AQ245" s="256"/>
      <c r="AR245" s="295"/>
      <c r="AS245" s="295"/>
      <c r="AT245" s="263"/>
      <c r="AU245" s="277"/>
      <c r="AV245" s="263"/>
      <c r="AW245" s="230"/>
      <c r="AX245" s="300"/>
      <c r="AY245" s="301"/>
      <c r="AZ245" s="300"/>
      <c r="BA245" s="300"/>
      <c r="BB245" s="295"/>
      <c r="BC245" s="228">
        <f t="shared" ref="BC245:BC248" si="381">IF(BG245="Aucune",0,1)</f>
        <v>0</v>
      </c>
      <c r="BD245" s="228">
        <f t="shared" ref="BD245:BD248" si="382">IF(BH245="Aucune",0,1)</f>
        <v>0</v>
      </c>
      <c r="BE245" s="228">
        <f t="shared" ref="BE245:BE248" si="383">IF(AG245="Aucune",0,1)</f>
        <v>1</v>
      </c>
      <c r="BF245" s="228" t="str">
        <f t="shared" ref="BF245:BF248" si="384">IF(AO245=1,"ELECTIVE",IF(AO245=2,"URGENCY",IF(AO245=3,"EMERGENCY",IF(AO245=4,"SALVAGE","ALIVE"))))</f>
        <v>ALIVE</v>
      </c>
      <c r="BG245" s="208" t="str">
        <f t="shared" ref="BG245:BG248" si="385">IF(AD245="","Aucune","Infection")</f>
        <v>Aucune</v>
      </c>
      <c r="BH245" s="208" t="str">
        <f t="shared" ref="BH245:BH248" si="386">IF(AI245&gt;0,"Transfusion","Aucune")</f>
        <v>Aucune</v>
      </c>
      <c r="BI245" s="208" t="str">
        <f t="shared" ref="BI245:BI248" si="387">IF(AG245="","Aucune","Transfusé")</f>
        <v>Aucune</v>
      </c>
      <c r="BJ245" s="208" t="str">
        <f t="shared" ref="BJ245:BJ248" si="388">IF(X245&lt;&gt;"",IF(X245-L245&lt;2,"OUI","NON"),"NON")</f>
        <v>NON</v>
      </c>
      <c r="BK245" s="208" t="str">
        <f t="shared" ref="BK245:BK248" si="389">IF(AS245="","NON","OUI")</f>
        <v>NON</v>
      </c>
      <c r="BL245" s="208" t="str">
        <f t="shared" ref="BL245:BL248" si="390">IF(AL245-L245&gt;0,AL245-L245,"Inconnu")</f>
        <v>Inconnu</v>
      </c>
      <c r="BM245" s="208" t="str">
        <f t="shared" ref="BM245:BM248" si="391">IF($O245&lt;&gt;"HTX",IF($O245&lt;&gt;"LVAD",BL245,"Inconnu"),"Inconnu")</f>
        <v>Inconnu</v>
      </c>
      <c r="BN245" s="208" t="str">
        <f t="shared" ref="BN245:BN248" si="392">IF($O245="HTX",BL245,IF($O245="LVAD",BL245,"Inconnu"))</f>
        <v>Inconnu</v>
      </c>
      <c r="BO245" s="208" t="str">
        <f t="shared" ref="BO245:BO248" si="393">IF(AJ245-L245&gt;0,AJ245-L245,"Inconnu")</f>
        <v>Inconnu</v>
      </c>
      <c r="BP245" s="208" t="str">
        <f t="shared" ref="BP245:BP248" si="394">IF($O245&lt;&gt;"HTX",IF($O245&lt;&gt;"LVAD",BO245,"Inconnu"),"Inconnu")</f>
        <v>Inconnu</v>
      </c>
      <c r="BQ245" s="208" t="str">
        <f t="shared" ref="BQ245:BQ248" si="395">IF($O245="HTX",BO245,IF($O245="LVAD",BO245,"Inconnu"))</f>
        <v>Inconnu</v>
      </c>
      <c r="BR245" s="208" t="str">
        <f t="shared" ref="BR245:BR248" si="396">IF(BH245="Aucune",IF(BI245="Aucune","Aucune","Transfusé"),"Transfusé")</f>
        <v>Aucune</v>
      </c>
      <c r="BS245" s="208">
        <f t="shared" ref="BS245:BS248" si="397">AF245+AH245</f>
        <v>0</v>
      </c>
      <c r="BT245" s="229" t="e">
        <f>VLOOKUP($I245,Lieu_Activité!$A:$B,2,FALSE)</f>
        <v>#N/A</v>
      </c>
      <c r="BU245" s="208" t="str">
        <f t="shared" ref="BU245:BU248" si="398">IF(AB245="","Aucun","AVC")</f>
        <v>Aucun</v>
      </c>
      <c r="BV245" s="208" t="str">
        <f t="shared" ref="BV245:BV248" si="399">IF(AC245="","Aucun","IM")</f>
        <v>Aucun</v>
      </c>
      <c r="BW245" s="207" t="str">
        <f t="shared" ref="BW245:BW248" si="400">IF(M245="","NON","OUI")</f>
        <v>NON</v>
      </c>
      <c r="BX245" s="288"/>
    </row>
    <row r="246" spans="1:76" ht="12.75" customHeight="1" x14ac:dyDescent="0.25">
      <c r="A246" s="231" t="s">
        <v>257</v>
      </c>
      <c r="B246" s="234"/>
      <c r="C246" s="227"/>
      <c r="D246" s="257"/>
      <c r="E246" s="278">
        <f t="shared" si="375"/>
        <v>0</v>
      </c>
      <c r="F246" s="278" t="str">
        <f t="shared" si="376"/>
        <v xml:space="preserve"> </v>
      </c>
      <c r="G246" s="256"/>
      <c r="H246" s="256"/>
      <c r="I246" s="256"/>
      <c r="J246" s="256"/>
      <c r="K246" s="256"/>
      <c r="L246" s="257"/>
      <c r="M246" s="243"/>
      <c r="N246" s="232"/>
      <c r="O246" s="232"/>
      <c r="P246" s="265" t="str">
        <f>IFERROR(VLOOKUP(O246,Références!$K$11:$N$19,2)," ")</f>
        <v xml:space="preserve"> </v>
      </c>
      <c r="Q246" s="265" t="str">
        <f>IFERROR(VLOOKUP(O246,Références!$K$11:$N$19,3)," ")</f>
        <v xml:space="preserve"> </v>
      </c>
      <c r="R246" s="265" t="str">
        <f>IFERROR(VLOOKUP(O246,Références!$K$11:$N$19,4)," ")</f>
        <v xml:space="preserve"> </v>
      </c>
      <c r="S246" s="256"/>
      <c r="T246" s="256"/>
      <c r="U246" s="256"/>
      <c r="V246" s="256"/>
      <c r="W246" s="256"/>
      <c r="X246" s="257"/>
      <c r="Y246" s="256"/>
      <c r="Z246" s="256"/>
      <c r="AA246" s="256"/>
      <c r="AB246" s="235"/>
      <c r="AC246" s="235"/>
      <c r="AD246" s="235"/>
      <c r="AE246" s="235"/>
      <c r="AF246" s="235"/>
      <c r="AG246" s="235"/>
      <c r="AH246" s="235"/>
      <c r="AI246" s="235">
        <f t="shared" si="377"/>
        <v>0</v>
      </c>
      <c r="AJ246" s="257"/>
      <c r="AK246" s="256">
        <f t="shared" si="378"/>
        <v>0</v>
      </c>
      <c r="AL246" s="257"/>
      <c r="AM246" s="266">
        <f t="shared" si="379"/>
        <v>0</v>
      </c>
      <c r="AN246" s="256"/>
      <c r="AO246" s="276"/>
      <c r="AP246" s="261" t="str">
        <f t="shared" si="380"/>
        <v xml:space="preserve"> </v>
      </c>
      <c r="AQ246" s="256"/>
      <c r="AR246" s="295"/>
      <c r="AS246" s="295"/>
      <c r="AT246" s="263"/>
      <c r="AU246" s="277"/>
      <c r="AV246" s="263"/>
      <c r="AW246" s="230"/>
      <c r="AX246" s="300"/>
      <c r="AY246" s="301"/>
      <c r="AZ246" s="300"/>
      <c r="BA246" s="300"/>
      <c r="BB246" s="295"/>
      <c r="BC246" s="228">
        <f t="shared" si="381"/>
        <v>0</v>
      </c>
      <c r="BD246" s="228">
        <f t="shared" si="382"/>
        <v>0</v>
      </c>
      <c r="BE246" s="228">
        <f t="shared" si="383"/>
        <v>1</v>
      </c>
      <c r="BF246" s="228" t="str">
        <f t="shared" si="384"/>
        <v>ALIVE</v>
      </c>
      <c r="BG246" s="208" t="str">
        <f t="shared" si="385"/>
        <v>Aucune</v>
      </c>
      <c r="BH246" s="208" t="str">
        <f t="shared" si="386"/>
        <v>Aucune</v>
      </c>
      <c r="BI246" s="208" t="str">
        <f t="shared" si="387"/>
        <v>Aucune</v>
      </c>
      <c r="BJ246" s="208" t="str">
        <f t="shared" si="388"/>
        <v>NON</v>
      </c>
      <c r="BK246" s="208" t="str">
        <f t="shared" si="389"/>
        <v>NON</v>
      </c>
      <c r="BL246" s="208" t="str">
        <f t="shared" si="390"/>
        <v>Inconnu</v>
      </c>
      <c r="BM246" s="208" t="str">
        <f t="shared" si="391"/>
        <v>Inconnu</v>
      </c>
      <c r="BN246" s="208" t="str">
        <f t="shared" si="392"/>
        <v>Inconnu</v>
      </c>
      <c r="BO246" s="208" t="str">
        <f t="shared" si="393"/>
        <v>Inconnu</v>
      </c>
      <c r="BP246" s="208" t="str">
        <f t="shared" si="394"/>
        <v>Inconnu</v>
      </c>
      <c r="BQ246" s="208" t="str">
        <f t="shared" si="395"/>
        <v>Inconnu</v>
      </c>
      <c r="BR246" s="208" t="str">
        <f t="shared" si="396"/>
        <v>Aucune</v>
      </c>
      <c r="BS246" s="208">
        <f t="shared" si="397"/>
        <v>0</v>
      </c>
      <c r="BT246" s="229" t="e">
        <f>VLOOKUP($I246,Lieu_Activité!$A:$B,2,FALSE)</f>
        <v>#N/A</v>
      </c>
      <c r="BU246" s="208" t="str">
        <f t="shared" si="398"/>
        <v>Aucun</v>
      </c>
      <c r="BV246" s="208" t="str">
        <f t="shared" si="399"/>
        <v>Aucun</v>
      </c>
      <c r="BW246" s="207" t="str">
        <f t="shared" si="400"/>
        <v>NON</v>
      </c>
      <c r="BX246" s="288"/>
    </row>
    <row r="247" spans="1:76" ht="12.75" customHeight="1" x14ac:dyDescent="0.25">
      <c r="A247" s="231" t="s">
        <v>257</v>
      </c>
      <c r="B247" s="234"/>
      <c r="C247" s="227"/>
      <c r="D247" s="257"/>
      <c r="E247" s="278">
        <f t="shared" si="375"/>
        <v>0</v>
      </c>
      <c r="F247" s="278" t="str">
        <f t="shared" si="376"/>
        <v xml:space="preserve"> </v>
      </c>
      <c r="G247" s="256"/>
      <c r="H247" s="256"/>
      <c r="I247" s="256"/>
      <c r="J247" s="256"/>
      <c r="K247" s="256"/>
      <c r="L247" s="257"/>
      <c r="M247" s="243"/>
      <c r="N247" s="232"/>
      <c r="O247" s="232"/>
      <c r="P247" s="265" t="str">
        <f>IFERROR(VLOOKUP(O247,Références!$K$11:$N$19,2)," ")</f>
        <v xml:space="preserve"> </v>
      </c>
      <c r="Q247" s="265" t="str">
        <f>IFERROR(VLOOKUP(O247,Références!$K$11:$N$19,3)," ")</f>
        <v xml:space="preserve"> </v>
      </c>
      <c r="R247" s="265" t="str">
        <f>IFERROR(VLOOKUP(O247,Références!$K$11:$N$19,4)," ")</f>
        <v xml:space="preserve"> </v>
      </c>
      <c r="S247" s="256"/>
      <c r="T247" s="256"/>
      <c r="U247" s="256"/>
      <c r="V247" s="256"/>
      <c r="W247" s="256"/>
      <c r="X247" s="257"/>
      <c r="Y247" s="256"/>
      <c r="Z247" s="256"/>
      <c r="AA247" s="256"/>
      <c r="AB247" s="235"/>
      <c r="AC247" s="235"/>
      <c r="AD247" s="274"/>
      <c r="AE247" s="235"/>
      <c r="AF247" s="235"/>
      <c r="AG247" s="235"/>
      <c r="AH247" s="235"/>
      <c r="AI247" s="235">
        <f t="shared" si="377"/>
        <v>0</v>
      </c>
      <c r="AJ247" s="257"/>
      <c r="AK247" s="256">
        <f t="shared" si="378"/>
        <v>0</v>
      </c>
      <c r="AL247" s="257"/>
      <c r="AM247" s="266">
        <f t="shared" si="379"/>
        <v>0</v>
      </c>
      <c r="AN247" s="256"/>
      <c r="AO247" s="276"/>
      <c r="AP247" s="261" t="str">
        <f t="shared" si="380"/>
        <v xml:space="preserve"> </v>
      </c>
      <c r="AQ247" s="256"/>
      <c r="AR247" s="295"/>
      <c r="AS247" s="295"/>
      <c r="AT247" s="263"/>
      <c r="AU247" s="277"/>
      <c r="AV247" s="263"/>
      <c r="AW247" s="230"/>
      <c r="AX247" s="300"/>
      <c r="AY247" s="301"/>
      <c r="AZ247" s="300"/>
      <c r="BA247" s="300"/>
      <c r="BB247" s="295"/>
      <c r="BC247" s="228">
        <f t="shared" si="381"/>
        <v>0</v>
      </c>
      <c r="BD247" s="228">
        <f t="shared" si="382"/>
        <v>0</v>
      </c>
      <c r="BE247" s="228">
        <f t="shared" si="383"/>
        <v>1</v>
      </c>
      <c r="BF247" s="228" t="str">
        <f t="shared" si="384"/>
        <v>ALIVE</v>
      </c>
      <c r="BG247" s="208" t="str">
        <f t="shared" si="385"/>
        <v>Aucune</v>
      </c>
      <c r="BH247" s="208" t="str">
        <f t="shared" si="386"/>
        <v>Aucune</v>
      </c>
      <c r="BI247" s="208" t="str">
        <f t="shared" si="387"/>
        <v>Aucune</v>
      </c>
      <c r="BJ247" s="208" t="str">
        <f t="shared" si="388"/>
        <v>NON</v>
      </c>
      <c r="BK247" s="208" t="str">
        <f t="shared" si="389"/>
        <v>NON</v>
      </c>
      <c r="BL247" s="208" t="str">
        <f t="shared" si="390"/>
        <v>Inconnu</v>
      </c>
      <c r="BM247" s="208" t="str">
        <f t="shared" si="391"/>
        <v>Inconnu</v>
      </c>
      <c r="BN247" s="208" t="str">
        <f t="shared" si="392"/>
        <v>Inconnu</v>
      </c>
      <c r="BO247" s="208" t="str">
        <f t="shared" si="393"/>
        <v>Inconnu</v>
      </c>
      <c r="BP247" s="208" t="str">
        <f t="shared" si="394"/>
        <v>Inconnu</v>
      </c>
      <c r="BQ247" s="208" t="str">
        <f t="shared" si="395"/>
        <v>Inconnu</v>
      </c>
      <c r="BR247" s="208" t="str">
        <f t="shared" si="396"/>
        <v>Aucune</v>
      </c>
      <c r="BS247" s="208">
        <f t="shared" si="397"/>
        <v>0</v>
      </c>
      <c r="BT247" s="229" t="e">
        <f>VLOOKUP($I247,Lieu_Activité!$A:$B,2,FALSE)</f>
        <v>#N/A</v>
      </c>
      <c r="BU247" s="208" t="str">
        <f t="shared" si="398"/>
        <v>Aucun</v>
      </c>
      <c r="BV247" s="208" t="str">
        <f t="shared" si="399"/>
        <v>Aucun</v>
      </c>
      <c r="BW247" s="207" t="str">
        <f t="shared" si="400"/>
        <v>NON</v>
      </c>
      <c r="BX247" s="288"/>
    </row>
    <row r="248" spans="1:76" ht="12.75" customHeight="1" x14ac:dyDescent="0.25">
      <c r="A248" s="231" t="s">
        <v>257</v>
      </c>
      <c r="B248" s="234"/>
      <c r="C248" s="227"/>
      <c r="D248" s="257"/>
      <c r="E248" s="278">
        <f t="shared" si="375"/>
        <v>0</v>
      </c>
      <c r="F248" s="278" t="str">
        <f t="shared" si="376"/>
        <v xml:space="preserve"> </v>
      </c>
      <c r="G248" s="256"/>
      <c r="H248" s="256"/>
      <c r="I248" s="256"/>
      <c r="J248" s="256"/>
      <c r="K248" s="256"/>
      <c r="L248" s="257"/>
      <c r="M248" s="243"/>
      <c r="N248" s="232"/>
      <c r="O248" s="232"/>
      <c r="P248" s="265" t="str">
        <f>IFERROR(VLOOKUP(O248,Références!$K$11:$N$19,2)," ")</f>
        <v xml:space="preserve"> </v>
      </c>
      <c r="Q248" s="265" t="str">
        <f>IFERROR(VLOOKUP(O248,Références!$K$11:$N$19,3)," ")</f>
        <v xml:space="preserve"> </v>
      </c>
      <c r="R248" s="265" t="str">
        <f>IFERROR(VLOOKUP(O248,Références!$K$11:$N$19,4)," ")</f>
        <v xml:space="preserve"> </v>
      </c>
      <c r="S248" s="256"/>
      <c r="T248" s="256"/>
      <c r="U248" s="256"/>
      <c r="V248" s="256"/>
      <c r="W248" s="256"/>
      <c r="X248" s="257"/>
      <c r="Y248" s="256"/>
      <c r="Z248" s="256"/>
      <c r="AA248" s="256"/>
      <c r="AB248" s="235"/>
      <c r="AC248" s="235"/>
      <c r="AD248" s="235"/>
      <c r="AE248" s="235"/>
      <c r="AF248" s="235"/>
      <c r="AG248" s="235"/>
      <c r="AH248" s="235"/>
      <c r="AI248" s="235">
        <f t="shared" si="377"/>
        <v>0</v>
      </c>
      <c r="AJ248" s="257"/>
      <c r="AK248" s="256">
        <f t="shared" si="378"/>
        <v>0</v>
      </c>
      <c r="AL248" s="257"/>
      <c r="AM248" s="266">
        <f t="shared" si="379"/>
        <v>0</v>
      </c>
      <c r="AN248" s="256"/>
      <c r="AO248" s="276"/>
      <c r="AP248" s="261" t="str">
        <f t="shared" si="380"/>
        <v xml:space="preserve"> </v>
      </c>
      <c r="AQ248" s="256"/>
      <c r="AR248" s="295"/>
      <c r="AS248" s="295"/>
      <c r="AT248" s="263"/>
      <c r="AU248" s="277"/>
      <c r="AV248" s="263"/>
      <c r="AW248" s="230"/>
      <c r="AX248" s="300"/>
      <c r="AY248" s="301"/>
      <c r="AZ248" s="300"/>
      <c r="BA248" s="300"/>
      <c r="BB248" s="295"/>
      <c r="BC248" s="228">
        <f t="shared" si="381"/>
        <v>0</v>
      </c>
      <c r="BD248" s="228">
        <f t="shared" si="382"/>
        <v>0</v>
      </c>
      <c r="BE248" s="228">
        <f t="shared" si="383"/>
        <v>1</v>
      </c>
      <c r="BF248" s="228" t="str">
        <f t="shared" si="384"/>
        <v>ALIVE</v>
      </c>
      <c r="BG248" s="208" t="str">
        <f t="shared" si="385"/>
        <v>Aucune</v>
      </c>
      <c r="BH248" s="208" t="str">
        <f t="shared" si="386"/>
        <v>Aucune</v>
      </c>
      <c r="BI248" s="208" t="str">
        <f t="shared" si="387"/>
        <v>Aucune</v>
      </c>
      <c r="BJ248" s="208" t="str">
        <f t="shared" si="388"/>
        <v>NON</v>
      </c>
      <c r="BK248" s="208" t="str">
        <f t="shared" si="389"/>
        <v>NON</v>
      </c>
      <c r="BL248" s="208" t="str">
        <f t="shared" si="390"/>
        <v>Inconnu</v>
      </c>
      <c r="BM248" s="208" t="str">
        <f t="shared" si="391"/>
        <v>Inconnu</v>
      </c>
      <c r="BN248" s="208" t="str">
        <f t="shared" si="392"/>
        <v>Inconnu</v>
      </c>
      <c r="BO248" s="208" t="str">
        <f t="shared" si="393"/>
        <v>Inconnu</v>
      </c>
      <c r="BP248" s="208" t="str">
        <f t="shared" si="394"/>
        <v>Inconnu</v>
      </c>
      <c r="BQ248" s="208" t="str">
        <f t="shared" si="395"/>
        <v>Inconnu</v>
      </c>
      <c r="BR248" s="208" t="str">
        <f t="shared" si="396"/>
        <v>Aucune</v>
      </c>
      <c r="BS248" s="208">
        <f t="shared" si="397"/>
        <v>0</v>
      </c>
      <c r="BT248" s="229" t="e">
        <f>VLOOKUP($I248,Lieu_Activité!$A:$B,2,FALSE)</f>
        <v>#N/A</v>
      </c>
      <c r="BU248" s="208" t="str">
        <f t="shared" si="398"/>
        <v>Aucun</v>
      </c>
      <c r="BV248" s="208" t="str">
        <f t="shared" si="399"/>
        <v>Aucun</v>
      </c>
      <c r="BW248" s="207" t="str">
        <f t="shared" si="400"/>
        <v>NON</v>
      </c>
      <c r="BX248" s="288"/>
    </row>
    <row r="249" spans="1:76" ht="12.75" customHeight="1" x14ac:dyDescent="0.25">
      <c r="A249" s="231" t="s">
        <v>257</v>
      </c>
      <c r="B249" s="234"/>
      <c r="C249" s="227"/>
      <c r="D249" s="257"/>
      <c r="E249" s="278">
        <f t="shared" si="326"/>
        <v>0</v>
      </c>
      <c r="F249" s="278" t="str">
        <f t="shared" si="226"/>
        <v xml:space="preserve"> </v>
      </c>
      <c r="G249" s="256"/>
      <c r="H249" s="256"/>
      <c r="I249" s="256"/>
      <c r="J249" s="256"/>
      <c r="K249" s="256"/>
      <c r="L249" s="257"/>
      <c r="M249" s="243"/>
      <c r="N249" s="232"/>
      <c r="O249" s="232"/>
      <c r="P249" s="265" t="str">
        <f>IFERROR(VLOOKUP(O249,Références!$K$11:$N$19,2)," ")</f>
        <v xml:space="preserve"> </v>
      </c>
      <c r="Q249" s="265" t="str">
        <f>IFERROR(VLOOKUP(O249,Références!$K$11:$N$19,3)," ")</f>
        <v xml:space="preserve"> </v>
      </c>
      <c r="R249" s="265" t="str">
        <f>IFERROR(VLOOKUP(O249,Références!$K$11:$N$19,4)," ")</f>
        <v xml:space="preserve"> </v>
      </c>
      <c r="S249" s="256"/>
      <c r="T249" s="256"/>
      <c r="U249" s="256"/>
      <c r="V249" s="256"/>
      <c r="W249" s="256"/>
      <c r="X249" s="257"/>
      <c r="Y249" s="256"/>
      <c r="Z249" s="256"/>
      <c r="AA249" s="256"/>
      <c r="AB249" s="235"/>
      <c r="AC249" s="235"/>
      <c r="AD249" s="235"/>
      <c r="AE249" s="235"/>
      <c r="AF249" s="235"/>
      <c r="AG249" s="235"/>
      <c r="AH249" s="235"/>
      <c r="AI249" s="235">
        <f t="shared" si="327"/>
        <v>0</v>
      </c>
      <c r="AJ249" s="257"/>
      <c r="AK249" s="256">
        <f t="shared" si="328"/>
        <v>0</v>
      </c>
      <c r="AL249" s="257"/>
      <c r="AM249" s="266">
        <f t="shared" si="329"/>
        <v>0</v>
      </c>
      <c r="AN249" s="256"/>
      <c r="AO249" s="276"/>
      <c r="AP249" s="261" t="str">
        <f t="shared" si="227"/>
        <v xml:space="preserve"> </v>
      </c>
      <c r="AQ249" s="256"/>
      <c r="AR249" s="295"/>
      <c r="AS249" s="295"/>
      <c r="AT249" s="263"/>
      <c r="AU249" s="277"/>
      <c r="AV249" s="263"/>
      <c r="AW249" s="230"/>
      <c r="AX249" s="300"/>
      <c r="AY249" s="301"/>
      <c r="AZ249" s="300"/>
      <c r="BA249" s="300"/>
      <c r="BB249" s="295"/>
      <c r="BC249" s="228">
        <f t="shared" si="330"/>
        <v>0</v>
      </c>
      <c r="BD249" s="228">
        <f t="shared" si="331"/>
        <v>0</v>
      </c>
      <c r="BE249" s="228">
        <f t="shared" si="332"/>
        <v>1</v>
      </c>
      <c r="BF249" s="228" t="str">
        <f t="shared" si="333"/>
        <v>ALIVE</v>
      </c>
      <c r="BG249" s="208" t="str">
        <f t="shared" si="334"/>
        <v>Aucune</v>
      </c>
      <c r="BH249" s="208" t="str">
        <f t="shared" si="335"/>
        <v>Aucune</v>
      </c>
      <c r="BI249" s="208" t="str">
        <f t="shared" si="336"/>
        <v>Aucune</v>
      </c>
      <c r="BJ249" s="208" t="str">
        <f t="shared" si="337"/>
        <v>NON</v>
      </c>
      <c r="BK249" s="208" t="str">
        <f t="shared" si="338"/>
        <v>NON</v>
      </c>
      <c r="BL249" s="208" t="str">
        <f t="shared" si="339"/>
        <v>Inconnu</v>
      </c>
      <c r="BM249" s="208" t="str">
        <f t="shared" si="340"/>
        <v>Inconnu</v>
      </c>
      <c r="BN249" s="208" t="str">
        <f t="shared" si="341"/>
        <v>Inconnu</v>
      </c>
      <c r="BO249" s="208" t="str">
        <f t="shared" si="342"/>
        <v>Inconnu</v>
      </c>
      <c r="BP249" s="208" t="str">
        <f t="shared" si="343"/>
        <v>Inconnu</v>
      </c>
      <c r="BQ249" s="208" t="str">
        <f t="shared" si="344"/>
        <v>Inconnu</v>
      </c>
      <c r="BR249" s="208" t="str">
        <f t="shared" si="345"/>
        <v>Aucune</v>
      </c>
      <c r="BS249" s="208">
        <f t="shared" si="346"/>
        <v>0</v>
      </c>
      <c r="BT249" s="229" t="e">
        <f>VLOOKUP($I249,Lieu_Activité!$A:$B,2,FALSE)</f>
        <v>#N/A</v>
      </c>
      <c r="BU249" s="208" t="str">
        <f t="shared" si="347"/>
        <v>Aucun</v>
      </c>
      <c r="BV249" s="208" t="str">
        <f t="shared" si="348"/>
        <v>Aucun</v>
      </c>
      <c r="BW249" s="207" t="str">
        <f t="shared" si="349"/>
        <v>NON</v>
      </c>
      <c r="BX249" s="288"/>
    </row>
    <row r="250" spans="1:76" ht="12.75" customHeight="1" x14ac:dyDescent="0.25">
      <c r="A250" s="231" t="s">
        <v>257</v>
      </c>
      <c r="B250" s="268"/>
      <c r="C250" s="227"/>
      <c r="D250" s="257"/>
      <c r="E250" s="278">
        <f t="shared" ref="E250" si="401">(L250-D250)/365</f>
        <v>0</v>
      </c>
      <c r="F250" s="278" t="str">
        <f t="shared" ref="F250" si="402">IF(E250&lt;80," ","1")</f>
        <v xml:space="preserve"> </v>
      </c>
      <c r="G250" s="256"/>
      <c r="H250" s="256"/>
      <c r="I250" s="256"/>
      <c r="J250" s="256"/>
      <c r="K250" s="256"/>
      <c r="L250" s="257"/>
      <c r="M250" s="243"/>
      <c r="N250" s="232"/>
      <c r="O250" s="232"/>
      <c r="P250" s="265" t="str">
        <f>IFERROR(VLOOKUP(O250,Références!$K$11:$N$19,2)," ")</f>
        <v xml:space="preserve"> </v>
      </c>
      <c r="Q250" s="265" t="str">
        <f>IFERROR(VLOOKUP(O250,Références!$K$11:$N$19,3)," ")</f>
        <v xml:space="preserve"> </v>
      </c>
      <c r="R250" s="265" t="str">
        <f>IFERROR(VLOOKUP(O250,Références!$K$11:$N$19,4)," ")</f>
        <v xml:space="preserve"> </v>
      </c>
      <c r="S250" s="256"/>
      <c r="T250" s="256"/>
      <c r="U250" s="256"/>
      <c r="V250" s="256"/>
      <c r="W250" s="256"/>
      <c r="X250" s="257"/>
      <c r="Y250" s="256"/>
      <c r="Z250" s="256"/>
      <c r="AA250" s="256"/>
      <c r="AB250" s="235"/>
      <c r="AC250" s="235"/>
      <c r="AD250" s="235"/>
      <c r="AE250" s="235"/>
      <c r="AF250" s="235"/>
      <c r="AG250" s="235"/>
      <c r="AH250" s="235"/>
      <c r="AI250" s="235">
        <f t="shared" ref="AI250:AI262" si="403">SUM(AF250,AH250)</f>
        <v>0</v>
      </c>
      <c r="AJ250" s="257"/>
      <c r="AK250" s="256">
        <f t="shared" ref="AK250" si="404">(AJ250-L250)</f>
        <v>0</v>
      </c>
      <c r="AL250" s="257"/>
      <c r="AM250" s="266">
        <f t="shared" ref="AM250" si="405">(AL250-L250)</f>
        <v>0</v>
      </c>
      <c r="AN250" s="256"/>
      <c r="AO250" s="276"/>
      <c r="AP250" s="261" t="str">
        <f t="shared" ref="AP250" si="406">IF(AO250=1,"ELECTIVE",IF(AO250=2,"URGENCY",IF(AO250=3,"EMERGENCY",IF(AO250=4,"SALVAGE"," "))))</f>
        <v xml:space="preserve"> </v>
      </c>
      <c r="AQ250" s="256"/>
      <c r="AR250" s="295"/>
      <c r="AS250" s="295"/>
      <c r="AT250" s="263"/>
      <c r="AU250" s="277"/>
      <c r="AV250" s="263"/>
      <c r="AW250" s="230"/>
      <c r="AX250" s="300"/>
      <c r="AY250" s="301"/>
      <c r="AZ250" s="230"/>
      <c r="BA250" s="302" t="s">
        <v>246</v>
      </c>
      <c r="BB250" s="295"/>
      <c r="BC250" s="228">
        <f t="shared" si="330"/>
        <v>0</v>
      </c>
      <c r="BD250" s="228">
        <f t="shared" ref="BD250" si="407">IF(BH250="Aucune",0,1)</f>
        <v>0</v>
      </c>
      <c r="BE250" s="228">
        <f t="shared" ref="BE250" si="408">IF(AG250="Aucune",0,1)</f>
        <v>1</v>
      </c>
      <c r="BF250" s="228" t="str">
        <f t="shared" ref="BF250" si="409">IF(AO250=1,"ELECTIVE",IF(AO250=2,"URGENCY",IF(AO250=3,"EMERGENCY",IF(AO250=4,"SALVAGE","ALIVE"))))</f>
        <v>ALIVE</v>
      </c>
      <c r="BG250" s="208" t="str">
        <f t="shared" ref="BG250" si="410">IF(AD250="","Aucune","Infection")</f>
        <v>Aucune</v>
      </c>
      <c r="BH250" s="208" t="str">
        <f t="shared" ref="BH250" si="411">IF(AI250&gt;0,"Transfusion","Aucune")</f>
        <v>Aucune</v>
      </c>
      <c r="BI250" s="208" t="str">
        <f t="shared" ref="BI250" si="412">IF(AG250="","Aucune","Transfusé")</f>
        <v>Aucune</v>
      </c>
      <c r="BJ250" s="208" t="str">
        <f t="shared" ref="BJ250" si="413">IF(X250&lt;&gt;"",IF(X250-L250&lt;2,"OUI","NON"),"NON")</f>
        <v>NON</v>
      </c>
      <c r="BK250" s="208" t="str">
        <f t="shared" ref="BK250" si="414">IF(AS250="","NON","OUI")</f>
        <v>NON</v>
      </c>
      <c r="BL250" s="208" t="str">
        <f t="shared" ref="BL250" si="415">IF(AL250-L250&gt;0,AL250-L250,"Inconnu")</f>
        <v>Inconnu</v>
      </c>
      <c r="BM250" s="208" t="str">
        <f t="shared" ref="BM250" si="416">IF($O250&lt;&gt;"HTX",IF($O250&lt;&gt;"LVAD",BL250,"Inconnu"),"Inconnu")</f>
        <v>Inconnu</v>
      </c>
      <c r="BN250" s="208" t="str">
        <f t="shared" ref="BN250" si="417">IF($O250="HTX",BL250,IF($O250="LVAD",BL250,"Inconnu"))</f>
        <v>Inconnu</v>
      </c>
      <c r="BO250" s="208" t="str">
        <f t="shared" ref="BO250" si="418">IF(AJ250-L250&gt;0,AJ250-L250,"Inconnu")</f>
        <v>Inconnu</v>
      </c>
      <c r="BP250" s="208" t="str">
        <f t="shared" ref="BP250" si="419">IF($O250&lt;&gt;"HTX",IF($O250&lt;&gt;"LVAD",BO250,"Inconnu"),"Inconnu")</f>
        <v>Inconnu</v>
      </c>
      <c r="BQ250" s="208" t="str">
        <f t="shared" ref="BQ250" si="420">IF($O250="HTX",BO250,IF($O250="LVAD",BO250,"Inconnu"))</f>
        <v>Inconnu</v>
      </c>
      <c r="BR250" s="208" t="str">
        <f t="shared" ref="BR250" si="421">IF(BH250="Aucune",IF(BI250="Aucune","Aucune","Transfusé"),"Transfusé")</f>
        <v>Aucune</v>
      </c>
      <c r="BS250" s="208">
        <f t="shared" ref="BS250" si="422">AF250+AH250</f>
        <v>0</v>
      </c>
      <c r="BT250" s="229" t="e">
        <f>VLOOKUP($I250,Lieu_Activité!$A:$B,2,FALSE)</f>
        <v>#N/A</v>
      </c>
      <c r="BU250" s="208" t="str">
        <f t="shared" ref="BU250" si="423">IF(AB250="","Aucun","AVC")</f>
        <v>Aucun</v>
      </c>
      <c r="BV250" s="208" t="str">
        <f t="shared" ref="BV250" si="424">IF(AC250="","Aucun","IM")</f>
        <v>Aucun</v>
      </c>
      <c r="BW250" s="207" t="str">
        <f t="shared" ref="BW250" si="425">IF(M250="","NON","OUI")</f>
        <v>NON</v>
      </c>
      <c r="BX250" s="288"/>
    </row>
    <row r="251" spans="1:76" ht="12.75" customHeight="1" x14ac:dyDescent="0.25">
      <c r="A251" s="231" t="s">
        <v>257</v>
      </c>
      <c r="B251" s="267"/>
      <c r="C251" s="227"/>
      <c r="D251" s="257"/>
      <c r="E251" s="278">
        <f t="shared" ref="E251:E258" si="426">(L251-D251)/365</f>
        <v>0</v>
      </c>
      <c r="F251" s="278" t="str">
        <f t="shared" ref="F251" si="427">IF(E251&lt;80," ","1")</f>
        <v xml:space="preserve"> </v>
      </c>
      <c r="G251" s="256"/>
      <c r="H251" s="256"/>
      <c r="I251" s="256"/>
      <c r="J251" s="256"/>
      <c r="K251" s="256"/>
      <c r="L251" s="257"/>
      <c r="M251" s="243"/>
      <c r="N251" s="232"/>
      <c r="O251" s="232"/>
      <c r="P251" s="265" t="str">
        <f>IFERROR(VLOOKUP(O251,Références!$K$11:$N$19,2)," ")</f>
        <v xml:space="preserve"> </v>
      </c>
      <c r="Q251" s="265" t="str">
        <f>IFERROR(VLOOKUP(O251,Références!$K$11:$N$19,3)," ")</f>
        <v xml:space="preserve"> </v>
      </c>
      <c r="R251" s="265" t="str">
        <f>IFERROR(VLOOKUP(O251,Références!$K$11:$N$19,4)," ")</f>
        <v xml:space="preserve"> </v>
      </c>
      <c r="S251" s="256"/>
      <c r="T251" s="256"/>
      <c r="U251" s="256"/>
      <c r="V251" s="256"/>
      <c r="W251" s="256"/>
      <c r="X251" s="257"/>
      <c r="Y251" s="256"/>
      <c r="Z251" s="256"/>
      <c r="AA251" s="256"/>
      <c r="AB251" s="235"/>
      <c r="AC251" s="235"/>
      <c r="AD251" s="235"/>
      <c r="AE251" s="235"/>
      <c r="AF251" s="235"/>
      <c r="AG251" s="235"/>
      <c r="AH251" s="235"/>
      <c r="AI251" s="235">
        <f t="shared" si="403"/>
        <v>0</v>
      </c>
      <c r="AJ251" s="257"/>
      <c r="AK251" s="256">
        <f t="shared" ref="AK251:AK252" si="428">(AJ251-L251)</f>
        <v>0</v>
      </c>
      <c r="AL251" s="257"/>
      <c r="AM251" s="266">
        <f t="shared" ref="AM251:AM252" si="429">(AL251-L251)</f>
        <v>0</v>
      </c>
      <c r="AN251" s="256"/>
      <c r="AO251" s="276"/>
      <c r="AP251" s="261" t="str">
        <f t="shared" ref="AP251:AP252" si="430">IF(AO251=1,"ELECTIVE",IF(AO251=2,"URGENCY",IF(AO251=3,"EMERGENCY",IF(AO251=4,"SALVAGE"," "))))</f>
        <v xml:space="preserve"> </v>
      </c>
      <c r="AQ251" s="256"/>
      <c r="AR251" s="295"/>
      <c r="AS251" s="295"/>
      <c r="AT251" s="263"/>
      <c r="AU251" s="277"/>
      <c r="AV251" s="263"/>
      <c r="AW251" s="230"/>
      <c r="AX251" s="300"/>
      <c r="AY251" s="301"/>
      <c r="AZ251" s="230"/>
      <c r="BA251" s="300"/>
      <c r="BB251" s="295"/>
      <c r="BC251" s="228">
        <f t="shared" si="330"/>
        <v>0</v>
      </c>
      <c r="BD251" s="228">
        <f t="shared" ref="BD251" si="431">IF(BH251="Aucune",0,1)</f>
        <v>0</v>
      </c>
      <c r="BE251" s="228">
        <f t="shared" ref="BE251" si="432">IF(AG251="Aucune",0,1)</f>
        <v>1</v>
      </c>
      <c r="BF251" s="228" t="str">
        <f t="shared" ref="BF251" si="433">IF(AO251=1,"ELECTIVE",IF(AO251=2,"URGENCY",IF(AO251=3,"EMERGENCY",IF(AO251=4,"SALVAGE","ALIVE"))))</f>
        <v>ALIVE</v>
      </c>
      <c r="BG251" s="208" t="str">
        <f t="shared" ref="BG251" si="434">IF(AD251="","Aucune","Infection")</f>
        <v>Aucune</v>
      </c>
      <c r="BH251" s="208" t="str">
        <f t="shared" ref="BH251" si="435">IF(AI251&gt;0,"Transfusion","Aucune")</f>
        <v>Aucune</v>
      </c>
      <c r="BI251" s="208" t="str">
        <f t="shared" ref="BI251" si="436">IF(AG251="","Aucune","Transfusé")</f>
        <v>Aucune</v>
      </c>
      <c r="BJ251" s="208" t="str">
        <f t="shared" ref="BJ251" si="437">IF(X251&lt;&gt;"",IF(X251-L251&lt;2,"OUI","NON"),"NON")</f>
        <v>NON</v>
      </c>
      <c r="BK251" s="208" t="str">
        <f t="shared" ref="BK251" si="438">IF(AS251="","NON","OUI")</f>
        <v>NON</v>
      </c>
      <c r="BL251" s="208" t="str">
        <f t="shared" ref="BL251" si="439">IF(AL251-L251&gt;0,AL251-L251,"Inconnu")</f>
        <v>Inconnu</v>
      </c>
      <c r="BM251" s="208" t="str">
        <f t="shared" ref="BM251" si="440">IF($O251&lt;&gt;"HTX",IF($O251&lt;&gt;"LVAD",BL251,"Inconnu"),"Inconnu")</f>
        <v>Inconnu</v>
      </c>
      <c r="BN251" s="208" t="str">
        <f t="shared" ref="BN251" si="441">IF($O251="HTX",BL251,IF($O251="LVAD",BL251,"Inconnu"))</f>
        <v>Inconnu</v>
      </c>
      <c r="BO251" s="208" t="str">
        <f t="shared" ref="BO251" si="442">IF(AJ251-L251&gt;0,AJ251-L251,"Inconnu")</f>
        <v>Inconnu</v>
      </c>
      <c r="BP251" s="208" t="str">
        <f t="shared" ref="BP251" si="443">IF($O251&lt;&gt;"HTX",IF($O251&lt;&gt;"LVAD",BO251,"Inconnu"),"Inconnu")</f>
        <v>Inconnu</v>
      </c>
      <c r="BQ251" s="208" t="str">
        <f t="shared" ref="BQ251" si="444">IF($O251="HTX",BO251,IF($O251="LVAD",BO251,"Inconnu"))</f>
        <v>Inconnu</v>
      </c>
      <c r="BR251" s="208" t="str">
        <f t="shared" ref="BR251" si="445">IF(BH251="Aucune",IF(BI251="Aucune","Aucune","Transfusé"),"Transfusé")</f>
        <v>Aucune</v>
      </c>
      <c r="BS251" s="208">
        <f t="shared" ref="BS251" si="446">AF251+AH251</f>
        <v>0</v>
      </c>
      <c r="BT251" s="229" t="e">
        <f>VLOOKUP($I251,Lieu_Activité!$A:$B,2,FALSE)</f>
        <v>#N/A</v>
      </c>
      <c r="BU251" s="208" t="str">
        <f t="shared" ref="BU251" si="447">IF(AB251="","Aucun","AVC")</f>
        <v>Aucun</v>
      </c>
      <c r="BV251" s="208" t="str">
        <f t="shared" ref="BV251" si="448">IF(AC251="","Aucun","IM")</f>
        <v>Aucun</v>
      </c>
      <c r="BW251" s="207" t="str">
        <f t="shared" ref="BW251" si="449">IF(M251="","NON","OUI")</f>
        <v>NON</v>
      </c>
      <c r="BX251" s="288"/>
    </row>
    <row r="252" spans="1:76" ht="12.75" customHeight="1" x14ac:dyDescent="0.25">
      <c r="A252" s="231" t="s">
        <v>257</v>
      </c>
      <c r="B252" s="234"/>
      <c r="C252" s="227"/>
      <c r="D252" s="257"/>
      <c r="E252" s="278">
        <f t="shared" si="426"/>
        <v>0</v>
      </c>
      <c r="F252" s="278"/>
      <c r="G252" s="256"/>
      <c r="H252" s="256"/>
      <c r="I252" s="256"/>
      <c r="J252" s="256"/>
      <c r="K252" s="256"/>
      <c r="L252" s="257"/>
      <c r="M252" s="243"/>
      <c r="N252" s="232"/>
      <c r="O252" s="232"/>
      <c r="P252" s="265" t="str">
        <f>IFERROR(VLOOKUP(O252,Références!$K$11:$N$19,2)," ")</f>
        <v xml:space="preserve"> </v>
      </c>
      <c r="Q252" s="265" t="str">
        <f>IFERROR(VLOOKUP(O252,Références!$K$11:$N$19,3)," ")</f>
        <v xml:space="preserve"> </v>
      </c>
      <c r="R252" s="265" t="str">
        <f>IFERROR(VLOOKUP(O252,Références!$K$11:$N$19,4)," ")</f>
        <v xml:space="preserve"> </v>
      </c>
      <c r="S252" s="256"/>
      <c r="T252" s="256"/>
      <c r="U252" s="256"/>
      <c r="V252" s="256"/>
      <c r="W252" s="256"/>
      <c r="X252" s="257"/>
      <c r="Y252" s="256"/>
      <c r="Z252" s="256"/>
      <c r="AA252" s="256"/>
      <c r="AB252" s="235"/>
      <c r="AC252" s="235"/>
      <c r="AD252" s="235"/>
      <c r="AE252" s="235"/>
      <c r="AF252" s="235"/>
      <c r="AG252" s="235"/>
      <c r="AH252" s="235"/>
      <c r="AI252" s="235">
        <f t="shared" si="403"/>
        <v>0</v>
      </c>
      <c r="AJ252" s="257"/>
      <c r="AK252" s="256">
        <f t="shared" si="428"/>
        <v>0</v>
      </c>
      <c r="AL252" s="257"/>
      <c r="AM252" s="266">
        <f t="shared" si="429"/>
        <v>0</v>
      </c>
      <c r="AN252" s="256"/>
      <c r="AO252" s="276"/>
      <c r="AP252" s="261" t="str">
        <f t="shared" si="430"/>
        <v xml:space="preserve"> </v>
      </c>
      <c r="AQ252" s="256"/>
      <c r="AR252" s="295"/>
      <c r="AS252" s="295"/>
      <c r="AT252" s="263"/>
      <c r="AU252" s="277"/>
      <c r="AV252" s="263"/>
      <c r="AW252" s="230"/>
      <c r="AX252" s="300"/>
      <c r="AY252" s="301"/>
      <c r="AZ252" s="300"/>
      <c r="BA252" s="300"/>
      <c r="BB252" s="295"/>
      <c r="BC252" s="228">
        <f t="shared" si="330"/>
        <v>0</v>
      </c>
      <c r="BD252" s="228">
        <f t="shared" ref="BD252:BD257" si="450">IF(BH252="Aucune",0,1)</f>
        <v>0</v>
      </c>
      <c r="BE252" s="228">
        <f t="shared" ref="BE252:BE257" si="451">IF(AG252="Aucune",0,1)</f>
        <v>1</v>
      </c>
      <c r="BF252" s="228" t="str">
        <f t="shared" ref="BF252:BF257" si="452">IF(AO252=1,"ELECTIVE",IF(AO252=2,"URGENCY",IF(AO252=3,"EMERGENCY",IF(AO252=4,"SALVAGE","ALIVE"))))</f>
        <v>ALIVE</v>
      </c>
      <c r="BG252" s="208" t="str">
        <f t="shared" ref="BG252:BG257" si="453">IF(AD252="","Aucune","Infection")</f>
        <v>Aucune</v>
      </c>
      <c r="BH252" s="208" t="str">
        <f t="shared" ref="BH252:BH257" si="454">IF(AI252&gt;0,"Transfusion","Aucune")</f>
        <v>Aucune</v>
      </c>
      <c r="BI252" s="208" t="str">
        <f t="shared" ref="BI252:BI257" si="455">IF(AG252="","Aucune","Transfusé")</f>
        <v>Aucune</v>
      </c>
      <c r="BJ252" s="208" t="str">
        <f t="shared" ref="BJ252:BJ257" si="456">IF(X252&lt;&gt;"",IF(X252-L252&lt;2,"OUI","NON"),"NON")</f>
        <v>NON</v>
      </c>
      <c r="BK252" s="208" t="str">
        <f t="shared" ref="BK252:BK257" si="457">IF(AS252="","NON","OUI")</f>
        <v>NON</v>
      </c>
      <c r="BL252" s="208" t="str">
        <f t="shared" ref="BL252:BL257" si="458">IF(AL252-L252&gt;0,AL252-L252,"Inconnu")</f>
        <v>Inconnu</v>
      </c>
      <c r="BM252" s="208" t="str">
        <f t="shared" ref="BM252:BM257" si="459">IF($O252&lt;&gt;"HTX",IF($O252&lt;&gt;"LVAD",BL252,"Inconnu"),"Inconnu")</f>
        <v>Inconnu</v>
      </c>
      <c r="BN252" s="208" t="str">
        <f t="shared" ref="BN252:BN257" si="460">IF($O252="HTX",BL252,IF($O252="LVAD",BL252,"Inconnu"))</f>
        <v>Inconnu</v>
      </c>
      <c r="BO252" s="208" t="str">
        <f t="shared" ref="BO252:BO257" si="461">IF(AJ252-L252&gt;0,AJ252-L252,"Inconnu")</f>
        <v>Inconnu</v>
      </c>
      <c r="BP252" s="208" t="str">
        <f t="shared" ref="BP252:BP257" si="462">IF($O252&lt;&gt;"HTX",IF($O252&lt;&gt;"LVAD",BO252,"Inconnu"),"Inconnu")</f>
        <v>Inconnu</v>
      </c>
      <c r="BQ252" s="208" t="str">
        <f t="shared" ref="BQ252:BQ257" si="463">IF($O252="HTX",BO252,IF($O252="LVAD",BO252,"Inconnu"))</f>
        <v>Inconnu</v>
      </c>
      <c r="BR252" s="208" t="str">
        <f t="shared" ref="BR252:BR257" si="464">IF(BH252="Aucune",IF(BI252="Aucune","Aucune","Transfusé"),"Transfusé")</f>
        <v>Aucune</v>
      </c>
      <c r="BS252" s="208">
        <f t="shared" ref="BS252:BS257" si="465">AF252+AH252</f>
        <v>0</v>
      </c>
      <c r="BT252" s="229" t="e">
        <f>VLOOKUP($I252,Lieu_Activité!$A:$B,2,FALSE)</f>
        <v>#N/A</v>
      </c>
      <c r="BU252" s="208" t="str">
        <f t="shared" ref="BU252:BU257" si="466">IF(AB252="","Aucun","AVC")</f>
        <v>Aucun</v>
      </c>
      <c r="BV252" s="208" t="str">
        <f t="shared" ref="BV252:BV257" si="467">IF(AC252="","Aucun","IM")</f>
        <v>Aucun</v>
      </c>
      <c r="BW252" s="207" t="str">
        <f t="shared" ref="BW252:BW257" si="468">IF(M252="","NON","OUI")</f>
        <v>NON</v>
      </c>
      <c r="BX252" s="288"/>
    </row>
    <row r="253" spans="1:76" ht="12.75" customHeight="1" x14ac:dyDescent="0.25">
      <c r="A253" s="231" t="s">
        <v>257</v>
      </c>
      <c r="B253" s="234"/>
      <c r="C253" s="227"/>
      <c r="D253" s="257"/>
      <c r="E253" s="278">
        <f t="shared" si="426"/>
        <v>0</v>
      </c>
      <c r="F253" s="278"/>
      <c r="G253" s="256"/>
      <c r="H253" s="256"/>
      <c r="I253" s="256"/>
      <c r="J253" s="256"/>
      <c r="K253" s="256"/>
      <c r="L253" s="257"/>
      <c r="M253" s="243"/>
      <c r="N253" s="232"/>
      <c r="O253" s="232"/>
      <c r="P253" s="265" t="str">
        <f>IFERROR(VLOOKUP(O253,Références!$K$11:$N$19,2)," ")</f>
        <v xml:space="preserve"> </v>
      </c>
      <c r="Q253" s="265" t="str">
        <f>IFERROR(VLOOKUP(O253,Références!$K$11:$N$19,3)," ")</f>
        <v xml:space="preserve"> </v>
      </c>
      <c r="R253" s="265" t="str">
        <f>IFERROR(VLOOKUP(O253,Références!$K$11:$N$19,4)," ")</f>
        <v xml:space="preserve"> </v>
      </c>
      <c r="S253" s="256"/>
      <c r="T253" s="256"/>
      <c r="U253" s="256"/>
      <c r="V253" s="256"/>
      <c r="W253" s="256"/>
      <c r="X253" s="257"/>
      <c r="Y253" s="256"/>
      <c r="Z253" s="256"/>
      <c r="AA253" s="256"/>
      <c r="AB253" s="235"/>
      <c r="AC253" s="235"/>
      <c r="AD253" s="274"/>
      <c r="AE253" s="235"/>
      <c r="AF253" s="235"/>
      <c r="AG253" s="235"/>
      <c r="AH253" s="235"/>
      <c r="AI253" s="235">
        <f t="shared" si="403"/>
        <v>0</v>
      </c>
      <c r="AJ253" s="257"/>
      <c r="AK253" s="256">
        <f t="shared" ref="AK253:AK258" si="469">(AJ253-L253)</f>
        <v>0</v>
      </c>
      <c r="AL253" s="257"/>
      <c r="AM253" s="266">
        <f t="shared" ref="AM253:AM258" si="470">(AL253-L253)</f>
        <v>0</v>
      </c>
      <c r="AN253" s="256"/>
      <c r="AO253" s="276"/>
      <c r="AP253" s="261" t="str">
        <f t="shared" ref="AP253:AP258" si="471">IF(AO253=1,"ELECTIVE",IF(AO253=2,"URGENCY",IF(AO253=3,"EMERGENCY",IF(AO253=4,"SALVAGE"," "))))</f>
        <v xml:space="preserve"> </v>
      </c>
      <c r="AQ253" s="256"/>
      <c r="AR253" s="295"/>
      <c r="AS253" s="295"/>
      <c r="AT253" s="263"/>
      <c r="AU253" s="277"/>
      <c r="AV253" s="263"/>
      <c r="AW253" s="230"/>
      <c r="AX253" s="300"/>
      <c r="AY253" s="301"/>
      <c r="AZ253" s="300"/>
      <c r="BA253" s="300"/>
      <c r="BB253" s="295"/>
      <c r="BC253" s="228">
        <f t="shared" si="330"/>
        <v>0</v>
      </c>
      <c r="BD253" s="228">
        <f t="shared" si="450"/>
        <v>0</v>
      </c>
      <c r="BE253" s="228">
        <f t="shared" si="451"/>
        <v>1</v>
      </c>
      <c r="BF253" s="228" t="str">
        <f t="shared" si="452"/>
        <v>ALIVE</v>
      </c>
      <c r="BG253" s="208" t="str">
        <f t="shared" si="453"/>
        <v>Aucune</v>
      </c>
      <c r="BH253" s="208" t="str">
        <f t="shared" si="454"/>
        <v>Aucune</v>
      </c>
      <c r="BI253" s="208" t="str">
        <f t="shared" si="455"/>
        <v>Aucune</v>
      </c>
      <c r="BJ253" s="208" t="str">
        <f t="shared" si="456"/>
        <v>NON</v>
      </c>
      <c r="BK253" s="208" t="str">
        <f t="shared" si="457"/>
        <v>NON</v>
      </c>
      <c r="BL253" s="208" t="str">
        <f t="shared" si="458"/>
        <v>Inconnu</v>
      </c>
      <c r="BM253" s="208" t="str">
        <f t="shared" si="459"/>
        <v>Inconnu</v>
      </c>
      <c r="BN253" s="208" t="str">
        <f t="shared" si="460"/>
        <v>Inconnu</v>
      </c>
      <c r="BO253" s="208" t="str">
        <f t="shared" si="461"/>
        <v>Inconnu</v>
      </c>
      <c r="BP253" s="208" t="str">
        <f t="shared" si="462"/>
        <v>Inconnu</v>
      </c>
      <c r="BQ253" s="208" t="str">
        <f t="shared" si="463"/>
        <v>Inconnu</v>
      </c>
      <c r="BR253" s="208" t="str">
        <f t="shared" si="464"/>
        <v>Aucune</v>
      </c>
      <c r="BS253" s="208">
        <f t="shared" si="465"/>
        <v>0</v>
      </c>
      <c r="BT253" s="229" t="e">
        <f>VLOOKUP($I253,Lieu_Activité!$A:$B,2,FALSE)</f>
        <v>#N/A</v>
      </c>
      <c r="BU253" s="208" t="str">
        <f t="shared" si="466"/>
        <v>Aucun</v>
      </c>
      <c r="BV253" s="208" t="str">
        <f t="shared" si="467"/>
        <v>Aucun</v>
      </c>
      <c r="BW253" s="207" t="str">
        <f t="shared" si="468"/>
        <v>NON</v>
      </c>
      <c r="BX253" s="288"/>
    </row>
    <row r="254" spans="1:76" ht="12.75" customHeight="1" x14ac:dyDescent="0.25">
      <c r="A254" s="231" t="s">
        <v>257</v>
      </c>
      <c r="B254" s="268"/>
      <c r="C254" s="227"/>
      <c r="D254" s="257"/>
      <c r="E254" s="278">
        <f t="shared" si="426"/>
        <v>0</v>
      </c>
      <c r="F254" s="278"/>
      <c r="G254" s="256"/>
      <c r="H254" s="256"/>
      <c r="I254" s="256"/>
      <c r="J254" s="256"/>
      <c r="K254" s="256"/>
      <c r="L254" s="257"/>
      <c r="M254" s="243"/>
      <c r="N254" s="232"/>
      <c r="O254" s="232"/>
      <c r="P254" s="265" t="str">
        <f>IFERROR(VLOOKUP(O254,Références!$K$11:$N$19,2)," ")</f>
        <v xml:space="preserve"> </v>
      </c>
      <c r="Q254" s="265" t="str">
        <f>IFERROR(VLOOKUP(O254,Références!$K$11:$N$19,3)," ")</f>
        <v xml:space="preserve"> </v>
      </c>
      <c r="R254" s="265" t="str">
        <f>IFERROR(VLOOKUP(O254,Références!$K$11:$N$19,4)," ")</f>
        <v xml:space="preserve"> </v>
      </c>
      <c r="S254" s="256"/>
      <c r="T254" s="256"/>
      <c r="U254" s="256"/>
      <c r="V254" s="256"/>
      <c r="W254" s="256"/>
      <c r="X254" s="257"/>
      <c r="Y254" s="256"/>
      <c r="Z254" s="256"/>
      <c r="AA254" s="256"/>
      <c r="AB254" s="235"/>
      <c r="AC254" s="235"/>
      <c r="AD254" s="235"/>
      <c r="AE254" s="235"/>
      <c r="AF254" s="235"/>
      <c r="AG254" s="235"/>
      <c r="AH254" s="235"/>
      <c r="AI254" s="235">
        <f t="shared" si="403"/>
        <v>0</v>
      </c>
      <c r="AJ254" s="257"/>
      <c r="AK254" s="256">
        <f t="shared" si="469"/>
        <v>0</v>
      </c>
      <c r="AL254" s="257"/>
      <c r="AM254" s="266">
        <f t="shared" si="470"/>
        <v>0</v>
      </c>
      <c r="AN254" s="256"/>
      <c r="AO254" s="276"/>
      <c r="AP254" s="261" t="str">
        <f t="shared" si="471"/>
        <v xml:space="preserve"> </v>
      </c>
      <c r="AQ254" s="256"/>
      <c r="AR254" s="295"/>
      <c r="AS254" s="295"/>
      <c r="AT254" s="263"/>
      <c r="AU254" s="277"/>
      <c r="AV254" s="263"/>
      <c r="AW254" s="230"/>
      <c r="AX254" s="300"/>
      <c r="AY254" s="301"/>
      <c r="AZ254" s="230"/>
      <c r="BA254" s="302" t="s">
        <v>246</v>
      </c>
      <c r="BB254" s="295"/>
      <c r="BC254" s="228">
        <f t="shared" si="330"/>
        <v>0</v>
      </c>
      <c r="BD254" s="228">
        <f t="shared" si="450"/>
        <v>0</v>
      </c>
      <c r="BE254" s="228">
        <f t="shared" si="451"/>
        <v>1</v>
      </c>
      <c r="BF254" s="228" t="str">
        <f t="shared" si="452"/>
        <v>ALIVE</v>
      </c>
      <c r="BG254" s="208" t="str">
        <f t="shared" si="453"/>
        <v>Aucune</v>
      </c>
      <c r="BH254" s="208" t="str">
        <f t="shared" si="454"/>
        <v>Aucune</v>
      </c>
      <c r="BI254" s="208" t="str">
        <f t="shared" si="455"/>
        <v>Aucune</v>
      </c>
      <c r="BJ254" s="208" t="str">
        <f t="shared" si="456"/>
        <v>NON</v>
      </c>
      <c r="BK254" s="208" t="str">
        <f t="shared" si="457"/>
        <v>NON</v>
      </c>
      <c r="BL254" s="208" t="str">
        <f t="shared" si="458"/>
        <v>Inconnu</v>
      </c>
      <c r="BM254" s="208" t="str">
        <f t="shared" si="459"/>
        <v>Inconnu</v>
      </c>
      <c r="BN254" s="208" t="str">
        <f t="shared" si="460"/>
        <v>Inconnu</v>
      </c>
      <c r="BO254" s="208" t="str">
        <f t="shared" si="461"/>
        <v>Inconnu</v>
      </c>
      <c r="BP254" s="208" t="str">
        <f t="shared" si="462"/>
        <v>Inconnu</v>
      </c>
      <c r="BQ254" s="208" t="str">
        <f t="shared" si="463"/>
        <v>Inconnu</v>
      </c>
      <c r="BR254" s="208" t="str">
        <f t="shared" si="464"/>
        <v>Aucune</v>
      </c>
      <c r="BS254" s="208">
        <f t="shared" si="465"/>
        <v>0</v>
      </c>
      <c r="BT254" s="229" t="e">
        <f>VLOOKUP($I254,Lieu_Activité!$A:$B,2,FALSE)</f>
        <v>#N/A</v>
      </c>
      <c r="BU254" s="208" t="str">
        <f t="shared" si="466"/>
        <v>Aucun</v>
      </c>
      <c r="BV254" s="208" t="str">
        <f t="shared" si="467"/>
        <v>Aucun</v>
      </c>
      <c r="BW254" s="207" t="str">
        <f t="shared" si="468"/>
        <v>NON</v>
      </c>
      <c r="BX254" s="288"/>
    </row>
    <row r="255" spans="1:76" ht="12.75" customHeight="1" x14ac:dyDescent="0.25">
      <c r="A255" s="231" t="s">
        <v>257</v>
      </c>
      <c r="B255" s="234"/>
      <c r="C255" s="227"/>
      <c r="D255" s="257"/>
      <c r="E255" s="278">
        <f t="shared" si="426"/>
        <v>0</v>
      </c>
      <c r="F255" s="278"/>
      <c r="G255" s="256"/>
      <c r="H255" s="256"/>
      <c r="I255" s="256"/>
      <c r="J255" s="256"/>
      <c r="K255" s="256"/>
      <c r="L255" s="257"/>
      <c r="M255" s="243"/>
      <c r="N255" s="232"/>
      <c r="O255" s="232"/>
      <c r="P255" s="265" t="str">
        <f>IFERROR(VLOOKUP(O255,Références!$K$11:$N$19,2)," ")</f>
        <v xml:space="preserve"> </v>
      </c>
      <c r="Q255" s="265" t="str">
        <f>IFERROR(VLOOKUP(O255,Références!$K$11:$N$19,3)," ")</f>
        <v xml:space="preserve"> </v>
      </c>
      <c r="R255" s="265" t="str">
        <f>IFERROR(VLOOKUP(O255,Références!$K$11:$N$19,4)," ")</f>
        <v xml:space="preserve"> </v>
      </c>
      <c r="S255" s="256"/>
      <c r="T255" s="256"/>
      <c r="U255" s="256"/>
      <c r="V255" s="256"/>
      <c r="W255" s="256"/>
      <c r="X255" s="257"/>
      <c r="Y255" s="256"/>
      <c r="Z255" s="256"/>
      <c r="AA255" s="256"/>
      <c r="AB255" s="235"/>
      <c r="AC255" s="235"/>
      <c r="AD255" s="235"/>
      <c r="AE255" s="235"/>
      <c r="AF255" s="235"/>
      <c r="AG255" s="235"/>
      <c r="AH255" s="235"/>
      <c r="AI255" s="235">
        <f t="shared" si="403"/>
        <v>0</v>
      </c>
      <c r="AJ255" s="257"/>
      <c r="AK255" s="256">
        <f t="shared" si="469"/>
        <v>0</v>
      </c>
      <c r="AL255" s="257"/>
      <c r="AM255" s="266">
        <f t="shared" si="470"/>
        <v>0</v>
      </c>
      <c r="AN255" s="256"/>
      <c r="AO255" s="276"/>
      <c r="AP255" s="261" t="str">
        <f t="shared" si="471"/>
        <v xml:space="preserve"> </v>
      </c>
      <c r="AQ255" s="256"/>
      <c r="AR255" s="295"/>
      <c r="AS255" s="295"/>
      <c r="AT255" s="263"/>
      <c r="AU255" s="277"/>
      <c r="AV255" s="263"/>
      <c r="AW255" s="230"/>
      <c r="AX255" s="300"/>
      <c r="AY255" s="301"/>
      <c r="AZ255" s="300"/>
      <c r="BA255" s="300"/>
      <c r="BB255" s="295"/>
      <c r="BC255" s="228">
        <f t="shared" si="330"/>
        <v>0</v>
      </c>
      <c r="BD255" s="228">
        <f t="shared" si="450"/>
        <v>0</v>
      </c>
      <c r="BE255" s="228">
        <f t="shared" si="451"/>
        <v>1</v>
      </c>
      <c r="BF255" s="228" t="str">
        <f t="shared" si="452"/>
        <v>ALIVE</v>
      </c>
      <c r="BG255" s="208" t="str">
        <f t="shared" si="453"/>
        <v>Aucune</v>
      </c>
      <c r="BH255" s="208" t="str">
        <f t="shared" si="454"/>
        <v>Aucune</v>
      </c>
      <c r="BI255" s="208" t="str">
        <f t="shared" si="455"/>
        <v>Aucune</v>
      </c>
      <c r="BJ255" s="208" t="str">
        <f t="shared" si="456"/>
        <v>NON</v>
      </c>
      <c r="BK255" s="208" t="str">
        <f t="shared" si="457"/>
        <v>NON</v>
      </c>
      <c r="BL255" s="208" t="str">
        <f t="shared" si="458"/>
        <v>Inconnu</v>
      </c>
      <c r="BM255" s="208" t="str">
        <f t="shared" si="459"/>
        <v>Inconnu</v>
      </c>
      <c r="BN255" s="208" t="str">
        <f t="shared" si="460"/>
        <v>Inconnu</v>
      </c>
      <c r="BO255" s="208" t="str">
        <f t="shared" si="461"/>
        <v>Inconnu</v>
      </c>
      <c r="BP255" s="208" t="str">
        <f t="shared" si="462"/>
        <v>Inconnu</v>
      </c>
      <c r="BQ255" s="208" t="str">
        <f t="shared" si="463"/>
        <v>Inconnu</v>
      </c>
      <c r="BR255" s="208" t="str">
        <f t="shared" si="464"/>
        <v>Aucune</v>
      </c>
      <c r="BS255" s="208">
        <f t="shared" si="465"/>
        <v>0</v>
      </c>
      <c r="BT255" s="229" t="e">
        <f>VLOOKUP($I255,Lieu_Activité!$A:$B,2,FALSE)</f>
        <v>#N/A</v>
      </c>
      <c r="BU255" s="208" t="str">
        <f t="shared" si="466"/>
        <v>Aucun</v>
      </c>
      <c r="BV255" s="208" t="str">
        <f t="shared" si="467"/>
        <v>Aucun</v>
      </c>
      <c r="BW255" s="207" t="str">
        <f t="shared" si="468"/>
        <v>NON</v>
      </c>
      <c r="BX255" s="288"/>
    </row>
    <row r="256" spans="1:76" ht="12.75" customHeight="1" x14ac:dyDescent="0.25">
      <c r="A256" s="231" t="s">
        <v>257</v>
      </c>
      <c r="B256" s="234"/>
      <c r="C256" s="227"/>
      <c r="D256" s="257"/>
      <c r="E256" s="278">
        <f t="shared" si="426"/>
        <v>0</v>
      </c>
      <c r="F256" s="278"/>
      <c r="G256" s="256"/>
      <c r="H256" s="256"/>
      <c r="I256" s="256"/>
      <c r="J256" s="256"/>
      <c r="K256" s="256"/>
      <c r="L256" s="257"/>
      <c r="M256" s="243"/>
      <c r="N256" s="232"/>
      <c r="O256" s="232"/>
      <c r="P256" s="265" t="str">
        <f>IFERROR(VLOOKUP(O256,Références!$K$11:$N$19,2)," ")</f>
        <v xml:space="preserve"> </v>
      </c>
      <c r="Q256" s="265" t="str">
        <f>IFERROR(VLOOKUP(O256,Références!$K$11:$N$19,3)," ")</f>
        <v xml:space="preserve"> </v>
      </c>
      <c r="R256" s="265" t="str">
        <f>IFERROR(VLOOKUP(O256,Références!$K$11:$N$19,4)," ")</f>
        <v xml:space="preserve"> </v>
      </c>
      <c r="S256" s="256"/>
      <c r="T256" s="256"/>
      <c r="U256" s="256"/>
      <c r="V256" s="256"/>
      <c r="W256" s="256"/>
      <c r="X256" s="257"/>
      <c r="Y256" s="256"/>
      <c r="Z256" s="256"/>
      <c r="AA256" s="256"/>
      <c r="AB256" s="235"/>
      <c r="AC256" s="235"/>
      <c r="AD256" s="235"/>
      <c r="AE256" s="235"/>
      <c r="AF256" s="235"/>
      <c r="AG256" s="235"/>
      <c r="AH256" s="235"/>
      <c r="AI256" s="235">
        <f t="shared" si="403"/>
        <v>0</v>
      </c>
      <c r="AJ256" s="257"/>
      <c r="AK256" s="256">
        <f t="shared" si="469"/>
        <v>0</v>
      </c>
      <c r="AL256" s="257"/>
      <c r="AM256" s="266">
        <f t="shared" si="470"/>
        <v>0</v>
      </c>
      <c r="AN256" s="256"/>
      <c r="AO256" s="276"/>
      <c r="AP256" s="261" t="str">
        <f t="shared" si="471"/>
        <v xml:space="preserve"> </v>
      </c>
      <c r="AQ256" s="256"/>
      <c r="AR256" s="295"/>
      <c r="AS256" s="295"/>
      <c r="AT256" s="263"/>
      <c r="AU256" s="277"/>
      <c r="AV256" s="263"/>
      <c r="AW256" s="230"/>
      <c r="AX256" s="300"/>
      <c r="AY256" s="301"/>
      <c r="AZ256" s="300"/>
      <c r="BA256" s="300"/>
      <c r="BB256" s="295"/>
      <c r="BC256" s="228">
        <f t="shared" si="330"/>
        <v>0</v>
      </c>
      <c r="BD256" s="228">
        <f t="shared" si="450"/>
        <v>0</v>
      </c>
      <c r="BE256" s="228">
        <f t="shared" si="451"/>
        <v>1</v>
      </c>
      <c r="BF256" s="228" t="str">
        <f t="shared" si="452"/>
        <v>ALIVE</v>
      </c>
      <c r="BG256" s="208" t="str">
        <f t="shared" si="453"/>
        <v>Aucune</v>
      </c>
      <c r="BH256" s="208" t="str">
        <f t="shared" si="454"/>
        <v>Aucune</v>
      </c>
      <c r="BI256" s="208" t="str">
        <f t="shared" si="455"/>
        <v>Aucune</v>
      </c>
      <c r="BJ256" s="208" t="str">
        <f t="shared" si="456"/>
        <v>NON</v>
      </c>
      <c r="BK256" s="208" t="str">
        <f t="shared" si="457"/>
        <v>NON</v>
      </c>
      <c r="BL256" s="208" t="str">
        <f t="shared" si="458"/>
        <v>Inconnu</v>
      </c>
      <c r="BM256" s="208" t="str">
        <f t="shared" si="459"/>
        <v>Inconnu</v>
      </c>
      <c r="BN256" s="208" t="str">
        <f t="shared" si="460"/>
        <v>Inconnu</v>
      </c>
      <c r="BO256" s="208" t="str">
        <f t="shared" si="461"/>
        <v>Inconnu</v>
      </c>
      <c r="BP256" s="208" t="str">
        <f t="shared" si="462"/>
        <v>Inconnu</v>
      </c>
      <c r="BQ256" s="208" t="str">
        <f t="shared" si="463"/>
        <v>Inconnu</v>
      </c>
      <c r="BR256" s="208" t="str">
        <f t="shared" si="464"/>
        <v>Aucune</v>
      </c>
      <c r="BS256" s="208">
        <f t="shared" si="465"/>
        <v>0</v>
      </c>
      <c r="BT256" s="229" t="e">
        <f>VLOOKUP($I256,Lieu_Activité!$A:$B,2,FALSE)</f>
        <v>#N/A</v>
      </c>
      <c r="BU256" s="208" t="str">
        <f t="shared" si="466"/>
        <v>Aucun</v>
      </c>
      <c r="BV256" s="208" t="str">
        <f t="shared" si="467"/>
        <v>Aucun</v>
      </c>
      <c r="BW256" s="207" t="str">
        <f t="shared" si="468"/>
        <v>NON</v>
      </c>
      <c r="BX256" s="288"/>
    </row>
    <row r="257" spans="1:76" ht="12.75" customHeight="1" x14ac:dyDescent="0.25">
      <c r="A257" s="231" t="s">
        <v>257</v>
      </c>
      <c r="B257" s="234"/>
      <c r="C257" s="227"/>
      <c r="D257" s="257"/>
      <c r="E257" s="278">
        <f t="shared" si="426"/>
        <v>0</v>
      </c>
      <c r="F257" s="278"/>
      <c r="G257" s="256"/>
      <c r="H257" s="256"/>
      <c r="I257" s="256"/>
      <c r="J257" s="256"/>
      <c r="K257" s="256"/>
      <c r="L257" s="257"/>
      <c r="M257" s="243"/>
      <c r="N257" s="232"/>
      <c r="O257" s="232"/>
      <c r="P257" s="265" t="str">
        <f>IFERROR(VLOOKUP(O257,Références!$K$11:$N$19,2)," ")</f>
        <v xml:space="preserve"> </v>
      </c>
      <c r="Q257" s="265" t="str">
        <f>IFERROR(VLOOKUP(O257,Références!$K$11:$N$19,3)," ")</f>
        <v xml:space="preserve"> </v>
      </c>
      <c r="R257" s="265" t="str">
        <f>IFERROR(VLOOKUP(O257,Références!$K$11:$N$19,4)," ")</f>
        <v xml:space="preserve"> </v>
      </c>
      <c r="S257" s="256"/>
      <c r="T257" s="256"/>
      <c r="U257" s="256"/>
      <c r="V257" s="256"/>
      <c r="W257" s="256"/>
      <c r="X257" s="257"/>
      <c r="Y257" s="256"/>
      <c r="Z257" s="256"/>
      <c r="AA257" s="256"/>
      <c r="AB257" s="235"/>
      <c r="AC257" s="235"/>
      <c r="AD257" s="235"/>
      <c r="AE257" s="235"/>
      <c r="AF257" s="235"/>
      <c r="AG257" s="235"/>
      <c r="AH257" s="235"/>
      <c r="AI257" s="235">
        <f t="shared" ref="AI257:AI258" si="472">SUM(AF257,AH257)</f>
        <v>0</v>
      </c>
      <c r="AJ257" s="257"/>
      <c r="AK257" s="256">
        <f t="shared" si="469"/>
        <v>0</v>
      </c>
      <c r="AL257" s="257"/>
      <c r="AM257" s="266">
        <f t="shared" si="470"/>
        <v>0</v>
      </c>
      <c r="AN257" s="256"/>
      <c r="AO257" s="276"/>
      <c r="AP257" s="261" t="str">
        <f t="shared" si="471"/>
        <v xml:space="preserve"> </v>
      </c>
      <c r="AQ257" s="256"/>
      <c r="AR257" s="295"/>
      <c r="AS257" s="295"/>
      <c r="AT257" s="263"/>
      <c r="AU257" s="277"/>
      <c r="AV257" s="263"/>
      <c r="AW257" s="230"/>
      <c r="AX257" s="300"/>
      <c r="AY257" s="301"/>
      <c r="AZ257" s="300"/>
      <c r="BA257" s="300"/>
      <c r="BB257" s="295"/>
      <c r="BC257" s="228">
        <f t="shared" si="330"/>
        <v>0</v>
      </c>
      <c r="BD257" s="228">
        <f t="shared" si="450"/>
        <v>0</v>
      </c>
      <c r="BE257" s="228">
        <f t="shared" si="451"/>
        <v>1</v>
      </c>
      <c r="BF257" s="228" t="str">
        <f t="shared" si="452"/>
        <v>ALIVE</v>
      </c>
      <c r="BG257" s="208" t="str">
        <f t="shared" si="453"/>
        <v>Aucune</v>
      </c>
      <c r="BH257" s="208" t="str">
        <f t="shared" si="454"/>
        <v>Aucune</v>
      </c>
      <c r="BI257" s="208" t="str">
        <f t="shared" si="455"/>
        <v>Aucune</v>
      </c>
      <c r="BJ257" s="208" t="str">
        <f t="shared" si="456"/>
        <v>NON</v>
      </c>
      <c r="BK257" s="208" t="str">
        <f t="shared" si="457"/>
        <v>NON</v>
      </c>
      <c r="BL257" s="208" t="str">
        <f t="shared" si="458"/>
        <v>Inconnu</v>
      </c>
      <c r="BM257" s="208" t="str">
        <f t="shared" si="459"/>
        <v>Inconnu</v>
      </c>
      <c r="BN257" s="208" t="str">
        <f t="shared" si="460"/>
        <v>Inconnu</v>
      </c>
      <c r="BO257" s="208" t="str">
        <f t="shared" si="461"/>
        <v>Inconnu</v>
      </c>
      <c r="BP257" s="208" t="str">
        <f t="shared" si="462"/>
        <v>Inconnu</v>
      </c>
      <c r="BQ257" s="208" t="str">
        <f t="shared" si="463"/>
        <v>Inconnu</v>
      </c>
      <c r="BR257" s="208" t="str">
        <f t="shared" si="464"/>
        <v>Aucune</v>
      </c>
      <c r="BS257" s="208">
        <f t="shared" si="465"/>
        <v>0</v>
      </c>
      <c r="BT257" s="229" t="e">
        <f>VLOOKUP($I257,Lieu_Activité!$A:$B,2,FALSE)</f>
        <v>#N/A</v>
      </c>
      <c r="BU257" s="208" t="str">
        <f t="shared" si="466"/>
        <v>Aucun</v>
      </c>
      <c r="BV257" s="208" t="str">
        <f t="shared" si="467"/>
        <v>Aucun</v>
      </c>
      <c r="BW257" s="207" t="str">
        <f t="shared" si="468"/>
        <v>NON</v>
      </c>
      <c r="BX257" s="288"/>
    </row>
    <row r="258" spans="1:76" ht="12.75" customHeight="1" x14ac:dyDescent="0.25">
      <c r="A258" s="231" t="s">
        <v>257</v>
      </c>
      <c r="B258" s="234"/>
      <c r="C258" s="227"/>
      <c r="D258" s="257"/>
      <c r="E258" s="278">
        <f t="shared" si="426"/>
        <v>0</v>
      </c>
      <c r="F258" s="278"/>
      <c r="G258" s="256"/>
      <c r="H258" s="256"/>
      <c r="I258" s="256"/>
      <c r="J258" s="256"/>
      <c r="K258" s="256"/>
      <c r="L258" s="257"/>
      <c r="M258" s="243"/>
      <c r="N258" s="232"/>
      <c r="O258" s="232"/>
      <c r="P258" s="265" t="str">
        <f>IFERROR(VLOOKUP(O258,Références!$K$11:$N$19,2)," ")</f>
        <v xml:space="preserve"> </v>
      </c>
      <c r="Q258" s="265" t="str">
        <f>IFERROR(VLOOKUP(O258,Références!$K$11:$N$19,3)," ")</f>
        <v xml:space="preserve"> </v>
      </c>
      <c r="R258" s="265" t="str">
        <f>IFERROR(VLOOKUP(O258,Références!$K$11:$N$19,4)," ")</f>
        <v xml:space="preserve"> </v>
      </c>
      <c r="S258" s="256"/>
      <c r="T258" s="256"/>
      <c r="U258" s="256"/>
      <c r="V258" s="256"/>
      <c r="W258" s="256"/>
      <c r="X258" s="257"/>
      <c r="Y258" s="256"/>
      <c r="Z258" s="256"/>
      <c r="AA258" s="256"/>
      <c r="AB258" s="235"/>
      <c r="AC258" s="235"/>
      <c r="AD258" s="235"/>
      <c r="AE258" s="235"/>
      <c r="AF258" s="235"/>
      <c r="AG258" s="235"/>
      <c r="AH258" s="235"/>
      <c r="AI258" s="235">
        <f t="shared" si="472"/>
        <v>0</v>
      </c>
      <c r="AJ258" s="257"/>
      <c r="AK258" s="256">
        <f t="shared" si="469"/>
        <v>0</v>
      </c>
      <c r="AL258" s="257"/>
      <c r="AM258" s="266">
        <f t="shared" si="470"/>
        <v>0</v>
      </c>
      <c r="AN258" s="256"/>
      <c r="AO258" s="276"/>
      <c r="AP258" s="261" t="str">
        <f t="shared" si="471"/>
        <v xml:space="preserve"> </v>
      </c>
      <c r="AQ258" s="256"/>
      <c r="AR258" s="295"/>
      <c r="AS258" s="295"/>
      <c r="AT258" s="263"/>
      <c r="AU258" s="277"/>
      <c r="AV258" s="263"/>
      <c r="AW258" s="230"/>
      <c r="AX258" s="300"/>
      <c r="AY258" s="301"/>
      <c r="AZ258" s="300"/>
      <c r="BA258" s="300"/>
      <c r="BB258" s="295"/>
      <c r="BC258" s="228">
        <f t="shared" ref="BC258" si="473">IF(BG258="Aucune",0,1)</f>
        <v>0</v>
      </c>
      <c r="BD258" s="228">
        <f t="shared" ref="BD258" si="474">IF(BH258="Aucune",0,1)</f>
        <v>0</v>
      </c>
      <c r="BE258" s="228">
        <f t="shared" ref="BE258" si="475">IF(AG258="Aucune",0,1)</f>
        <v>1</v>
      </c>
      <c r="BF258" s="228" t="str">
        <f t="shared" ref="BF258" si="476">IF(AO258=1,"ELECTIVE",IF(AO258=2,"URGENCY",IF(AO258=3,"EMERGENCY",IF(AO258=4,"SALVAGE","ALIVE"))))</f>
        <v>ALIVE</v>
      </c>
      <c r="BG258" s="208" t="str">
        <f t="shared" ref="BG258" si="477">IF(AD258="","Aucune","Infection")</f>
        <v>Aucune</v>
      </c>
      <c r="BH258" s="208" t="str">
        <f t="shared" ref="BH258" si="478">IF(AI258&gt;0,"Transfusion","Aucune")</f>
        <v>Aucune</v>
      </c>
      <c r="BI258" s="208" t="str">
        <f t="shared" ref="BI258" si="479">IF(AG258="","Aucune","Transfusé")</f>
        <v>Aucune</v>
      </c>
      <c r="BJ258" s="208" t="str">
        <f t="shared" ref="BJ258" si="480">IF(X258&lt;&gt;"",IF(X258-L258&lt;2,"OUI","NON"),"NON")</f>
        <v>NON</v>
      </c>
      <c r="BK258" s="208" t="str">
        <f t="shared" ref="BK258" si="481">IF(AS258="","NON","OUI")</f>
        <v>NON</v>
      </c>
      <c r="BL258" s="208" t="str">
        <f t="shared" ref="BL258" si="482">IF(AL258-L258&gt;0,AL258-L258,"Inconnu")</f>
        <v>Inconnu</v>
      </c>
      <c r="BM258" s="208" t="str">
        <f t="shared" ref="BM258" si="483">IF($O258&lt;&gt;"HTX",IF($O258&lt;&gt;"LVAD",BL258,"Inconnu"),"Inconnu")</f>
        <v>Inconnu</v>
      </c>
      <c r="BN258" s="208" t="str">
        <f t="shared" ref="BN258" si="484">IF($O258="HTX",BL258,IF($O258="LVAD",BL258,"Inconnu"))</f>
        <v>Inconnu</v>
      </c>
      <c r="BO258" s="208" t="str">
        <f t="shared" ref="BO258" si="485">IF(AJ258-L258&gt;0,AJ258-L258,"Inconnu")</f>
        <v>Inconnu</v>
      </c>
      <c r="BP258" s="208" t="str">
        <f t="shared" ref="BP258" si="486">IF($O258&lt;&gt;"HTX",IF($O258&lt;&gt;"LVAD",BO258,"Inconnu"),"Inconnu")</f>
        <v>Inconnu</v>
      </c>
      <c r="BQ258" s="208" t="str">
        <f t="shared" ref="BQ258" si="487">IF($O258="HTX",BO258,IF($O258="LVAD",BO258,"Inconnu"))</f>
        <v>Inconnu</v>
      </c>
      <c r="BR258" s="208" t="str">
        <f t="shared" ref="BR258" si="488">IF(BH258="Aucune",IF(BI258="Aucune","Aucune","Transfusé"),"Transfusé")</f>
        <v>Aucune</v>
      </c>
      <c r="BS258" s="208">
        <f t="shared" ref="BS258" si="489">AF258+AH258</f>
        <v>0</v>
      </c>
      <c r="BT258" s="229" t="e">
        <f>VLOOKUP($I258,Lieu_Activité!$A:$B,2,FALSE)</f>
        <v>#N/A</v>
      </c>
      <c r="BU258" s="208" t="str">
        <f t="shared" ref="BU258" si="490">IF(AB258="","Aucun","AVC")</f>
        <v>Aucun</v>
      </c>
      <c r="BV258" s="208" t="str">
        <f t="shared" ref="BV258" si="491">IF(AC258="","Aucun","IM")</f>
        <v>Aucun</v>
      </c>
      <c r="BW258" s="207" t="str">
        <f t="shared" ref="BW258" si="492">IF(M258="","NON","OUI")</f>
        <v>NON</v>
      </c>
      <c r="BX258" s="288"/>
    </row>
    <row r="259" spans="1:76" ht="12.75" customHeight="1" x14ac:dyDescent="0.25">
      <c r="A259" s="231" t="s">
        <v>257</v>
      </c>
      <c r="B259" s="234"/>
      <c r="C259" s="227"/>
      <c r="D259" s="257"/>
      <c r="E259" s="278">
        <f t="shared" si="326"/>
        <v>0</v>
      </c>
      <c r="F259" s="278" t="str">
        <f t="shared" si="226"/>
        <v xml:space="preserve"> </v>
      </c>
      <c r="G259" s="256"/>
      <c r="H259" s="256"/>
      <c r="I259" s="256"/>
      <c r="J259" s="256"/>
      <c r="K259" s="256"/>
      <c r="L259" s="257"/>
      <c r="M259" s="243"/>
      <c r="N259" s="232"/>
      <c r="O259" s="232"/>
      <c r="P259" s="265" t="str">
        <f>IFERROR(VLOOKUP(O259,Références!$K$11:$N$19,2)," ")</f>
        <v xml:space="preserve"> </v>
      </c>
      <c r="Q259" s="265" t="str">
        <f>IFERROR(VLOOKUP(O259,Références!$K$11:$N$19,3)," ")</f>
        <v xml:space="preserve"> </v>
      </c>
      <c r="R259" s="265" t="str">
        <f>IFERROR(VLOOKUP(O259,Références!$K$11:$N$19,4)," ")</f>
        <v xml:space="preserve"> </v>
      </c>
      <c r="S259" s="256"/>
      <c r="T259" s="256"/>
      <c r="U259" s="256"/>
      <c r="V259" s="256"/>
      <c r="W259" s="256"/>
      <c r="X259" s="257"/>
      <c r="Y259" s="256"/>
      <c r="Z259" s="256"/>
      <c r="AA259" s="256"/>
      <c r="AB259" s="235"/>
      <c r="AC259" s="235"/>
      <c r="AD259" s="235"/>
      <c r="AE259" s="235"/>
      <c r="AF259" s="235"/>
      <c r="AG259" s="235"/>
      <c r="AH259" s="235"/>
      <c r="AI259" s="235">
        <f t="shared" si="403"/>
        <v>0</v>
      </c>
      <c r="AJ259" s="257"/>
      <c r="AK259" s="256">
        <f t="shared" si="328"/>
        <v>0</v>
      </c>
      <c r="AL259" s="257"/>
      <c r="AM259" s="266">
        <f t="shared" si="329"/>
        <v>0</v>
      </c>
      <c r="AN259" s="256"/>
      <c r="AO259" s="276"/>
      <c r="AP259" s="261" t="str">
        <f t="shared" si="227"/>
        <v xml:space="preserve"> </v>
      </c>
      <c r="AQ259" s="256"/>
      <c r="AR259" s="295"/>
      <c r="AS259" s="295"/>
      <c r="AT259" s="263"/>
      <c r="AU259" s="277"/>
      <c r="AV259" s="263"/>
      <c r="AW259" s="230"/>
      <c r="AX259" s="300"/>
      <c r="AY259" s="301"/>
      <c r="AZ259" s="300"/>
      <c r="BA259" s="300"/>
      <c r="BB259" s="295"/>
      <c r="BC259" s="228">
        <f t="shared" si="330"/>
        <v>0</v>
      </c>
      <c r="BD259" s="228">
        <f t="shared" si="331"/>
        <v>0</v>
      </c>
      <c r="BE259" s="228">
        <f t="shared" si="332"/>
        <v>1</v>
      </c>
      <c r="BF259" s="228" t="str">
        <f t="shared" si="333"/>
        <v>ALIVE</v>
      </c>
      <c r="BG259" s="208" t="str">
        <f t="shared" si="334"/>
        <v>Aucune</v>
      </c>
      <c r="BH259" s="208" t="str">
        <f t="shared" si="335"/>
        <v>Aucune</v>
      </c>
      <c r="BI259" s="208" t="str">
        <f t="shared" si="336"/>
        <v>Aucune</v>
      </c>
      <c r="BJ259" s="208" t="str">
        <f t="shared" si="337"/>
        <v>NON</v>
      </c>
      <c r="BK259" s="208" t="str">
        <f t="shared" si="338"/>
        <v>NON</v>
      </c>
      <c r="BL259" s="208" t="str">
        <f t="shared" si="339"/>
        <v>Inconnu</v>
      </c>
      <c r="BM259" s="208" t="str">
        <f t="shared" si="340"/>
        <v>Inconnu</v>
      </c>
      <c r="BN259" s="208" t="str">
        <f t="shared" si="341"/>
        <v>Inconnu</v>
      </c>
      <c r="BO259" s="208" t="str">
        <f t="shared" si="342"/>
        <v>Inconnu</v>
      </c>
      <c r="BP259" s="208" t="str">
        <f t="shared" si="343"/>
        <v>Inconnu</v>
      </c>
      <c r="BQ259" s="208" t="str">
        <f t="shared" si="344"/>
        <v>Inconnu</v>
      </c>
      <c r="BR259" s="208" t="str">
        <f t="shared" si="345"/>
        <v>Aucune</v>
      </c>
      <c r="BS259" s="208">
        <f t="shared" si="346"/>
        <v>0</v>
      </c>
      <c r="BT259" s="229" t="e">
        <f>VLOOKUP($I259,Lieu_Activité!$A:$B,2,FALSE)</f>
        <v>#N/A</v>
      </c>
      <c r="BU259" s="208" t="str">
        <f t="shared" si="347"/>
        <v>Aucun</v>
      </c>
      <c r="BV259" s="208" t="str">
        <f t="shared" si="348"/>
        <v>Aucun</v>
      </c>
      <c r="BW259" s="207" t="str">
        <f t="shared" si="349"/>
        <v>NON</v>
      </c>
      <c r="BX259" s="288"/>
    </row>
    <row r="260" spans="1:76" ht="12" customHeight="1" x14ac:dyDescent="0.25">
      <c r="A260" s="226" t="s">
        <v>258</v>
      </c>
      <c r="B260" s="234"/>
      <c r="C260" s="227"/>
      <c r="D260" s="257"/>
      <c r="E260" s="278">
        <f t="shared" ref="E260:E288" si="493">(L260-D260)/365</f>
        <v>0</v>
      </c>
      <c r="F260" s="278" t="str">
        <f t="shared" si="226"/>
        <v xml:space="preserve"> </v>
      </c>
      <c r="G260" s="256"/>
      <c r="H260" s="256"/>
      <c r="I260" s="256"/>
      <c r="J260" s="256"/>
      <c r="K260" s="256"/>
      <c r="L260" s="257"/>
      <c r="M260" s="243"/>
      <c r="N260" s="232"/>
      <c r="O260" s="232"/>
      <c r="P260" s="265" t="str">
        <f>IFERROR(VLOOKUP(O260,Références!$K$11:$N$19,2)," ")</f>
        <v xml:space="preserve"> </v>
      </c>
      <c r="Q260" s="265" t="str">
        <f>IFERROR(VLOOKUP(O260,Références!$K$11:$N$19,3)," ")</f>
        <v xml:space="preserve"> </v>
      </c>
      <c r="R260" s="265" t="str">
        <f>IFERROR(VLOOKUP(O260,Références!$K$11:$N$19,4)," ")</f>
        <v xml:space="preserve"> </v>
      </c>
      <c r="S260" s="256"/>
      <c r="T260" s="256"/>
      <c r="U260" s="256"/>
      <c r="V260" s="256"/>
      <c r="W260" s="256"/>
      <c r="X260" s="257"/>
      <c r="Y260" s="256"/>
      <c r="Z260" s="256"/>
      <c r="AA260" s="256"/>
      <c r="AB260" s="235"/>
      <c r="AC260" s="235"/>
      <c r="AD260" s="235"/>
      <c r="AE260" s="235"/>
      <c r="AF260" s="235"/>
      <c r="AG260" s="235"/>
      <c r="AH260" s="235"/>
      <c r="AI260" s="235">
        <f t="shared" si="403"/>
        <v>0</v>
      </c>
      <c r="AJ260" s="257"/>
      <c r="AK260" s="256">
        <f t="shared" ref="AK260:AK288" si="494">(AJ260-L260)</f>
        <v>0</v>
      </c>
      <c r="AL260" s="257"/>
      <c r="AM260" s="266">
        <f t="shared" ref="AM260:AM288" si="495">(AL260-L260)</f>
        <v>0</v>
      </c>
      <c r="AN260" s="256"/>
      <c r="AO260" s="276"/>
      <c r="AP260" s="261" t="str">
        <f t="shared" si="227"/>
        <v xml:space="preserve"> </v>
      </c>
      <c r="AQ260" s="256"/>
      <c r="AR260" s="295"/>
      <c r="AS260" s="295"/>
      <c r="AT260" s="263"/>
      <c r="AU260" s="277"/>
      <c r="AV260" s="263"/>
      <c r="AW260" s="230"/>
      <c r="AX260" s="300"/>
      <c r="AY260" s="301"/>
      <c r="AZ260" s="230"/>
      <c r="BA260" s="300"/>
      <c r="BB260" s="295"/>
      <c r="BC260" s="228">
        <f t="shared" ref="BC260:BC288" si="496">IF(BG260="Aucune",0,1)</f>
        <v>0</v>
      </c>
      <c r="BD260" s="228">
        <f t="shared" ref="BD260:BD288" si="497">IF(BH260="Aucune",0,1)</f>
        <v>0</v>
      </c>
      <c r="BE260" s="228">
        <f t="shared" ref="BE260:BE288" si="498">IF(AG260="Aucune",0,1)</f>
        <v>1</v>
      </c>
      <c r="BF260" s="228" t="str">
        <f t="shared" ref="BF260:BF288" si="499">IF(AO260=1,"ELECTIVE",IF(AO260=2,"URGENCY",IF(AO260=3,"EMERGENCY",IF(AO260=4,"SALVAGE","ALIVE"))))</f>
        <v>ALIVE</v>
      </c>
      <c r="BG260" s="208" t="str">
        <f t="shared" ref="BG260:BG288" si="500">IF(AD260="","Aucune","Infection")</f>
        <v>Aucune</v>
      </c>
      <c r="BH260" s="208" t="str">
        <f t="shared" ref="BH260:BH288" si="501">IF(AI260&gt;0,"Transfusion","Aucune")</f>
        <v>Aucune</v>
      </c>
      <c r="BI260" s="208" t="str">
        <f t="shared" ref="BI260:BI288" si="502">IF(AG260="","Aucune","Transfusé")</f>
        <v>Aucune</v>
      </c>
      <c r="BJ260" s="208" t="str">
        <f t="shared" ref="BJ260:BJ288" si="503">IF(X260&lt;&gt;"",IF(X260-L260&lt;2,"OUI","NON"),"NON")</f>
        <v>NON</v>
      </c>
      <c r="BK260" s="208" t="str">
        <f t="shared" ref="BK260:BK288" si="504">IF(AS260="","NON","OUI")</f>
        <v>NON</v>
      </c>
      <c r="BL260" s="208" t="str">
        <f t="shared" ref="BL260:BL288" si="505">IF(AL260-L260&gt;0,AL260-L260,"Inconnu")</f>
        <v>Inconnu</v>
      </c>
      <c r="BM260" s="208" t="str">
        <f t="shared" ref="BM260:BM288" si="506">IF($O260&lt;&gt;"HTX",IF($O260&lt;&gt;"LVAD",BL260,"Inconnu"),"Inconnu")</f>
        <v>Inconnu</v>
      </c>
      <c r="BN260" s="208" t="str">
        <f t="shared" ref="BN260:BN288" si="507">IF($O260="HTX",BL260,IF($O260="LVAD",BL260,"Inconnu"))</f>
        <v>Inconnu</v>
      </c>
      <c r="BO260" s="208" t="str">
        <f t="shared" ref="BO260:BO288" si="508">IF(AJ260-L260&gt;0,AJ260-L260,"Inconnu")</f>
        <v>Inconnu</v>
      </c>
      <c r="BP260" s="208" t="str">
        <f t="shared" ref="BP260:BP288" si="509">IF($O260&lt;&gt;"HTX",IF($O260&lt;&gt;"LVAD",BO260,"Inconnu"),"Inconnu")</f>
        <v>Inconnu</v>
      </c>
      <c r="BQ260" s="208" t="str">
        <f t="shared" ref="BQ260:BQ288" si="510">IF($O260="HTX",BO260,IF($O260="LVAD",BO260,"Inconnu"))</f>
        <v>Inconnu</v>
      </c>
      <c r="BR260" s="208" t="str">
        <f t="shared" ref="BR260:BR288" si="511">IF(BH260="Aucune",IF(BI260="Aucune","Aucune","Transfusé"),"Transfusé")</f>
        <v>Aucune</v>
      </c>
      <c r="BS260" s="208">
        <f t="shared" ref="BS260:BS288" si="512">AF260+AH260</f>
        <v>0</v>
      </c>
      <c r="BT260" s="229" t="e">
        <f>VLOOKUP($I260,Lieu_Activité!$A:$B,2,FALSE)</f>
        <v>#N/A</v>
      </c>
      <c r="BU260" s="208" t="str">
        <f t="shared" ref="BU260:BU288" si="513">IF(AB260="","Aucun","AVC")</f>
        <v>Aucun</v>
      </c>
      <c r="BV260" s="208" t="str">
        <f t="shared" ref="BV260:BV288" si="514">IF(AC260="","Aucun","IM")</f>
        <v>Aucun</v>
      </c>
      <c r="BW260" s="207" t="str">
        <f t="shared" ref="BW260:BW288" si="515">IF(M260="","NON","OUI")</f>
        <v>NON</v>
      </c>
      <c r="BX260" s="288"/>
    </row>
    <row r="261" spans="1:76" ht="12" customHeight="1" x14ac:dyDescent="0.25">
      <c r="A261" s="226" t="s">
        <v>258</v>
      </c>
      <c r="B261" s="267"/>
      <c r="C261" s="227"/>
      <c r="D261" s="257"/>
      <c r="E261" s="278">
        <f t="shared" si="493"/>
        <v>0</v>
      </c>
      <c r="F261" s="278" t="str">
        <f t="shared" si="226"/>
        <v xml:space="preserve"> </v>
      </c>
      <c r="G261" s="256"/>
      <c r="H261" s="256"/>
      <c r="I261" s="256"/>
      <c r="J261" s="256"/>
      <c r="K261" s="256"/>
      <c r="L261" s="257"/>
      <c r="M261" s="243"/>
      <c r="N261" s="232"/>
      <c r="O261" s="232"/>
      <c r="P261" s="265" t="str">
        <f>IFERROR(VLOOKUP(O261,Références!$K$11:$N$19,2)," ")</f>
        <v xml:space="preserve"> </v>
      </c>
      <c r="Q261" s="265" t="str">
        <f>IFERROR(VLOOKUP(O261,Références!$K$11:$N$19,3)," ")</f>
        <v xml:space="preserve"> </v>
      </c>
      <c r="R261" s="265" t="str">
        <f>IFERROR(VLOOKUP(O261,Références!$K$11:$N$19,4)," ")</f>
        <v xml:space="preserve"> </v>
      </c>
      <c r="S261" s="256"/>
      <c r="T261" s="256"/>
      <c r="U261" s="256"/>
      <c r="V261" s="256"/>
      <c r="W261" s="256"/>
      <c r="X261" s="257"/>
      <c r="Y261" s="256"/>
      <c r="Z261" s="256"/>
      <c r="AA261" s="256"/>
      <c r="AB261" s="235"/>
      <c r="AC261" s="235"/>
      <c r="AD261" s="235"/>
      <c r="AE261" s="235"/>
      <c r="AF261" s="235"/>
      <c r="AG261" s="235"/>
      <c r="AH261" s="235"/>
      <c r="AI261" s="235">
        <f t="shared" si="403"/>
        <v>0</v>
      </c>
      <c r="AJ261" s="257"/>
      <c r="AK261" s="256">
        <f t="shared" si="494"/>
        <v>0</v>
      </c>
      <c r="AL261" s="257"/>
      <c r="AM261" s="266">
        <f t="shared" si="495"/>
        <v>0</v>
      </c>
      <c r="AN261" s="256"/>
      <c r="AO261" s="276"/>
      <c r="AP261" s="261" t="str">
        <f t="shared" si="227"/>
        <v xml:space="preserve"> </v>
      </c>
      <c r="AQ261" s="256"/>
      <c r="AR261" s="295"/>
      <c r="AS261" s="295"/>
      <c r="AT261" s="263"/>
      <c r="AU261" s="277"/>
      <c r="AV261" s="263"/>
      <c r="AW261" s="230"/>
      <c r="AX261" s="300"/>
      <c r="AY261" s="301"/>
      <c r="AZ261" s="230"/>
      <c r="BA261" s="300"/>
      <c r="BB261" s="295"/>
      <c r="BC261" s="228">
        <f t="shared" si="496"/>
        <v>0</v>
      </c>
      <c r="BD261" s="228">
        <f t="shared" si="497"/>
        <v>0</v>
      </c>
      <c r="BE261" s="228">
        <f t="shared" si="498"/>
        <v>1</v>
      </c>
      <c r="BF261" s="228" t="str">
        <f t="shared" si="499"/>
        <v>ALIVE</v>
      </c>
      <c r="BG261" s="208" t="str">
        <f t="shared" si="500"/>
        <v>Aucune</v>
      </c>
      <c r="BH261" s="208" t="str">
        <f t="shared" si="501"/>
        <v>Aucune</v>
      </c>
      <c r="BI261" s="208" t="str">
        <f t="shared" si="502"/>
        <v>Aucune</v>
      </c>
      <c r="BJ261" s="208" t="str">
        <f t="shared" si="503"/>
        <v>NON</v>
      </c>
      <c r="BK261" s="208" t="str">
        <f t="shared" si="504"/>
        <v>NON</v>
      </c>
      <c r="BL261" s="208" t="str">
        <f t="shared" si="505"/>
        <v>Inconnu</v>
      </c>
      <c r="BM261" s="208" t="str">
        <f t="shared" si="506"/>
        <v>Inconnu</v>
      </c>
      <c r="BN261" s="208" t="str">
        <f t="shared" si="507"/>
        <v>Inconnu</v>
      </c>
      <c r="BO261" s="208" t="str">
        <f t="shared" si="508"/>
        <v>Inconnu</v>
      </c>
      <c r="BP261" s="208" t="str">
        <f t="shared" si="509"/>
        <v>Inconnu</v>
      </c>
      <c r="BQ261" s="208" t="str">
        <f t="shared" si="510"/>
        <v>Inconnu</v>
      </c>
      <c r="BR261" s="208" t="str">
        <f t="shared" si="511"/>
        <v>Aucune</v>
      </c>
      <c r="BS261" s="208">
        <f t="shared" si="512"/>
        <v>0</v>
      </c>
      <c r="BT261" s="229" t="e">
        <f>VLOOKUP($I261,Lieu_Activité!$A:$B,2,FALSE)</f>
        <v>#N/A</v>
      </c>
      <c r="BU261" s="208" t="str">
        <f t="shared" si="513"/>
        <v>Aucun</v>
      </c>
      <c r="BV261" s="208" t="str">
        <f t="shared" si="514"/>
        <v>Aucun</v>
      </c>
      <c r="BW261" s="207" t="str">
        <f t="shared" si="515"/>
        <v>NON</v>
      </c>
      <c r="BX261" s="288"/>
    </row>
    <row r="262" spans="1:76" ht="12" customHeight="1" x14ac:dyDescent="0.25">
      <c r="A262" s="226" t="s">
        <v>258</v>
      </c>
      <c r="B262" s="234"/>
      <c r="C262" s="227"/>
      <c r="D262" s="257"/>
      <c r="E262" s="278">
        <f t="shared" si="493"/>
        <v>0</v>
      </c>
      <c r="F262" s="278" t="str">
        <f t="shared" si="226"/>
        <v xml:space="preserve"> </v>
      </c>
      <c r="G262" s="256"/>
      <c r="H262" s="256"/>
      <c r="I262" s="256"/>
      <c r="J262" s="256"/>
      <c r="K262" s="256"/>
      <c r="L262" s="257"/>
      <c r="M262" s="243"/>
      <c r="N262" s="232"/>
      <c r="O262" s="232"/>
      <c r="P262" s="265" t="str">
        <f>IFERROR(VLOOKUP(O262,Références!$K$11:$N$19,2)," ")</f>
        <v xml:space="preserve"> </v>
      </c>
      <c r="Q262" s="265" t="str">
        <f>IFERROR(VLOOKUP(O262,Références!$K$11:$N$19,3)," ")</f>
        <v xml:space="preserve"> </v>
      </c>
      <c r="R262" s="265" t="str">
        <f>IFERROR(VLOOKUP(O262,Références!$K$11:$N$19,4)," ")</f>
        <v xml:space="preserve"> </v>
      </c>
      <c r="S262" s="256"/>
      <c r="T262" s="256"/>
      <c r="U262" s="256"/>
      <c r="V262" s="256"/>
      <c r="W262" s="256"/>
      <c r="X262" s="257"/>
      <c r="Y262" s="256"/>
      <c r="Z262" s="256"/>
      <c r="AA262" s="256"/>
      <c r="AB262" s="235"/>
      <c r="AC262" s="235"/>
      <c r="AD262" s="235"/>
      <c r="AE262" s="235"/>
      <c r="AF262" s="235"/>
      <c r="AG262" s="235"/>
      <c r="AH262" s="235"/>
      <c r="AI262" s="235">
        <f t="shared" si="403"/>
        <v>0</v>
      </c>
      <c r="AJ262" s="257"/>
      <c r="AK262" s="256">
        <f t="shared" si="494"/>
        <v>0</v>
      </c>
      <c r="AL262" s="257"/>
      <c r="AM262" s="266">
        <f t="shared" si="495"/>
        <v>0</v>
      </c>
      <c r="AN262" s="256"/>
      <c r="AO262" s="276"/>
      <c r="AP262" s="261" t="str">
        <f t="shared" si="227"/>
        <v xml:space="preserve"> </v>
      </c>
      <c r="AQ262" s="256"/>
      <c r="AR262" s="295"/>
      <c r="AS262" s="295"/>
      <c r="AT262" s="263"/>
      <c r="AU262" s="277"/>
      <c r="AV262" s="263"/>
      <c r="AW262" s="230"/>
      <c r="AX262" s="300"/>
      <c r="AY262" s="301"/>
      <c r="AZ262" s="300"/>
      <c r="BA262" s="300"/>
      <c r="BB262" s="295"/>
      <c r="BC262" s="228">
        <f t="shared" si="496"/>
        <v>0</v>
      </c>
      <c r="BD262" s="228">
        <f t="shared" si="497"/>
        <v>0</v>
      </c>
      <c r="BE262" s="228">
        <f t="shared" si="498"/>
        <v>1</v>
      </c>
      <c r="BF262" s="228" t="str">
        <f t="shared" si="499"/>
        <v>ALIVE</v>
      </c>
      <c r="BG262" s="208" t="str">
        <f t="shared" si="500"/>
        <v>Aucune</v>
      </c>
      <c r="BH262" s="208" t="str">
        <f t="shared" si="501"/>
        <v>Aucune</v>
      </c>
      <c r="BI262" s="208" t="str">
        <f t="shared" si="502"/>
        <v>Aucune</v>
      </c>
      <c r="BJ262" s="208" t="str">
        <f t="shared" si="503"/>
        <v>NON</v>
      </c>
      <c r="BK262" s="208" t="str">
        <f t="shared" si="504"/>
        <v>NON</v>
      </c>
      <c r="BL262" s="208" t="str">
        <f t="shared" si="505"/>
        <v>Inconnu</v>
      </c>
      <c r="BM262" s="208" t="str">
        <f t="shared" si="506"/>
        <v>Inconnu</v>
      </c>
      <c r="BN262" s="208" t="str">
        <f t="shared" si="507"/>
        <v>Inconnu</v>
      </c>
      <c r="BO262" s="208" t="str">
        <f t="shared" si="508"/>
        <v>Inconnu</v>
      </c>
      <c r="BP262" s="208" t="str">
        <f t="shared" si="509"/>
        <v>Inconnu</v>
      </c>
      <c r="BQ262" s="208" t="str">
        <f t="shared" si="510"/>
        <v>Inconnu</v>
      </c>
      <c r="BR262" s="208" t="str">
        <f t="shared" si="511"/>
        <v>Aucune</v>
      </c>
      <c r="BS262" s="208">
        <f t="shared" si="512"/>
        <v>0</v>
      </c>
      <c r="BT262" s="229" t="e">
        <f>VLOOKUP($I262,Lieu_Activité!$A:$B,2,FALSE)</f>
        <v>#N/A</v>
      </c>
      <c r="BU262" s="208" t="str">
        <f t="shared" si="513"/>
        <v>Aucun</v>
      </c>
      <c r="BV262" s="208" t="str">
        <f t="shared" si="514"/>
        <v>Aucun</v>
      </c>
      <c r="BW262" s="207" t="str">
        <f t="shared" si="515"/>
        <v>NON</v>
      </c>
      <c r="BX262" s="288"/>
    </row>
    <row r="263" spans="1:76" ht="12.75" customHeight="1" x14ac:dyDescent="0.25">
      <c r="A263" s="226" t="s">
        <v>258</v>
      </c>
      <c r="B263" s="234"/>
      <c r="C263" s="227"/>
      <c r="D263" s="257"/>
      <c r="E263" s="278">
        <f t="shared" si="493"/>
        <v>0</v>
      </c>
      <c r="F263" s="278" t="str">
        <f t="shared" si="226"/>
        <v xml:space="preserve"> </v>
      </c>
      <c r="G263" s="256"/>
      <c r="H263" s="256"/>
      <c r="I263" s="256"/>
      <c r="J263" s="256"/>
      <c r="K263" s="256"/>
      <c r="L263" s="257"/>
      <c r="M263" s="243"/>
      <c r="N263" s="232"/>
      <c r="O263" s="232"/>
      <c r="P263" s="265" t="str">
        <f>IFERROR(VLOOKUP(O263,Références!$K$11:$N$19,2)," ")</f>
        <v xml:space="preserve"> </v>
      </c>
      <c r="Q263" s="265" t="str">
        <f>IFERROR(VLOOKUP(O263,Références!$K$11:$N$19,3)," ")</f>
        <v xml:space="preserve"> </v>
      </c>
      <c r="R263" s="265" t="str">
        <f>IFERROR(VLOOKUP(O263,Références!$K$11:$N$19,4)," ")</f>
        <v xml:space="preserve"> </v>
      </c>
      <c r="S263" s="256"/>
      <c r="T263" s="256"/>
      <c r="U263" s="256"/>
      <c r="V263" s="256"/>
      <c r="W263" s="256"/>
      <c r="X263" s="257"/>
      <c r="Y263" s="256"/>
      <c r="Z263" s="256"/>
      <c r="AA263" s="256"/>
      <c r="AB263" s="235"/>
      <c r="AC263" s="235"/>
      <c r="AD263" s="235"/>
      <c r="AE263" s="235"/>
      <c r="AF263" s="235"/>
      <c r="AG263" s="235"/>
      <c r="AH263" s="235"/>
      <c r="AI263" s="235">
        <f t="shared" ref="AI263:AI288" si="516">SUM(AF263,AH263)</f>
        <v>0</v>
      </c>
      <c r="AJ263" s="257"/>
      <c r="AK263" s="256">
        <f t="shared" si="494"/>
        <v>0</v>
      </c>
      <c r="AL263" s="257"/>
      <c r="AM263" s="266">
        <f t="shared" si="495"/>
        <v>0</v>
      </c>
      <c r="AN263" s="256"/>
      <c r="AO263" s="276"/>
      <c r="AP263" s="261" t="str">
        <f t="shared" si="227"/>
        <v xml:space="preserve"> </v>
      </c>
      <c r="AQ263" s="256"/>
      <c r="AR263" s="295"/>
      <c r="AS263" s="295"/>
      <c r="AT263" s="263"/>
      <c r="AU263" s="277"/>
      <c r="AV263" s="263"/>
      <c r="AW263" s="230"/>
      <c r="AX263" s="300"/>
      <c r="AY263" s="301"/>
      <c r="AZ263" s="230"/>
      <c r="BA263" s="300"/>
      <c r="BB263" s="295"/>
      <c r="BC263" s="228">
        <f t="shared" si="496"/>
        <v>0</v>
      </c>
      <c r="BD263" s="228">
        <f t="shared" si="497"/>
        <v>0</v>
      </c>
      <c r="BE263" s="228">
        <f t="shared" si="498"/>
        <v>1</v>
      </c>
      <c r="BF263" s="228" t="str">
        <f t="shared" si="499"/>
        <v>ALIVE</v>
      </c>
      <c r="BG263" s="208" t="str">
        <f t="shared" si="500"/>
        <v>Aucune</v>
      </c>
      <c r="BH263" s="208" t="str">
        <f t="shared" si="501"/>
        <v>Aucune</v>
      </c>
      <c r="BI263" s="208" t="str">
        <f t="shared" si="502"/>
        <v>Aucune</v>
      </c>
      <c r="BJ263" s="208" t="str">
        <f t="shared" si="503"/>
        <v>NON</v>
      </c>
      <c r="BK263" s="208" t="str">
        <f t="shared" si="504"/>
        <v>NON</v>
      </c>
      <c r="BL263" s="208" t="str">
        <f t="shared" si="505"/>
        <v>Inconnu</v>
      </c>
      <c r="BM263" s="208" t="str">
        <f t="shared" si="506"/>
        <v>Inconnu</v>
      </c>
      <c r="BN263" s="208" t="str">
        <f t="shared" si="507"/>
        <v>Inconnu</v>
      </c>
      <c r="BO263" s="208" t="str">
        <f t="shared" si="508"/>
        <v>Inconnu</v>
      </c>
      <c r="BP263" s="208" t="str">
        <f t="shared" si="509"/>
        <v>Inconnu</v>
      </c>
      <c r="BQ263" s="208" t="str">
        <f t="shared" si="510"/>
        <v>Inconnu</v>
      </c>
      <c r="BR263" s="208" t="str">
        <f t="shared" si="511"/>
        <v>Aucune</v>
      </c>
      <c r="BS263" s="208">
        <f t="shared" si="512"/>
        <v>0</v>
      </c>
      <c r="BT263" s="229" t="e">
        <f>VLOOKUP($I263,Lieu_Activité!$A:$B,2,FALSE)</f>
        <v>#N/A</v>
      </c>
      <c r="BU263" s="208" t="str">
        <f t="shared" si="513"/>
        <v>Aucun</v>
      </c>
      <c r="BV263" s="208" t="str">
        <f t="shared" si="514"/>
        <v>Aucun</v>
      </c>
      <c r="BW263" s="207" t="str">
        <f t="shared" si="515"/>
        <v>NON</v>
      </c>
      <c r="BX263" s="288"/>
    </row>
    <row r="264" spans="1:76" ht="12.75" customHeight="1" x14ac:dyDescent="0.25">
      <c r="A264" s="226" t="s">
        <v>258</v>
      </c>
      <c r="B264" s="234"/>
      <c r="C264" s="227"/>
      <c r="D264" s="257"/>
      <c r="E264" s="278">
        <f t="shared" ref="E264:E268" si="517">(L264-D264)/365</f>
        <v>0</v>
      </c>
      <c r="F264" s="278" t="str">
        <f t="shared" ref="F264:F268" si="518">IF(E264&lt;80," ","1")</f>
        <v xml:space="preserve"> </v>
      </c>
      <c r="G264" s="256"/>
      <c r="H264" s="256"/>
      <c r="I264" s="256"/>
      <c r="J264" s="256"/>
      <c r="K264" s="256"/>
      <c r="L264" s="257"/>
      <c r="M264" s="243"/>
      <c r="N264" s="232"/>
      <c r="O264" s="232"/>
      <c r="P264" s="265" t="str">
        <f>IFERROR(VLOOKUP(O264,Références!$K$11:$N$19,2)," ")</f>
        <v xml:space="preserve"> </v>
      </c>
      <c r="Q264" s="265" t="str">
        <f>IFERROR(VLOOKUP(O264,Références!$K$11:$N$19,3)," ")</f>
        <v xml:space="preserve"> </v>
      </c>
      <c r="R264" s="265" t="str">
        <f>IFERROR(VLOOKUP(O264,Références!$K$11:$N$19,4)," ")</f>
        <v xml:space="preserve"> </v>
      </c>
      <c r="S264" s="256"/>
      <c r="T264" s="256"/>
      <c r="U264" s="256"/>
      <c r="V264" s="256"/>
      <c r="W264" s="256"/>
      <c r="X264" s="257"/>
      <c r="Y264" s="256"/>
      <c r="Z264" s="256"/>
      <c r="AA264" s="256"/>
      <c r="AB264" s="235"/>
      <c r="AC264" s="235"/>
      <c r="AD264" s="274"/>
      <c r="AE264" s="235"/>
      <c r="AF264" s="235"/>
      <c r="AG264" s="235"/>
      <c r="AH264" s="235"/>
      <c r="AI264" s="235">
        <f t="shared" ref="AI264:AI268" si="519">SUM(AF264,AH264)</f>
        <v>0</v>
      </c>
      <c r="AJ264" s="257"/>
      <c r="AK264" s="256">
        <f t="shared" ref="AK264:AK268" si="520">(AJ264-L264)</f>
        <v>0</v>
      </c>
      <c r="AL264" s="257"/>
      <c r="AM264" s="266">
        <f t="shared" ref="AM264:AM268" si="521">(AL264-L264)</f>
        <v>0</v>
      </c>
      <c r="AN264" s="256"/>
      <c r="AO264" s="276"/>
      <c r="AP264" s="261" t="str">
        <f t="shared" si="227"/>
        <v xml:space="preserve"> </v>
      </c>
      <c r="AQ264" s="256"/>
      <c r="AR264" s="295"/>
      <c r="AS264" s="295"/>
      <c r="AT264" s="263"/>
      <c r="AU264" s="277"/>
      <c r="AV264" s="263"/>
      <c r="AW264" s="230"/>
      <c r="AX264" s="300"/>
      <c r="AY264" s="301"/>
      <c r="AZ264" s="230"/>
      <c r="BA264" s="300"/>
      <c r="BB264" s="295"/>
      <c r="BC264" s="228">
        <f t="shared" ref="BC264:BC268" si="522">IF(BG264="Aucune",0,1)</f>
        <v>0</v>
      </c>
      <c r="BD264" s="228">
        <f t="shared" ref="BD264:BD268" si="523">IF(BH264="Aucune",0,1)</f>
        <v>0</v>
      </c>
      <c r="BE264" s="228">
        <f t="shared" ref="BE264:BE268" si="524">IF(AG264="Aucune",0,1)</f>
        <v>1</v>
      </c>
      <c r="BF264" s="228" t="str">
        <f t="shared" ref="BF264:BF268" si="525">IF(AO264=1,"ELECTIVE",IF(AO264=2,"URGENCY",IF(AO264=3,"EMERGENCY",IF(AO264=4,"SALVAGE","ALIVE"))))</f>
        <v>ALIVE</v>
      </c>
      <c r="BG264" s="208" t="str">
        <f t="shared" ref="BG264:BG268" si="526">IF(AD264="","Aucune","Infection")</f>
        <v>Aucune</v>
      </c>
      <c r="BH264" s="208" t="str">
        <f t="shared" ref="BH264:BH268" si="527">IF(AI264&gt;0,"Transfusion","Aucune")</f>
        <v>Aucune</v>
      </c>
      <c r="BI264" s="208" t="str">
        <f t="shared" ref="BI264:BI268" si="528">IF(AG264="","Aucune","Transfusé")</f>
        <v>Aucune</v>
      </c>
      <c r="BJ264" s="208" t="str">
        <f t="shared" ref="BJ264:BJ268" si="529">IF(X264&lt;&gt;"",IF(X264-L264&lt;2,"OUI","NON"),"NON")</f>
        <v>NON</v>
      </c>
      <c r="BK264" s="208" t="str">
        <f t="shared" ref="BK264:BK268" si="530">IF(AS264="","NON","OUI")</f>
        <v>NON</v>
      </c>
      <c r="BL264" s="208" t="str">
        <f t="shared" ref="BL264:BL268" si="531">IF(AL264-L264&gt;0,AL264-L264,"Inconnu")</f>
        <v>Inconnu</v>
      </c>
      <c r="BM264" s="208" t="str">
        <f t="shared" ref="BM264:BM268" si="532">IF($O264&lt;&gt;"HTX",IF($O264&lt;&gt;"LVAD",BL264,"Inconnu"),"Inconnu")</f>
        <v>Inconnu</v>
      </c>
      <c r="BN264" s="208" t="str">
        <f t="shared" ref="BN264:BN268" si="533">IF($O264="HTX",BL264,IF($O264="LVAD",BL264,"Inconnu"))</f>
        <v>Inconnu</v>
      </c>
      <c r="BO264" s="208" t="str">
        <f t="shared" ref="BO264:BO268" si="534">IF(AJ264-L264&gt;0,AJ264-L264,"Inconnu")</f>
        <v>Inconnu</v>
      </c>
      <c r="BP264" s="208" t="str">
        <f t="shared" ref="BP264:BP268" si="535">IF($O264&lt;&gt;"HTX",IF($O264&lt;&gt;"LVAD",BO264,"Inconnu"),"Inconnu")</f>
        <v>Inconnu</v>
      </c>
      <c r="BQ264" s="208" t="str">
        <f t="shared" ref="BQ264:BQ268" si="536">IF($O264="HTX",BO264,IF($O264="LVAD",BO264,"Inconnu"))</f>
        <v>Inconnu</v>
      </c>
      <c r="BR264" s="208" t="str">
        <f t="shared" ref="BR264:BR268" si="537">IF(BH264="Aucune",IF(BI264="Aucune","Aucune","Transfusé"),"Transfusé")</f>
        <v>Aucune</v>
      </c>
      <c r="BS264" s="208">
        <f t="shared" ref="BS264:BS268" si="538">AF264+AH264</f>
        <v>0</v>
      </c>
      <c r="BT264" s="229" t="e">
        <f>VLOOKUP($I264,Lieu_Activité!$A:$B,2,FALSE)</f>
        <v>#N/A</v>
      </c>
      <c r="BU264" s="208" t="str">
        <f t="shared" ref="BU264:BU268" si="539">IF(AB264="","Aucun","AVC")</f>
        <v>Aucun</v>
      </c>
      <c r="BV264" s="208" t="str">
        <f t="shared" ref="BV264:BV268" si="540">IF(AC264="","Aucun","IM")</f>
        <v>Aucun</v>
      </c>
      <c r="BW264" s="207" t="str">
        <f t="shared" ref="BW264:BW268" si="541">IF(M264="","NON","OUI")</f>
        <v>NON</v>
      </c>
      <c r="BX264" s="288"/>
    </row>
    <row r="265" spans="1:76" ht="12.75" customHeight="1" x14ac:dyDescent="0.25">
      <c r="A265" s="226" t="s">
        <v>258</v>
      </c>
      <c r="B265" s="234"/>
      <c r="C265" s="227"/>
      <c r="D265" s="257"/>
      <c r="E265" s="278">
        <f t="shared" si="517"/>
        <v>0</v>
      </c>
      <c r="F265" s="278" t="str">
        <f t="shared" si="518"/>
        <v xml:space="preserve"> </v>
      </c>
      <c r="G265" s="256"/>
      <c r="H265" s="256"/>
      <c r="I265" s="256"/>
      <c r="J265" s="256"/>
      <c r="K265" s="256"/>
      <c r="L265" s="257"/>
      <c r="M265" s="243"/>
      <c r="N265" s="232"/>
      <c r="O265" s="232"/>
      <c r="P265" s="265" t="str">
        <f>IFERROR(VLOOKUP(O265,Références!$K$11:$N$19,2)," ")</f>
        <v xml:space="preserve"> </v>
      </c>
      <c r="Q265" s="265" t="str">
        <f>IFERROR(VLOOKUP(O265,Références!$K$11:$N$19,3)," ")</f>
        <v xml:space="preserve"> </v>
      </c>
      <c r="R265" s="265" t="str">
        <f>IFERROR(VLOOKUP(O265,Références!$K$11:$N$19,4)," ")</f>
        <v xml:space="preserve"> </v>
      </c>
      <c r="S265" s="256"/>
      <c r="T265" s="256"/>
      <c r="U265" s="256"/>
      <c r="V265" s="256"/>
      <c r="W265" s="256"/>
      <c r="X265" s="257"/>
      <c r="Y265" s="256"/>
      <c r="Z265" s="256"/>
      <c r="AA265" s="256"/>
      <c r="AB265" s="235"/>
      <c r="AC265" s="235"/>
      <c r="AD265" s="235"/>
      <c r="AE265" s="235"/>
      <c r="AF265" s="235"/>
      <c r="AG265" s="235"/>
      <c r="AH265" s="235"/>
      <c r="AI265" s="235">
        <f t="shared" si="519"/>
        <v>0</v>
      </c>
      <c r="AJ265" s="257"/>
      <c r="AK265" s="256">
        <f t="shared" si="520"/>
        <v>0</v>
      </c>
      <c r="AL265" s="257"/>
      <c r="AM265" s="266">
        <f t="shared" si="521"/>
        <v>0</v>
      </c>
      <c r="AN265" s="256"/>
      <c r="AO265" s="276"/>
      <c r="AP265" s="261" t="str">
        <f t="shared" si="227"/>
        <v xml:space="preserve"> </v>
      </c>
      <c r="AQ265" s="256"/>
      <c r="AR265" s="295"/>
      <c r="AS265" s="295"/>
      <c r="AT265" s="263"/>
      <c r="AU265" s="277"/>
      <c r="AV265" s="263"/>
      <c r="AW265" s="230"/>
      <c r="AX265" s="300"/>
      <c r="AY265" s="301"/>
      <c r="AZ265" s="230"/>
      <c r="BA265" s="300"/>
      <c r="BB265" s="295"/>
      <c r="BC265" s="228">
        <f t="shared" si="522"/>
        <v>0</v>
      </c>
      <c r="BD265" s="228">
        <f t="shared" si="523"/>
        <v>0</v>
      </c>
      <c r="BE265" s="228">
        <f t="shared" si="524"/>
        <v>1</v>
      </c>
      <c r="BF265" s="228" t="str">
        <f t="shared" si="525"/>
        <v>ALIVE</v>
      </c>
      <c r="BG265" s="208" t="str">
        <f t="shared" si="526"/>
        <v>Aucune</v>
      </c>
      <c r="BH265" s="208" t="str">
        <f t="shared" si="527"/>
        <v>Aucune</v>
      </c>
      <c r="BI265" s="208" t="str">
        <f t="shared" si="528"/>
        <v>Aucune</v>
      </c>
      <c r="BJ265" s="208" t="str">
        <f t="shared" si="529"/>
        <v>NON</v>
      </c>
      <c r="BK265" s="208" t="str">
        <f t="shared" si="530"/>
        <v>NON</v>
      </c>
      <c r="BL265" s="208" t="str">
        <f t="shared" si="531"/>
        <v>Inconnu</v>
      </c>
      <c r="BM265" s="208" t="str">
        <f t="shared" si="532"/>
        <v>Inconnu</v>
      </c>
      <c r="BN265" s="208" t="str">
        <f t="shared" si="533"/>
        <v>Inconnu</v>
      </c>
      <c r="BO265" s="208" t="str">
        <f t="shared" si="534"/>
        <v>Inconnu</v>
      </c>
      <c r="BP265" s="208" t="str">
        <f t="shared" si="535"/>
        <v>Inconnu</v>
      </c>
      <c r="BQ265" s="208" t="str">
        <f t="shared" si="536"/>
        <v>Inconnu</v>
      </c>
      <c r="BR265" s="208" t="str">
        <f t="shared" si="537"/>
        <v>Aucune</v>
      </c>
      <c r="BS265" s="208">
        <f t="shared" si="538"/>
        <v>0</v>
      </c>
      <c r="BT265" s="229" t="e">
        <f>VLOOKUP($I265,Lieu_Activité!$A:$B,2,FALSE)</f>
        <v>#N/A</v>
      </c>
      <c r="BU265" s="208" t="str">
        <f t="shared" si="539"/>
        <v>Aucun</v>
      </c>
      <c r="BV265" s="208" t="str">
        <f t="shared" si="540"/>
        <v>Aucun</v>
      </c>
      <c r="BW265" s="207" t="str">
        <f t="shared" si="541"/>
        <v>NON</v>
      </c>
      <c r="BX265" s="288"/>
    </row>
    <row r="266" spans="1:76" ht="12.75" customHeight="1" x14ac:dyDescent="0.25">
      <c r="A266" s="226" t="s">
        <v>258</v>
      </c>
      <c r="B266" s="234"/>
      <c r="C266" s="227"/>
      <c r="D266" s="257"/>
      <c r="E266" s="278">
        <f t="shared" si="517"/>
        <v>0</v>
      </c>
      <c r="F266" s="278" t="str">
        <f t="shared" si="518"/>
        <v xml:space="preserve"> </v>
      </c>
      <c r="G266" s="256"/>
      <c r="H266" s="256"/>
      <c r="I266" s="256"/>
      <c r="J266" s="256"/>
      <c r="K266" s="256"/>
      <c r="L266" s="257"/>
      <c r="M266" s="243"/>
      <c r="N266" s="232"/>
      <c r="O266" s="232"/>
      <c r="P266" s="265" t="str">
        <f>IFERROR(VLOOKUP(O266,Références!$K$11:$N$19,2)," ")</f>
        <v xml:space="preserve"> </v>
      </c>
      <c r="Q266" s="265" t="str">
        <f>IFERROR(VLOOKUP(O266,Références!$K$11:$N$19,3)," ")</f>
        <v xml:space="preserve"> </v>
      </c>
      <c r="R266" s="265" t="str">
        <f>IFERROR(VLOOKUP(O266,Références!$K$11:$N$19,4)," ")</f>
        <v xml:space="preserve"> </v>
      </c>
      <c r="S266" s="256"/>
      <c r="T266" s="256"/>
      <c r="U266" s="256"/>
      <c r="V266" s="256"/>
      <c r="W266" s="256"/>
      <c r="X266" s="257"/>
      <c r="Y266" s="256"/>
      <c r="Z266" s="256"/>
      <c r="AA266" s="256"/>
      <c r="AB266" s="235"/>
      <c r="AC266" s="235"/>
      <c r="AD266" s="235"/>
      <c r="AE266" s="235"/>
      <c r="AF266" s="235"/>
      <c r="AG266" s="235"/>
      <c r="AH266" s="235"/>
      <c r="AI266" s="235">
        <f t="shared" si="519"/>
        <v>0</v>
      </c>
      <c r="AJ266" s="257"/>
      <c r="AK266" s="256">
        <f t="shared" si="520"/>
        <v>0</v>
      </c>
      <c r="AL266" s="257"/>
      <c r="AM266" s="266">
        <f t="shared" si="521"/>
        <v>0</v>
      </c>
      <c r="AN266" s="256"/>
      <c r="AO266" s="276"/>
      <c r="AP266" s="261" t="str">
        <f t="shared" si="227"/>
        <v xml:space="preserve"> </v>
      </c>
      <c r="AQ266" s="256"/>
      <c r="AR266" s="295"/>
      <c r="AS266" s="295"/>
      <c r="AT266" s="263"/>
      <c r="AU266" s="277"/>
      <c r="AV266" s="263"/>
      <c r="AW266" s="230"/>
      <c r="AX266" s="300"/>
      <c r="AY266" s="301"/>
      <c r="AZ266" s="230"/>
      <c r="BA266" s="300"/>
      <c r="BB266" s="295"/>
      <c r="BC266" s="228">
        <f t="shared" si="522"/>
        <v>0</v>
      </c>
      <c r="BD266" s="228">
        <f t="shared" si="523"/>
        <v>0</v>
      </c>
      <c r="BE266" s="228">
        <f t="shared" si="524"/>
        <v>1</v>
      </c>
      <c r="BF266" s="228" t="str">
        <f t="shared" si="525"/>
        <v>ALIVE</v>
      </c>
      <c r="BG266" s="208" t="str">
        <f t="shared" si="526"/>
        <v>Aucune</v>
      </c>
      <c r="BH266" s="208" t="str">
        <f t="shared" si="527"/>
        <v>Aucune</v>
      </c>
      <c r="BI266" s="208" t="str">
        <f t="shared" si="528"/>
        <v>Aucune</v>
      </c>
      <c r="BJ266" s="208" t="str">
        <f t="shared" si="529"/>
        <v>NON</v>
      </c>
      <c r="BK266" s="208" t="str">
        <f t="shared" si="530"/>
        <v>NON</v>
      </c>
      <c r="BL266" s="208" t="str">
        <f t="shared" si="531"/>
        <v>Inconnu</v>
      </c>
      <c r="BM266" s="208" t="str">
        <f t="shared" si="532"/>
        <v>Inconnu</v>
      </c>
      <c r="BN266" s="208" t="str">
        <f t="shared" si="533"/>
        <v>Inconnu</v>
      </c>
      <c r="BO266" s="208" t="str">
        <f t="shared" si="534"/>
        <v>Inconnu</v>
      </c>
      <c r="BP266" s="208" t="str">
        <f t="shared" si="535"/>
        <v>Inconnu</v>
      </c>
      <c r="BQ266" s="208" t="str">
        <f t="shared" si="536"/>
        <v>Inconnu</v>
      </c>
      <c r="BR266" s="208" t="str">
        <f t="shared" si="537"/>
        <v>Aucune</v>
      </c>
      <c r="BS266" s="208">
        <f t="shared" si="538"/>
        <v>0</v>
      </c>
      <c r="BT266" s="229" t="e">
        <f>VLOOKUP($I266,Lieu_Activité!$A:$B,2,FALSE)</f>
        <v>#N/A</v>
      </c>
      <c r="BU266" s="208" t="str">
        <f t="shared" si="539"/>
        <v>Aucun</v>
      </c>
      <c r="BV266" s="208" t="str">
        <f t="shared" si="540"/>
        <v>Aucun</v>
      </c>
      <c r="BW266" s="207" t="str">
        <f t="shared" si="541"/>
        <v>NON</v>
      </c>
      <c r="BX266" s="288"/>
    </row>
    <row r="267" spans="1:76" ht="12.75" customHeight="1" x14ac:dyDescent="0.25">
      <c r="A267" s="226" t="s">
        <v>258</v>
      </c>
      <c r="B267" s="234"/>
      <c r="C267" s="227"/>
      <c r="D267" s="257"/>
      <c r="E267" s="278">
        <f t="shared" si="517"/>
        <v>0</v>
      </c>
      <c r="F267" s="278" t="str">
        <f t="shared" si="518"/>
        <v xml:space="preserve"> </v>
      </c>
      <c r="G267" s="256"/>
      <c r="H267" s="256"/>
      <c r="I267" s="256"/>
      <c r="J267" s="256"/>
      <c r="K267" s="256"/>
      <c r="L267" s="257"/>
      <c r="M267" s="243"/>
      <c r="N267" s="232"/>
      <c r="O267" s="232"/>
      <c r="P267" s="265" t="str">
        <f>IFERROR(VLOOKUP(O267,Références!$K$11:$N$19,2)," ")</f>
        <v xml:space="preserve"> </v>
      </c>
      <c r="Q267" s="265" t="str">
        <f>IFERROR(VLOOKUP(O267,Références!$K$11:$N$19,3)," ")</f>
        <v xml:space="preserve"> </v>
      </c>
      <c r="R267" s="265" t="str">
        <f>IFERROR(VLOOKUP(O267,Références!$K$11:$N$19,4)," ")</f>
        <v xml:space="preserve"> </v>
      </c>
      <c r="S267" s="256"/>
      <c r="T267" s="256"/>
      <c r="U267" s="256"/>
      <c r="V267" s="256"/>
      <c r="W267" s="256"/>
      <c r="X267" s="257"/>
      <c r="Y267" s="256"/>
      <c r="Z267" s="256"/>
      <c r="AA267" s="256"/>
      <c r="AB267" s="235"/>
      <c r="AC267" s="235"/>
      <c r="AD267" s="235"/>
      <c r="AE267" s="235"/>
      <c r="AF267" s="235"/>
      <c r="AG267" s="235"/>
      <c r="AH267" s="235"/>
      <c r="AI267" s="235">
        <f t="shared" si="519"/>
        <v>0</v>
      </c>
      <c r="AJ267" s="257"/>
      <c r="AK267" s="256">
        <f t="shared" si="520"/>
        <v>0</v>
      </c>
      <c r="AL267" s="257"/>
      <c r="AM267" s="266">
        <f t="shared" si="521"/>
        <v>0</v>
      </c>
      <c r="AN267" s="256"/>
      <c r="AO267" s="276"/>
      <c r="AP267" s="261" t="str">
        <f t="shared" si="227"/>
        <v xml:space="preserve"> </v>
      </c>
      <c r="AQ267" s="256"/>
      <c r="AR267" s="295"/>
      <c r="AS267" s="295"/>
      <c r="AT267" s="263"/>
      <c r="AU267" s="277"/>
      <c r="AV267" s="263"/>
      <c r="AW267" s="230"/>
      <c r="AX267" s="300"/>
      <c r="AY267" s="301"/>
      <c r="AZ267" s="230"/>
      <c r="BA267" s="300"/>
      <c r="BB267" s="295"/>
      <c r="BC267" s="228">
        <f t="shared" si="522"/>
        <v>0</v>
      </c>
      <c r="BD267" s="228">
        <f t="shared" si="523"/>
        <v>0</v>
      </c>
      <c r="BE267" s="228">
        <f t="shared" si="524"/>
        <v>1</v>
      </c>
      <c r="BF267" s="228" t="str">
        <f t="shared" si="525"/>
        <v>ALIVE</v>
      </c>
      <c r="BG267" s="208" t="str">
        <f t="shared" si="526"/>
        <v>Aucune</v>
      </c>
      <c r="BH267" s="208" t="str">
        <f t="shared" si="527"/>
        <v>Aucune</v>
      </c>
      <c r="BI267" s="208" t="str">
        <f t="shared" si="528"/>
        <v>Aucune</v>
      </c>
      <c r="BJ267" s="208" t="str">
        <f t="shared" si="529"/>
        <v>NON</v>
      </c>
      <c r="BK267" s="208" t="str">
        <f t="shared" si="530"/>
        <v>NON</v>
      </c>
      <c r="BL267" s="208" t="str">
        <f t="shared" si="531"/>
        <v>Inconnu</v>
      </c>
      <c r="BM267" s="208" t="str">
        <f t="shared" si="532"/>
        <v>Inconnu</v>
      </c>
      <c r="BN267" s="208" t="str">
        <f t="shared" si="533"/>
        <v>Inconnu</v>
      </c>
      <c r="BO267" s="208" t="str">
        <f t="shared" si="534"/>
        <v>Inconnu</v>
      </c>
      <c r="BP267" s="208" t="str">
        <f t="shared" si="535"/>
        <v>Inconnu</v>
      </c>
      <c r="BQ267" s="208" t="str">
        <f t="shared" si="536"/>
        <v>Inconnu</v>
      </c>
      <c r="BR267" s="208" t="str">
        <f t="shared" si="537"/>
        <v>Aucune</v>
      </c>
      <c r="BS267" s="208">
        <f t="shared" si="538"/>
        <v>0</v>
      </c>
      <c r="BT267" s="229" t="e">
        <f>VLOOKUP($I267,Lieu_Activité!$A:$B,2,FALSE)</f>
        <v>#N/A</v>
      </c>
      <c r="BU267" s="208" t="str">
        <f t="shared" si="539"/>
        <v>Aucun</v>
      </c>
      <c r="BV267" s="208" t="str">
        <f t="shared" si="540"/>
        <v>Aucun</v>
      </c>
      <c r="BW267" s="207" t="str">
        <f t="shared" si="541"/>
        <v>NON</v>
      </c>
      <c r="BX267" s="288"/>
    </row>
    <row r="268" spans="1:76" ht="12.75" customHeight="1" x14ac:dyDescent="0.25">
      <c r="A268" s="226" t="s">
        <v>258</v>
      </c>
      <c r="B268" s="234"/>
      <c r="C268" s="227"/>
      <c r="D268" s="257"/>
      <c r="E268" s="278">
        <f t="shared" si="517"/>
        <v>0</v>
      </c>
      <c r="F268" s="278" t="str">
        <f t="shared" si="518"/>
        <v xml:space="preserve"> </v>
      </c>
      <c r="G268" s="256"/>
      <c r="H268" s="256"/>
      <c r="I268" s="256"/>
      <c r="J268" s="256"/>
      <c r="K268" s="256"/>
      <c r="L268" s="257"/>
      <c r="M268" s="243"/>
      <c r="N268" s="232"/>
      <c r="O268" s="232"/>
      <c r="P268" s="265" t="str">
        <f>IFERROR(VLOOKUP(O268,Références!$K$11:$N$19,2)," ")</f>
        <v xml:space="preserve"> </v>
      </c>
      <c r="Q268" s="265" t="str">
        <f>IFERROR(VLOOKUP(O268,Références!$K$11:$N$19,3)," ")</f>
        <v xml:space="preserve"> </v>
      </c>
      <c r="R268" s="265" t="str">
        <f>IFERROR(VLOOKUP(O268,Références!$K$11:$N$19,4)," ")</f>
        <v xml:space="preserve"> </v>
      </c>
      <c r="S268" s="256"/>
      <c r="T268" s="256"/>
      <c r="U268" s="256"/>
      <c r="V268" s="256"/>
      <c r="W268" s="256"/>
      <c r="X268" s="257"/>
      <c r="Y268" s="256"/>
      <c r="Z268" s="256"/>
      <c r="AA268" s="256"/>
      <c r="AB268" s="235"/>
      <c r="AC268" s="235"/>
      <c r="AD268" s="235"/>
      <c r="AE268" s="235"/>
      <c r="AF268" s="235"/>
      <c r="AG268" s="235"/>
      <c r="AH268" s="235"/>
      <c r="AI268" s="235">
        <f t="shared" si="519"/>
        <v>0</v>
      </c>
      <c r="AJ268" s="257"/>
      <c r="AK268" s="256">
        <f t="shared" si="520"/>
        <v>0</v>
      </c>
      <c r="AL268" s="257"/>
      <c r="AM268" s="266">
        <f t="shared" si="521"/>
        <v>0</v>
      </c>
      <c r="AN268" s="256"/>
      <c r="AO268" s="276"/>
      <c r="AP268" s="261" t="str">
        <f t="shared" si="227"/>
        <v xml:space="preserve"> </v>
      </c>
      <c r="AQ268" s="256"/>
      <c r="AR268" s="295"/>
      <c r="AS268" s="295"/>
      <c r="AT268" s="263"/>
      <c r="AU268" s="277"/>
      <c r="AV268" s="263"/>
      <c r="AW268" s="230"/>
      <c r="AX268" s="300"/>
      <c r="AY268" s="301"/>
      <c r="AZ268" s="230"/>
      <c r="BA268" s="300"/>
      <c r="BB268" s="295"/>
      <c r="BC268" s="228">
        <f t="shared" si="522"/>
        <v>0</v>
      </c>
      <c r="BD268" s="228">
        <f t="shared" si="523"/>
        <v>0</v>
      </c>
      <c r="BE268" s="228">
        <f t="shared" si="524"/>
        <v>1</v>
      </c>
      <c r="BF268" s="228" t="str">
        <f t="shared" si="525"/>
        <v>ALIVE</v>
      </c>
      <c r="BG268" s="208" t="str">
        <f t="shared" si="526"/>
        <v>Aucune</v>
      </c>
      <c r="BH268" s="208" t="str">
        <f t="shared" si="527"/>
        <v>Aucune</v>
      </c>
      <c r="BI268" s="208" t="str">
        <f t="shared" si="528"/>
        <v>Aucune</v>
      </c>
      <c r="BJ268" s="208" t="str">
        <f t="shared" si="529"/>
        <v>NON</v>
      </c>
      <c r="BK268" s="208" t="str">
        <f t="shared" si="530"/>
        <v>NON</v>
      </c>
      <c r="BL268" s="208" t="str">
        <f t="shared" si="531"/>
        <v>Inconnu</v>
      </c>
      <c r="BM268" s="208" t="str">
        <f t="shared" si="532"/>
        <v>Inconnu</v>
      </c>
      <c r="BN268" s="208" t="str">
        <f t="shared" si="533"/>
        <v>Inconnu</v>
      </c>
      <c r="BO268" s="208" t="str">
        <f t="shared" si="534"/>
        <v>Inconnu</v>
      </c>
      <c r="BP268" s="208" t="str">
        <f t="shared" si="535"/>
        <v>Inconnu</v>
      </c>
      <c r="BQ268" s="208" t="str">
        <f t="shared" si="536"/>
        <v>Inconnu</v>
      </c>
      <c r="BR268" s="208" t="str">
        <f t="shared" si="537"/>
        <v>Aucune</v>
      </c>
      <c r="BS268" s="208">
        <f t="shared" si="538"/>
        <v>0</v>
      </c>
      <c r="BT268" s="229" t="e">
        <f>VLOOKUP($I268,Lieu_Activité!$A:$B,2,FALSE)</f>
        <v>#N/A</v>
      </c>
      <c r="BU268" s="208" t="str">
        <f t="shared" si="539"/>
        <v>Aucun</v>
      </c>
      <c r="BV268" s="208" t="str">
        <f t="shared" si="540"/>
        <v>Aucun</v>
      </c>
      <c r="BW268" s="207" t="str">
        <f t="shared" si="541"/>
        <v>NON</v>
      </c>
      <c r="BX268" s="288"/>
    </row>
    <row r="269" spans="1:76" ht="12.75" customHeight="1" x14ac:dyDescent="0.25">
      <c r="A269" s="226" t="s">
        <v>258</v>
      </c>
      <c r="B269" s="234"/>
      <c r="C269" s="227"/>
      <c r="D269" s="257"/>
      <c r="E269" s="278">
        <f t="shared" si="493"/>
        <v>0</v>
      </c>
      <c r="F269" s="278" t="str">
        <f t="shared" si="226"/>
        <v xml:space="preserve"> </v>
      </c>
      <c r="G269" s="256"/>
      <c r="H269" s="256"/>
      <c r="I269" s="256"/>
      <c r="J269" s="256"/>
      <c r="K269" s="256"/>
      <c r="L269" s="257"/>
      <c r="M269" s="243"/>
      <c r="N269" s="232"/>
      <c r="O269" s="232"/>
      <c r="P269" s="265" t="str">
        <f>IFERROR(VLOOKUP(O269,Références!$K$11:$N$19,2)," ")</f>
        <v xml:space="preserve"> </v>
      </c>
      <c r="Q269" s="265" t="str">
        <f>IFERROR(VLOOKUP(O269,Références!$K$11:$N$19,3)," ")</f>
        <v xml:space="preserve"> </v>
      </c>
      <c r="R269" s="265" t="str">
        <f>IFERROR(VLOOKUP(O269,Références!$K$11:$N$19,4)," ")</f>
        <v xml:space="preserve"> </v>
      </c>
      <c r="S269" s="256"/>
      <c r="T269" s="256"/>
      <c r="U269" s="256"/>
      <c r="V269" s="256"/>
      <c r="W269" s="256"/>
      <c r="X269" s="257"/>
      <c r="Y269" s="256"/>
      <c r="Z269" s="256"/>
      <c r="AA269" s="256"/>
      <c r="AB269" s="235"/>
      <c r="AC269" s="235"/>
      <c r="AD269" s="235"/>
      <c r="AE269" s="235"/>
      <c r="AF269" s="235"/>
      <c r="AG269" s="235"/>
      <c r="AH269" s="235"/>
      <c r="AI269" s="235">
        <f t="shared" si="516"/>
        <v>0</v>
      </c>
      <c r="AJ269" s="257"/>
      <c r="AK269" s="256">
        <f t="shared" si="494"/>
        <v>0</v>
      </c>
      <c r="AL269" s="257"/>
      <c r="AM269" s="266">
        <f t="shared" si="495"/>
        <v>0</v>
      </c>
      <c r="AN269" s="256"/>
      <c r="AO269" s="276"/>
      <c r="AP269" s="261" t="str">
        <f t="shared" si="227"/>
        <v xml:space="preserve"> </v>
      </c>
      <c r="AQ269" s="256"/>
      <c r="AR269" s="295"/>
      <c r="AS269" s="295"/>
      <c r="AT269" s="263"/>
      <c r="AU269" s="277"/>
      <c r="AV269" s="263"/>
      <c r="AW269" s="230"/>
      <c r="AX269" s="300"/>
      <c r="AY269" s="301"/>
      <c r="AZ269" s="230"/>
      <c r="BA269" s="300"/>
      <c r="BB269" s="295"/>
      <c r="BC269" s="228">
        <f t="shared" si="496"/>
        <v>0</v>
      </c>
      <c r="BD269" s="228">
        <f t="shared" si="497"/>
        <v>0</v>
      </c>
      <c r="BE269" s="228">
        <f t="shared" si="498"/>
        <v>1</v>
      </c>
      <c r="BF269" s="228" t="str">
        <f t="shared" si="499"/>
        <v>ALIVE</v>
      </c>
      <c r="BG269" s="208" t="str">
        <f t="shared" si="500"/>
        <v>Aucune</v>
      </c>
      <c r="BH269" s="208" t="str">
        <f t="shared" si="501"/>
        <v>Aucune</v>
      </c>
      <c r="BI269" s="208" t="str">
        <f t="shared" si="502"/>
        <v>Aucune</v>
      </c>
      <c r="BJ269" s="208" t="str">
        <f t="shared" si="503"/>
        <v>NON</v>
      </c>
      <c r="BK269" s="208" t="str">
        <f t="shared" si="504"/>
        <v>NON</v>
      </c>
      <c r="BL269" s="208" t="str">
        <f t="shared" si="505"/>
        <v>Inconnu</v>
      </c>
      <c r="BM269" s="208" t="str">
        <f t="shared" si="506"/>
        <v>Inconnu</v>
      </c>
      <c r="BN269" s="208" t="str">
        <f t="shared" si="507"/>
        <v>Inconnu</v>
      </c>
      <c r="BO269" s="208" t="str">
        <f t="shared" si="508"/>
        <v>Inconnu</v>
      </c>
      <c r="BP269" s="208" t="str">
        <f t="shared" si="509"/>
        <v>Inconnu</v>
      </c>
      <c r="BQ269" s="208" t="str">
        <f t="shared" si="510"/>
        <v>Inconnu</v>
      </c>
      <c r="BR269" s="208" t="str">
        <f t="shared" si="511"/>
        <v>Aucune</v>
      </c>
      <c r="BS269" s="208">
        <f t="shared" si="512"/>
        <v>0</v>
      </c>
      <c r="BT269" s="229" t="e">
        <f>VLOOKUP($I269,Lieu_Activité!$A:$B,2,FALSE)</f>
        <v>#N/A</v>
      </c>
      <c r="BU269" s="208" t="str">
        <f t="shared" si="513"/>
        <v>Aucun</v>
      </c>
      <c r="BV269" s="208" t="str">
        <f t="shared" si="514"/>
        <v>Aucun</v>
      </c>
      <c r="BW269" s="207" t="str">
        <f t="shared" si="515"/>
        <v>NON</v>
      </c>
      <c r="BX269" s="288"/>
    </row>
    <row r="270" spans="1:76" ht="12" customHeight="1" x14ac:dyDescent="0.25">
      <c r="A270" s="226" t="s">
        <v>258</v>
      </c>
      <c r="B270" s="234"/>
      <c r="C270" s="227"/>
      <c r="D270" s="257"/>
      <c r="E270" s="278">
        <f t="shared" si="493"/>
        <v>0</v>
      </c>
      <c r="F270" s="278" t="str">
        <f t="shared" si="226"/>
        <v xml:space="preserve"> </v>
      </c>
      <c r="G270" s="256"/>
      <c r="H270" s="256"/>
      <c r="I270" s="256"/>
      <c r="J270" s="256"/>
      <c r="K270" s="256"/>
      <c r="L270" s="257"/>
      <c r="M270" s="269"/>
      <c r="N270" s="232"/>
      <c r="O270" s="232"/>
      <c r="P270" s="265" t="str">
        <f>IFERROR(VLOOKUP(O270,Références!$K$11:$N$19,2)," ")</f>
        <v xml:space="preserve"> </v>
      </c>
      <c r="Q270" s="265" t="str">
        <f>IFERROR(VLOOKUP(O270,Références!$K$11:$N$19,3)," ")</f>
        <v xml:space="preserve"> </v>
      </c>
      <c r="R270" s="265" t="str">
        <f>IFERROR(VLOOKUP(O270,Références!$K$11:$N$19,4)," ")</f>
        <v xml:space="preserve"> </v>
      </c>
      <c r="S270" s="256"/>
      <c r="T270" s="256"/>
      <c r="U270" s="256"/>
      <c r="V270" s="256"/>
      <c r="W270" s="256"/>
      <c r="X270" s="257"/>
      <c r="Y270" s="256"/>
      <c r="Z270" s="256"/>
      <c r="AA270" s="256"/>
      <c r="AB270" s="235"/>
      <c r="AC270" s="235"/>
      <c r="AD270" s="235"/>
      <c r="AE270" s="235"/>
      <c r="AF270" s="235"/>
      <c r="AG270" s="235"/>
      <c r="AH270" s="235"/>
      <c r="AI270" s="235">
        <f t="shared" si="516"/>
        <v>0</v>
      </c>
      <c r="AJ270" s="257"/>
      <c r="AK270" s="256">
        <f t="shared" si="494"/>
        <v>0</v>
      </c>
      <c r="AL270" s="257"/>
      <c r="AM270" s="266">
        <f t="shared" si="495"/>
        <v>0</v>
      </c>
      <c r="AN270" s="256"/>
      <c r="AO270" s="276"/>
      <c r="AP270" s="261" t="str">
        <f t="shared" si="227"/>
        <v xml:space="preserve"> </v>
      </c>
      <c r="AQ270" s="256"/>
      <c r="AR270" s="295"/>
      <c r="AS270" s="295"/>
      <c r="AT270" s="263"/>
      <c r="AU270" s="277"/>
      <c r="AV270" s="263"/>
      <c r="AW270" s="230"/>
      <c r="AX270" s="300"/>
      <c r="AY270" s="301"/>
      <c r="AZ270" s="230"/>
      <c r="BA270" s="300"/>
      <c r="BB270" s="295"/>
      <c r="BC270" s="228">
        <f t="shared" si="496"/>
        <v>0</v>
      </c>
      <c r="BD270" s="228">
        <f t="shared" si="497"/>
        <v>0</v>
      </c>
      <c r="BE270" s="228">
        <f t="shared" si="498"/>
        <v>1</v>
      </c>
      <c r="BF270" s="228" t="str">
        <f t="shared" si="499"/>
        <v>ALIVE</v>
      </c>
      <c r="BG270" s="208" t="str">
        <f t="shared" si="500"/>
        <v>Aucune</v>
      </c>
      <c r="BH270" s="208" t="str">
        <f t="shared" si="501"/>
        <v>Aucune</v>
      </c>
      <c r="BI270" s="208" t="str">
        <f t="shared" si="502"/>
        <v>Aucune</v>
      </c>
      <c r="BJ270" s="208" t="str">
        <f t="shared" si="503"/>
        <v>NON</v>
      </c>
      <c r="BK270" s="208" t="str">
        <f t="shared" si="504"/>
        <v>NON</v>
      </c>
      <c r="BL270" s="208" t="str">
        <f t="shared" si="505"/>
        <v>Inconnu</v>
      </c>
      <c r="BM270" s="208" t="str">
        <f t="shared" si="506"/>
        <v>Inconnu</v>
      </c>
      <c r="BN270" s="208" t="str">
        <f t="shared" si="507"/>
        <v>Inconnu</v>
      </c>
      <c r="BO270" s="208" t="str">
        <f t="shared" si="508"/>
        <v>Inconnu</v>
      </c>
      <c r="BP270" s="208" t="str">
        <f t="shared" si="509"/>
        <v>Inconnu</v>
      </c>
      <c r="BQ270" s="208" t="str">
        <f t="shared" si="510"/>
        <v>Inconnu</v>
      </c>
      <c r="BR270" s="208" t="str">
        <f t="shared" si="511"/>
        <v>Aucune</v>
      </c>
      <c r="BS270" s="208">
        <f t="shared" si="512"/>
        <v>0</v>
      </c>
      <c r="BT270" s="229" t="e">
        <f>VLOOKUP($I270,Lieu_Activité!$A:$B,2,FALSE)</f>
        <v>#N/A</v>
      </c>
      <c r="BU270" s="208" t="str">
        <f t="shared" si="513"/>
        <v>Aucun</v>
      </c>
      <c r="BV270" s="208" t="str">
        <f t="shared" si="514"/>
        <v>Aucun</v>
      </c>
      <c r="BW270" s="207" t="str">
        <f t="shared" si="515"/>
        <v>NON</v>
      </c>
      <c r="BX270" s="288"/>
    </row>
    <row r="271" spans="1:76" ht="12.75" customHeight="1" x14ac:dyDescent="0.25">
      <c r="A271" s="226" t="s">
        <v>258</v>
      </c>
      <c r="B271" s="234"/>
      <c r="C271" s="227"/>
      <c r="D271" s="257"/>
      <c r="E271" s="278">
        <f t="shared" si="493"/>
        <v>0</v>
      </c>
      <c r="F271" s="278" t="str">
        <f t="shared" si="226"/>
        <v xml:space="preserve"> </v>
      </c>
      <c r="G271" s="256"/>
      <c r="H271" s="256"/>
      <c r="I271" s="256"/>
      <c r="J271" s="256"/>
      <c r="K271" s="256"/>
      <c r="L271" s="257"/>
      <c r="M271" s="269"/>
      <c r="N271" s="232"/>
      <c r="O271" s="232"/>
      <c r="P271" s="265" t="str">
        <f>IFERROR(VLOOKUP(O271,Références!$K$11:$N$19,2)," ")</f>
        <v xml:space="preserve"> </v>
      </c>
      <c r="Q271" s="265" t="str">
        <f>IFERROR(VLOOKUP(O271,Références!$K$11:$N$19,3)," ")</f>
        <v xml:space="preserve"> </v>
      </c>
      <c r="R271" s="265" t="str">
        <f>IFERROR(VLOOKUP(O271,Références!$K$11:$N$19,4)," ")</f>
        <v xml:space="preserve"> </v>
      </c>
      <c r="S271" s="256"/>
      <c r="T271" s="256"/>
      <c r="U271" s="256"/>
      <c r="V271" s="256"/>
      <c r="W271" s="256"/>
      <c r="X271" s="257"/>
      <c r="Y271" s="256"/>
      <c r="Z271" s="256"/>
      <c r="AA271" s="256"/>
      <c r="AB271" s="235"/>
      <c r="AC271" s="235"/>
      <c r="AD271" s="235"/>
      <c r="AE271" s="235"/>
      <c r="AF271" s="235"/>
      <c r="AG271" s="235"/>
      <c r="AH271" s="235"/>
      <c r="AI271" s="235">
        <f t="shared" si="516"/>
        <v>0</v>
      </c>
      <c r="AJ271" s="257"/>
      <c r="AK271" s="256">
        <f t="shared" si="494"/>
        <v>0</v>
      </c>
      <c r="AL271" s="257"/>
      <c r="AM271" s="266">
        <f t="shared" si="495"/>
        <v>0</v>
      </c>
      <c r="AN271" s="256"/>
      <c r="AO271" s="276"/>
      <c r="AP271" s="261" t="str">
        <f t="shared" ref="AP271:AP309" si="542">IF(AO271=1,"ELECTIVE",IF(AO271=2,"URGENCY",IF(AO271=3,"EMERGENCY",IF(AO271=4,"SALVAGE"," "))))</f>
        <v xml:space="preserve"> </v>
      </c>
      <c r="AQ271" s="256"/>
      <c r="AR271" s="295"/>
      <c r="AS271" s="295"/>
      <c r="AT271" s="263"/>
      <c r="AU271" s="277"/>
      <c r="AV271" s="263"/>
      <c r="AW271" s="230"/>
      <c r="AX271" s="300"/>
      <c r="AY271" s="301"/>
      <c r="AZ271" s="300"/>
      <c r="BA271" s="300"/>
      <c r="BB271" s="295"/>
      <c r="BC271" s="228">
        <f t="shared" si="496"/>
        <v>0</v>
      </c>
      <c r="BD271" s="228">
        <f t="shared" si="497"/>
        <v>0</v>
      </c>
      <c r="BE271" s="228">
        <f t="shared" si="498"/>
        <v>1</v>
      </c>
      <c r="BF271" s="228" t="str">
        <f t="shared" si="499"/>
        <v>ALIVE</v>
      </c>
      <c r="BG271" s="208" t="str">
        <f t="shared" si="500"/>
        <v>Aucune</v>
      </c>
      <c r="BH271" s="208" t="str">
        <f t="shared" si="501"/>
        <v>Aucune</v>
      </c>
      <c r="BI271" s="208" t="str">
        <f t="shared" si="502"/>
        <v>Aucune</v>
      </c>
      <c r="BJ271" s="208" t="str">
        <f t="shared" si="503"/>
        <v>NON</v>
      </c>
      <c r="BK271" s="208" t="str">
        <f t="shared" si="504"/>
        <v>NON</v>
      </c>
      <c r="BL271" s="208" t="str">
        <f t="shared" si="505"/>
        <v>Inconnu</v>
      </c>
      <c r="BM271" s="208" t="str">
        <f t="shared" si="506"/>
        <v>Inconnu</v>
      </c>
      <c r="BN271" s="208" t="str">
        <f t="shared" si="507"/>
        <v>Inconnu</v>
      </c>
      <c r="BO271" s="208" t="str">
        <f t="shared" si="508"/>
        <v>Inconnu</v>
      </c>
      <c r="BP271" s="208" t="str">
        <f t="shared" si="509"/>
        <v>Inconnu</v>
      </c>
      <c r="BQ271" s="208" t="str">
        <f t="shared" si="510"/>
        <v>Inconnu</v>
      </c>
      <c r="BR271" s="208" t="str">
        <f t="shared" si="511"/>
        <v>Aucune</v>
      </c>
      <c r="BS271" s="208">
        <f t="shared" si="512"/>
        <v>0</v>
      </c>
      <c r="BT271" s="229" t="e">
        <f>VLOOKUP($I271,Lieu_Activité!$A:$B,2,FALSE)</f>
        <v>#N/A</v>
      </c>
      <c r="BU271" s="208" t="str">
        <f t="shared" si="513"/>
        <v>Aucun</v>
      </c>
      <c r="BV271" s="208" t="str">
        <f t="shared" si="514"/>
        <v>Aucun</v>
      </c>
      <c r="BW271" s="207" t="str">
        <f t="shared" si="515"/>
        <v>NON</v>
      </c>
      <c r="BX271" s="288"/>
    </row>
    <row r="272" spans="1:76" ht="12" customHeight="1" x14ac:dyDescent="0.25">
      <c r="A272" s="226" t="s">
        <v>258</v>
      </c>
      <c r="B272" s="234"/>
      <c r="C272" s="227"/>
      <c r="D272" s="257"/>
      <c r="E272" s="278">
        <f t="shared" si="493"/>
        <v>0</v>
      </c>
      <c r="F272" s="278" t="str">
        <f t="shared" si="226"/>
        <v xml:space="preserve"> </v>
      </c>
      <c r="G272" s="256"/>
      <c r="H272" s="256"/>
      <c r="I272" s="256"/>
      <c r="J272" s="256"/>
      <c r="K272" s="256"/>
      <c r="L272" s="257"/>
      <c r="M272" s="269"/>
      <c r="N272" s="232"/>
      <c r="O272" s="232"/>
      <c r="P272" s="265" t="str">
        <f>IFERROR(VLOOKUP(O272,Références!$K$11:$N$19,2)," ")</f>
        <v xml:space="preserve"> </v>
      </c>
      <c r="Q272" s="265" t="str">
        <f>IFERROR(VLOOKUP(O272,Références!$K$11:$N$19,3)," ")</f>
        <v xml:space="preserve"> </v>
      </c>
      <c r="R272" s="265" t="str">
        <f>IFERROR(VLOOKUP(O272,Références!$K$11:$N$19,4)," ")</f>
        <v xml:space="preserve"> </v>
      </c>
      <c r="S272" s="256"/>
      <c r="T272" s="256"/>
      <c r="U272" s="256"/>
      <c r="V272" s="256"/>
      <c r="W272" s="256"/>
      <c r="X272" s="257"/>
      <c r="Y272" s="256"/>
      <c r="Z272" s="256"/>
      <c r="AA272" s="256"/>
      <c r="AB272" s="235"/>
      <c r="AC272" s="235"/>
      <c r="AD272" s="235"/>
      <c r="AE272" s="235"/>
      <c r="AF272" s="235"/>
      <c r="AG272" s="235"/>
      <c r="AH272" s="235"/>
      <c r="AI272" s="235">
        <f t="shared" si="516"/>
        <v>0</v>
      </c>
      <c r="AJ272" s="257"/>
      <c r="AK272" s="256">
        <f t="shared" si="494"/>
        <v>0</v>
      </c>
      <c r="AL272" s="257"/>
      <c r="AM272" s="266">
        <f t="shared" si="495"/>
        <v>0</v>
      </c>
      <c r="AN272" s="256"/>
      <c r="AO272" s="276"/>
      <c r="AP272" s="261" t="str">
        <f t="shared" si="542"/>
        <v xml:space="preserve"> </v>
      </c>
      <c r="AQ272" s="256"/>
      <c r="AR272" s="295"/>
      <c r="AS272" s="295"/>
      <c r="AT272" s="263"/>
      <c r="AU272" s="277"/>
      <c r="AV272" s="263"/>
      <c r="AW272" s="230"/>
      <c r="AX272" s="300"/>
      <c r="AY272" s="301"/>
      <c r="AZ272" s="230"/>
      <c r="BA272" s="300"/>
      <c r="BB272" s="295"/>
      <c r="BC272" s="228">
        <f t="shared" si="496"/>
        <v>0</v>
      </c>
      <c r="BD272" s="228">
        <f t="shared" si="497"/>
        <v>0</v>
      </c>
      <c r="BE272" s="228">
        <f t="shared" si="498"/>
        <v>1</v>
      </c>
      <c r="BF272" s="228" t="str">
        <f t="shared" si="499"/>
        <v>ALIVE</v>
      </c>
      <c r="BG272" s="208" t="str">
        <f t="shared" si="500"/>
        <v>Aucune</v>
      </c>
      <c r="BH272" s="208" t="str">
        <f t="shared" si="501"/>
        <v>Aucune</v>
      </c>
      <c r="BI272" s="208" t="str">
        <f t="shared" si="502"/>
        <v>Aucune</v>
      </c>
      <c r="BJ272" s="208" t="str">
        <f t="shared" si="503"/>
        <v>NON</v>
      </c>
      <c r="BK272" s="208" t="str">
        <f t="shared" si="504"/>
        <v>NON</v>
      </c>
      <c r="BL272" s="208" t="str">
        <f t="shared" si="505"/>
        <v>Inconnu</v>
      </c>
      <c r="BM272" s="208" t="str">
        <f t="shared" si="506"/>
        <v>Inconnu</v>
      </c>
      <c r="BN272" s="208" t="str">
        <f t="shared" si="507"/>
        <v>Inconnu</v>
      </c>
      <c r="BO272" s="208" t="str">
        <f t="shared" si="508"/>
        <v>Inconnu</v>
      </c>
      <c r="BP272" s="208" t="str">
        <f t="shared" si="509"/>
        <v>Inconnu</v>
      </c>
      <c r="BQ272" s="208" t="str">
        <f t="shared" si="510"/>
        <v>Inconnu</v>
      </c>
      <c r="BR272" s="208" t="str">
        <f t="shared" si="511"/>
        <v>Aucune</v>
      </c>
      <c r="BS272" s="208">
        <f t="shared" si="512"/>
        <v>0</v>
      </c>
      <c r="BT272" s="229" t="e">
        <f>VLOOKUP($I272,Lieu_Activité!$A:$B,2,FALSE)</f>
        <v>#N/A</v>
      </c>
      <c r="BU272" s="208" t="str">
        <f t="shared" si="513"/>
        <v>Aucun</v>
      </c>
      <c r="BV272" s="208" t="str">
        <f t="shared" si="514"/>
        <v>Aucun</v>
      </c>
      <c r="BW272" s="207" t="str">
        <f t="shared" si="515"/>
        <v>NON</v>
      </c>
      <c r="BX272" s="288"/>
    </row>
    <row r="273" spans="1:76" ht="12" customHeight="1" x14ac:dyDescent="0.25">
      <c r="A273" s="226" t="s">
        <v>258</v>
      </c>
      <c r="B273" s="234"/>
      <c r="C273" s="227"/>
      <c r="D273" s="257"/>
      <c r="E273" s="278">
        <f t="shared" si="493"/>
        <v>0</v>
      </c>
      <c r="F273" s="278" t="str">
        <f t="shared" si="226"/>
        <v xml:space="preserve"> </v>
      </c>
      <c r="G273" s="256"/>
      <c r="H273" s="256"/>
      <c r="I273" s="256"/>
      <c r="J273" s="256"/>
      <c r="K273" s="256"/>
      <c r="L273" s="257"/>
      <c r="M273" s="269"/>
      <c r="N273" s="232"/>
      <c r="O273" s="232"/>
      <c r="P273" s="265" t="str">
        <f>IFERROR(VLOOKUP(O273,Références!$K$11:$N$19,2)," ")</f>
        <v xml:space="preserve"> </v>
      </c>
      <c r="Q273" s="265" t="str">
        <f>IFERROR(VLOOKUP(O273,Références!$K$11:$N$19,3)," ")</f>
        <v xml:space="preserve"> </v>
      </c>
      <c r="R273" s="265" t="str">
        <f>IFERROR(VLOOKUP(O273,Références!$K$11:$N$19,4)," ")</f>
        <v xml:space="preserve"> </v>
      </c>
      <c r="S273" s="256"/>
      <c r="T273" s="256"/>
      <c r="U273" s="256"/>
      <c r="V273" s="256"/>
      <c r="W273" s="256"/>
      <c r="X273" s="257"/>
      <c r="Y273" s="256"/>
      <c r="Z273" s="256"/>
      <c r="AA273" s="256"/>
      <c r="AB273" s="235"/>
      <c r="AC273" s="235"/>
      <c r="AD273" s="235"/>
      <c r="AE273" s="235"/>
      <c r="AF273" s="235"/>
      <c r="AG273" s="235"/>
      <c r="AH273" s="235"/>
      <c r="AI273" s="235">
        <f t="shared" si="516"/>
        <v>0</v>
      </c>
      <c r="AJ273" s="257"/>
      <c r="AK273" s="256">
        <f t="shared" si="494"/>
        <v>0</v>
      </c>
      <c r="AL273" s="257"/>
      <c r="AM273" s="266">
        <f t="shared" si="495"/>
        <v>0</v>
      </c>
      <c r="AN273" s="256"/>
      <c r="AO273" s="276"/>
      <c r="AP273" s="261" t="str">
        <f t="shared" si="542"/>
        <v xml:space="preserve"> </v>
      </c>
      <c r="AQ273" s="256"/>
      <c r="AR273" s="295"/>
      <c r="AS273" s="295"/>
      <c r="AT273" s="263"/>
      <c r="AU273" s="277"/>
      <c r="AV273" s="263"/>
      <c r="AW273" s="230"/>
      <c r="AX273" s="300"/>
      <c r="AY273" s="301"/>
      <c r="AZ273" s="230"/>
      <c r="BA273" s="300"/>
      <c r="BB273" s="295"/>
      <c r="BC273" s="228">
        <f t="shared" si="496"/>
        <v>0</v>
      </c>
      <c r="BD273" s="228">
        <f t="shared" si="497"/>
        <v>0</v>
      </c>
      <c r="BE273" s="228">
        <f t="shared" si="498"/>
        <v>1</v>
      </c>
      <c r="BF273" s="228" t="str">
        <f t="shared" si="499"/>
        <v>ALIVE</v>
      </c>
      <c r="BG273" s="208" t="str">
        <f t="shared" si="500"/>
        <v>Aucune</v>
      </c>
      <c r="BH273" s="208" t="str">
        <f t="shared" si="501"/>
        <v>Aucune</v>
      </c>
      <c r="BI273" s="208" t="str">
        <f t="shared" si="502"/>
        <v>Aucune</v>
      </c>
      <c r="BJ273" s="208" t="str">
        <f t="shared" si="503"/>
        <v>NON</v>
      </c>
      <c r="BK273" s="208" t="str">
        <f t="shared" si="504"/>
        <v>NON</v>
      </c>
      <c r="BL273" s="208" t="str">
        <f t="shared" si="505"/>
        <v>Inconnu</v>
      </c>
      <c r="BM273" s="208" t="str">
        <f t="shared" si="506"/>
        <v>Inconnu</v>
      </c>
      <c r="BN273" s="208" t="str">
        <f t="shared" si="507"/>
        <v>Inconnu</v>
      </c>
      <c r="BO273" s="208" t="str">
        <f t="shared" si="508"/>
        <v>Inconnu</v>
      </c>
      <c r="BP273" s="208" t="str">
        <f t="shared" si="509"/>
        <v>Inconnu</v>
      </c>
      <c r="BQ273" s="208" t="str">
        <f t="shared" si="510"/>
        <v>Inconnu</v>
      </c>
      <c r="BR273" s="208" t="str">
        <f t="shared" si="511"/>
        <v>Aucune</v>
      </c>
      <c r="BS273" s="208">
        <f t="shared" si="512"/>
        <v>0</v>
      </c>
      <c r="BT273" s="229" t="e">
        <f>VLOOKUP($I273,Lieu_Activité!$A:$B,2,FALSE)</f>
        <v>#N/A</v>
      </c>
      <c r="BU273" s="208" t="str">
        <f t="shared" si="513"/>
        <v>Aucun</v>
      </c>
      <c r="BV273" s="208" t="str">
        <f t="shared" si="514"/>
        <v>Aucun</v>
      </c>
      <c r="BW273" s="207" t="str">
        <f t="shared" si="515"/>
        <v>NON</v>
      </c>
      <c r="BX273" s="288"/>
    </row>
    <row r="274" spans="1:76" ht="12" customHeight="1" x14ac:dyDescent="0.25">
      <c r="A274" s="226" t="s">
        <v>258</v>
      </c>
      <c r="B274" s="234"/>
      <c r="C274" s="227"/>
      <c r="D274" s="257"/>
      <c r="E274" s="278">
        <f t="shared" si="493"/>
        <v>0</v>
      </c>
      <c r="F274" s="278" t="str">
        <f t="shared" si="226"/>
        <v xml:space="preserve"> </v>
      </c>
      <c r="G274" s="256"/>
      <c r="H274" s="256"/>
      <c r="I274" s="256"/>
      <c r="J274" s="256"/>
      <c r="K274" s="256"/>
      <c r="L274" s="257"/>
      <c r="M274" s="269"/>
      <c r="N274" s="232"/>
      <c r="O274" s="232"/>
      <c r="P274" s="265" t="str">
        <f>IFERROR(VLOOKUP(O274,Références!$K$11:$N$19,2)," ")</f>
        <v xml:space="preserve"> </v>
      </c>
      <c r="Q274" s="265" t="str">
        <f>IFERROR(VLOOKUP(O274,Références!$K$11:$N$19,3)," ")</f>
        <v xml:space="preserve"> </v>
      </c>
      <c r="R274" s="265" t="str">
        <f>IFERROR(VLOOKUP(O274,Références!$K$11:$N$19,4)," ")</f>
        <v xml:space="preserve"> </v>
      </c>
      <c r="S274" s="256"/>
      <c r="T274" s="256"/>
      <c r="U274" s="256"/>
      <c r="V274" s="256"/>
      <c r="W274" s="256"/>
      <c r="X274" s="257"/>
      <c r="Y274" s="256"/>
      <c r="Z274" s="256"/>
      <c r="AA274" s="256"/>
      <c r="AB274" s="235"/>
      <c r="AC274" s="235"/>
      <c r="AD274" s="235"/>
      <c r="AE274" s="235"/>
      <c r="AF274" s="235"/>
      <c r="AG274" s="235"/>
      <c r="AH274" s="235"/>
      <c r="AI274" s="235">
        <f t="shared" si="516"/>
        <v>0</v>
      </c>
      <c r="AJ274" s="257"/>
      <c r="AK274" s="256">
        <f t="shared" si="494"/>
        <v>0</v>
      </c>
      <c r="AL274" s="257"/>
      <c r="AM274" s="266">
        <f t="shared" si="495"/>
        <v>0</v>
      </c>
      <c r="AN274" s="256"/>
      <c r="AO274" s="276"/>
      <c r="AP274" s="261" t="str">
        <f t="shared" si="542"/>
        <v xml:space="preserve"> </v>
      </c>
      <c r="AQ274" s="256"/>
      <c r="AR274" s="295"/>
      <c r="AS274" s="295"/>
      <c r="AT274" s="263"/>
      <c r="AU274" s="277"/>
      <c r="AV274" s="263"/>
      <c r="AW274" s="230"/>
      <c r="AX274" s="300"/>
      <c r="AY274" s="301"/>
      <c r="AZ274" s="300"/>
      <c r="BA274" s="300"/>
      <c r="BB274" s="295"/>
      <c r="BC274" s="228">
        <f t="shared" si="496"/>
        <v>0</v>
      </c>
      <c r="BD274" s="228">
        <f t="shared" si="497"/>
        <v>0</v>
      </c>
      <c r="BE274" s="228">
        <f t="shared" si="498"/>
        <v>1</v>
      </c>
      <c r="BF274" s="228" t="str">
        <f t="shared" si="499"/>
        <v>ALIVE</v>
      </c>
      <c r="BG274" s="208" t="str">
        <f t="shared" si="500"/>
        <v>Aucune</v>
      </c>
      <c r="BH274" s="208" t="str">
        <f t="shared" si="501"/>
        <v>Aucune</v>
      </c>
      <c r="BI274" s="208" t="str">
        <f t="shared" si="502"/>
        <v>Aucune</v>
      </c>
      <c r="BJ274" s="208" t="str">
        <f t="shared" si="503"/>
        <v>NON</v>
      </c>
      <c r="BK274" s="208" t="str">
        <f t="shared" si="504"/>
        <v>NON</v>
      </c>
      <c r="BL274" s="208" t="str">
        <f t="shared" si="505"/>
        <v>Inconnu</v>
      </c>
      <c r="BM274" s="208" t="str">
        <f t="shared" si="506"/>
        <v>Inconnu</v>
      </c>
      <c r="BN274" s="208" t="str">
        <f t="shared" si="507"/>
        <v>Inconnu</v>
      </c>
      <c r="BO274" s="208" t="str">
        <f t="shared" si="508"/>
        <v>Inconnu</v>
      </c>
      <c r="BP274" s="208" t="str">
        <f t="shared" si="509"/>
        <v>Inconnu</v>
      </c>
      <c r="BQ274" s="208" t="str">
        <f t="shared" si="510"/>
        <v>Inconnu</v>
      </c>
      <c r="BR274" s="208" t="str">
        <f t="shared" si="511"/>
        <v>Aucune</v>
      </c>
      <c r="BS274" s="208">
        <f t="shared" si="512"/>
        <v>0</v>
      </c>
      <c r="BT274" s="229" t="e">
        <f>VLOOKUP($I274,Lieu_Activité!$A:$B,2,FALSE)</f>
        <v>#N/A</v>
      </c>
      <c r="BU274" s="208" t="str">
        <f t="shared" si="513"/>
        <v>Aucun</v>
      </c>
      <c r="BV274" s="208" t="str">
        <f t="shared" si="514"/>
        <v>Aucun</v>
      </c>
      <c r="BW274" s="207" t="str">
        <f t="shared" si="515"/>
        <v>NON</v>
      </c>
      <c r="BX274" s="288"/>
    </row>
    <row r="275" spans="1:76" ht="12.75" customHeight="1" x14ac:dyDescent="0.25">
      <c r="A275" s="226" t="s">
        <v>258</v>
      </c>
      <c r="B275" s="234"/>
      <c r="C275" s="227"/>
      <c r="D275" s="257"/>
      <c r="E275" s="278">
        <f t="shared" si="493"/>
        <v>0</v>
      </c>
      <c r="F275" s="278" t="str">
        <f t="shared" si="226"/>
        <v xml:space="preserve"> </v>
      </c>
      <c r="G275" s="256"/>
      <c r="H275" s="256"/>
      <c r="I275" s="256"/>
      <c r="J275" s="256"/>
      <c r="K275" s="256"/>
      <c r="L275" s="257"/>
      <c r="M275" s="269"/>
      <c r="N275" s="232"/>
      <c r="O275" s="232"/>
      <c r="P275" s="265" t="str">
        <f>IFERROR(VLOOKUP(O275,Références!$K$11:$N$19,2)," ")</f>
        <v xml:space="preserve"> </v>
      </c>
      <c r="Q275" s="265" t="str">
        <f>IFERROR(VLOOKUP(O275,Références!$K$11:$N$19,3)," ")</f>
        <v xml:space="preserve"> </v>
      </c>
      <c r="R275" s="265" t="str">
        <f>IFERROR(VLOOKUP(O275,Références!$K$11:$N$19,4)," ")</f>
        <v xml:space="preserve"> </v>
      </c>
      <c r="S275" s="256"/>
      <c r="T275" s="256"/>
      <c r="U275" s="265"/>
      <c r="V275" s="265"/>
      <c r="W275" s="265"/>
      <c r="X275" s="257"/>
      <c r="Y275" s="256"/>
      <c r="Z275" s="256"/>
      <c r="AA275" s="256"/>
      <c r="AB275" s="235"/>
      <c r="AC275" s="235"/>
      <c r="AD275" s="235"/>
      <c r="AE275" s="235"/>
      <c r="AF275" s="235"/>
      <c r="AG275" s="235"/>
      <c r="AH275" s="235"/>
      <c r="AI275" s="235">
        <f t="shared" si="516"/>
        <v>0</v>
      </c>
      <c r="AJ275" s="257"/>
      <c r="AK275" s="256">
        <f t="shared" si="494"/>
        <v>0</v>
      </c>
      <c r="AL275" s="257"/>
      <c r="AM275" s="266">
        <f t="shared" si="495"/>
        <v>0</v>
      </c>
      <c r="AN275" s="256"/>
      <c r="AO275" s="276"/>
      <c r="AP275" s="261" t="str">
        <f t="shared" si="542"/>
        <v xml:space="preserve"> </v>
      </c>
      <c r="AQ275" s="256"/>
      <c r="AR275" s="295"/>
      <c r="AS275" s="295"/>
      <c r="AT275" s="263"/>
      <c r="AU275" s="277"/>
      <c r="AV275" s="263"/>
      <c r="AW275" s="230"/>
      <c r="AX275" s="300"/>
      <c r="AY275" s="301"/>
      <c r="AZ275" s="230"/>
      <c r="BA275" s="300"/>
      <c r="BB275" s="295"/>
      <c r="BC275" s="228">
        <f t="shared" si="496"/>
        <v>0</v>
      </c>
      <c r="BD275" s="228">
        <f t="shared" si="497"/>
        <v>0</v>
      </c>
      <c r="BE275" s="228">
        <f t="shared" si="498"/>
        <v>1</v>
      </c>
      <c r="BF275" s="228" t="str">
        <f t="shared" si="499"/>
        <v>ALIVE</v>
      </c>
      <c r="BG275" s="208" t="str">
        <f t="shared" si="500"/>
        <v>Aucune</v>
      </c>
      <c r="BH275" s="208" t="str">
        <f t="shared" si="501"/>
        <v>Aucune</v>
      </c>
      <c r="BI275" s="208" t="str">
        <f t="shared" si="502"/>
        <v>Aucune</v>
      </c>
      <c r="BJ275" s="208" t="str">
        <f t="shared" si="503"/>
        <v>NON</v>
      </c>
      <c r="BK275" s="208" t="str">
        <f t="shared" si="504"/>
        <v>NON</v>
      </c>
      <c r="BL275" s="208" t="str">
        <f t="shared" si="505"/>
        <v>Inconnu</v>
      </c>
      <c r="BM275" s="208" t="str">
        <f t="shared" si="506"/>
        <v>Inconnu</v>
      </c>
      <c r="BN275" s="208" t="str">
        <f t="shared" si="507"/>
        <v>Inconnu</v>
      </c>
      <c r="BO275" s="208" t="str">
        <f t="shared" si="508"/>
        <v>Inconnu</v>
      </c>
      <c r="BP275" s="208" t="str">
        <f t="shared" si="509"/>
        <v>Inconnu</v>
      </c>
      <c r="BQ275" s="208" t="str">
        <f t="shared" si="510"/>
        <v>Inconnu</v>
      </c>
      <c r="BR275" s="208" t="str">
        <f t="shared" si="511"/>
        <v>Aucune</v>
      </c>
      <c r="BS275" s="208">
        <f t="shared" si="512"/>
        <v>0</v>
      </c>
      <c r="BT275" s="229" t="e">
        <f>VLOOKUP($I275,Lieu_Activité!$A:$B,2,FALSE)</f>
        <v>#N/A</v>
      </c>
      <c r="BU275" s="208" t="str">
        <f t="shared" si="513"/>
        <v>Aucun</v>
      </c>
      <c r="BV275" s="208" t="str">
        <f t="shared" si="514"/>
        <v>Aucun</v>
      </c>
      <c r="BW275" s="207" t="str">
        <f t="shared" si="515"/>
        <v>NON</v>
      </c>
      <c r="BX275" s="288"/>
    </row>
    <row r="276" spans="1:76" ht="12" customHeight="1" x14ac:dyDescent="0.25">
      <c r="A276" s="226" t="s">
        <v>258</v>
      </c>
      <c r="B276" s="267"/>
      <c r="C276" s="227"/>
      <c r="D276" s="257"/>
      <c r="E276" s="278">
        <f t="shared" si="493"/>
        <v>0</v>
      </c>
      <c r="F276" s="278" t="str">
        <f t="shared" si="226"/>
        <v xml:space="preserve"> </v>
      </c>
      <c r="G276" s="256"/>
      <c r="H276" s="256"/>
      <c r="I276" s="256"/>
      <c r="J276" s="256"/>
      <c r="K276" s="256"/>
      <c r="L276" s="257"/>
      <c r="M276" s="243"/>
      <c r="N276" s="232"/>
      <c r="O276" s="265"/>
      <c r="P276" s="265" t="str">
        <f>IFERROR(VLOOKUP(O276,Références!$K$11:$N$19,2)," ")</f>
        <v xml:space="preserve"> </v>
      </c>
      <c r="Q276" s="265" t="str">
        <f>IFERROR(VLOOKUP(O276,Références!$K$11:$N$19,3)," ")</f>
        <v xml:space="preserve"> </v>
      </c>
      <c r="R276" s="265" t="str">
        <f>IFERROR(VLOOKUP(O276,Références!$K$11:$N$19,4)," ")</f>
        <v xml:space="preserve"> </v>
      </c>
      <c r="S276" s="256"/>
      <c r="T276" s="256"/>
      <c r="U276" s="256"/>
      <c r="V276" s="256"/>
      <c r="W276" s="256"/>
      <c r="X276" s="257"/>
      <c r="Y276" s="256"/>
      <c r="Z276" s="256"/>
      <c r="AA276" s="256"/>
      <c r="AB276" s="235"/>
      <c r="AC276" s="235"/>
      <c r="AD276" s="235"/>
      <c r="AE276" s="235"/>
      <c r="AF276" s="235"/>
      <c r="AG276" s="235"/>
      <c r="AH276" s="235"/>
      <c r="AI276" s="235">
        <f t="shared" si="516"/>
        <v>0</v>
      </c>
      <c r="AJ276" s="257"/>
      <c r="AK276" s="256">
        <f t="shared" si="494"/>
        <v>0</v>
      </c>
      <c r="AL276" s="257"/>
      <c r="AM276" s="266">
        <f t="shared" si="495"/>
        <v>0</v>
      </c>
      <c r="AN276" s="256"/>
      <c r="AO276" s="276"/>
      <c r="AP276" s="261" t="str">
        <f t="shared" si="542"/>
        <v xml:space="preserve"> </v>
      </c>
      <c r="AQ276" s="256"/>
      <c r="AR276" s="295"/>
      <c r="AS276" s="295"/>
      <c r="AT276" s="263"/>
      <c r="AU276" s="277"/>
      <c r="AV276" s="263"/>
      <c r="AW276" s="230"/>
      <c r="AX276" s="300"/>
      <c r="AY276" s="301"/>
      <c r="AZ276" s="230"/>
      <c r="BA276" s="300"/>
      <c r="BB276" s="295"/>
      <c r="BC276" s="228">
        <f t="shared" si="496"/>
        <v>0</v>
      </c>
      <c r="BD276" s="228">
        <f t="shared" si="497"/>
        <v>0</v>
      </c>
      <c r="BE276" s="228">
        <f t="shared" si="498"/>
        <v>1</v>
      </c>
      <c r="BF276" s="228" t="str">
        <f t="shared" si="499"/>
        <v>ALIVE</v>
      </c>
      <c r="BG276" s="208" t="str">
        <f t="shared" si="500"/>
        <v>Aucune</v>
      </c>
      <c r="BH276" s="208" t="str">
        <f t="shared" si="501"/>
        <v>Aucune</v>
      </c>
      <c r="BI276" s="208" t="str">
        <f t="shared" si="502"/>
        <v>Aucune</v>
      </c>
      <c r="BJ276" s="208" t="str">
        <f t="shared" si="503"/>
        <v>NON</v>
      </c>
      <c r="BK276" s="208" t="str">
        <f t="shared" si="504"/>
        <v>NON</v>
      </c>
      <c r="BL276" s="208" t="str">
        <f t="shared" si="505"/>
        <v>Inconnu</v>
      </c>
      <c r="BM276" s="208" t="str">
        <f t="shared" si="506"/>
        <v>Inconnu</v>
      </c>
      <c r="BN276" s="208" t="str">
        <f t="shared" si="507"/>
        <v>Inconnu</v>
      </c>
      <c r="BO276" s="208" t="str">
        <f t="shared" si="508"/>
        <v>Inconnu</v>
      </c>
      <c r="BP276" s="208" t="str">
        <f t="shared" si="509"/>
        <v>Inconnu</v>
      </c>
      <c r="BQ276" s="208" t="str">
        <f t="shared" si="510"/>
        <v>Inconnu</v>
      </c>
      <c r="BR276" s="208" t="str">
        <f t="shared" si="511"/>
        <v>Aucune</v>
      </c>
      <c r="BS276" s="208">
        <f t="shared" si="512"/>
        <v>0</v>
      </c>
      <c r="BT276" s="229" t="e">
        <f>VLOOKUP($I276,Lieu_Activité!$A:$B,2,FALSE)</f>
        <v>#N/A</v>
      </c>
      <c r="BU276" s="208" t="str">
        <f t="shared" si="513"/>
        <v>Aucun</v>
      </c>
      <c r="BV276" s="208" t="str">
        <f t="shared" si="514"/>
        <v>Aucun</v>
      </c>
      <c r="BW276" s="207" t="str">
        <f t="shared" si="515"/>
        <v>NON</v>
      </c>
      <c r="BX276" s="288"/>
    </row>
    <row r="277" spans="1:76" ht="12" customHeight="1" x14ac:dyDescent="0.25">
      <c r="A277" s="226" t="s">
        <v>258</v>
      </c>
      <c r="B277" s="234"/>
      <c r="C277" s="227"/>
      <c r="D277" s="257"/>
      <c r="E277" s="278">
        <f t="shared" ref="E277:E279" si="543">(L277-D277)/365</f>
        <v>0</v>
      </c>
      <c r="F277" s="278" t="str">
        <f t="shared" ref="F277:F279" si="544">IF(E277&lt;80," ","1")</f>
        <v xml:space="preserve"> </v>
      </c>
      <c r="G277" s="256"/>
      <c r="H277" s="256"/>
      <c r="I277" s="256"/>
      <c r="J277" s="256"/>
      <c r="K277" s="256"/>
      <c r="L277" s="257"/>
      <c r="M277" s="243"/>
      <c r="N277" s="232"/>
      <c r="O277" s="232"/>
      <c r="P277" s="265" t="str">
        <f>IFERROR(VLOOKUP(O277,Références!$K$11:$N$19,2)," ")</f>
        <v xml:space="preserve"> </v>
      </c>
      <c r="Q277" s="265" t="str">
        <f>IFERROR(VLOOKUP(O277,Références!$K$11:$N$19,3)," ")</f>
        <v xml:space="preserve"> </v>
      </c>
      <c r="R277" s="265" t="str">
        <f>IFERROR(VLOOKUP(O277,Références!$K$11:$N$19,4)," ")</f>
        <v xml:space="preserve"> </v>
      </c>
      <c r="S277" s="256"/>
      <c r="T277" s="256"/>
      <c r="U277" s="256"/>
      <c r="V277" s="256"/>
      <c r="W277" s="256"/>
      <c r="X277" s="257"/>
      <c r="Y277" s="256"/>
      <c r="Z277" s="256"/>
      <c r="AA277" s="256"/>
      <c r="AB277" s="235"/>
      <c r="AC277" s="235"/>
      <c r="AD277" s="235"/>
      <c r="AE277" s="235"/>
      <c r="AF277" s="235"/>
      <c r="AG277" s="235"/>
      <c r="AH277" s="235"/>
      <c r="AI277" s="235">
        <f t="shared" ref="AI277:AI279" si="545">SUM(AF277,AH277)</f>
        <v>0</v>
      </c>
      <c r="AJ277" s="257"/>
      <c r="AK277" s="256">
        <f t="shared" ref="AK277:AK279" si="546">(AJ277-L277)</f>
        <v>0</v>
      </c>
      <c r="AL277" s="257"/>
      <c r="AM277" s="266">
        <f t="shared" ref="AM277:AM279" si="547">(AL277-L277)</f>
        <v>0</v>
      </c>
      <c r="AN277" s="256"/>
      <c r="AO277" s="276"/>
      <c r="AP277" s="261" t="str">
        <f t="shared" ref="AP277:AP279" si="548">IF(AO277=1,"ELECTIVE",IF(AO277=2,"URGENCY",IF(AO277=3,"EMERGENCY",IF(AO277=4,"SALVAGE"," "))))</f>
        <v xml:space="preserve"> </v>
      </c>
      <c r="AQ277" s="256"/>
      <c r="AR277" s="295"/>
      <c r="AS277" s="295"/>
      <c r="AT277" s="263"/>
      <c r="AU277" s="277"/>
      <c r="AV277" s="263"/>
      <c r="AW277" s="230"/>
      <c r="AX277" s="300"/>
      <c r="AY277" s="301"/>
      <c r="AZ277" s="230"/>
      <c r="BA277" s="300"/>
      <c r="BB277" s="295"/>
      <c r="BC277" s="228">
        <f t="shared" ref="BC277:BC279" si="549">IF(BG277="Aucune",0,1)</f>
        <v>0</v>
      </c>
      <c r="BD277" s="228">
        <f t="shared" ref="BD277:BD279" si="550">IF(BH277="Aucune",0,1)</f>
        <v>0</v>
      </c>
      <c r="BE277" s="228">
        <f t="shared" ref="BE277:BE279" si="551">IF(AG277="Aucune",0,1)</f>
        <v>1</v>
      </c>
      <c r="BF277" s="228" t="str">
        <f t="shared" ref="BF277:BF279" si="552">IF(AO277=1,"ELECTIVE",IF(AO277=2,"URGENCY",IF(AO277=3,"EMERGENCY",IF(AO277=4,"SALVAGE","ALIVE"))))</f>
        <v>ALIVE</v>
      </c>
      <c r="BG277" s="208" t="str">
        <f t="shared" ref="BG277:BG279" si="553">IF(AD277="","Aucune","Infection")</f>
        <v>Aucune</v>
      </c>
      <c r="BH277" s="208" t="str">
        <f t="shared" ref="BH277:BH279" si="554">IF(AI277&gt;0,"Transfusion","Aucune")</f>
        <v>Aucune</v>
      </c>
      <c r="BI277" s="208" t="str">
        <f t="shared" ref="BI277:BI279" si="555">IF(AG277="","Aucune","Transfusé")</f>
        <v>Aucune</v>
      </c>
      <c r="BJ277" s="208" t="str">
        <f t="shared" ref="BJ277:BJ279" si="556">IF(X277&lt;&gt;"",IF(X277-L277&lt;2,"OUI","NON"),"NON")</f>
        <v>NON</v>
      </c>
      <c r="BK277" s="208" t="str">
        <f t="shared" ref="BK277:BK279" si="557">IF(AS277="","NON","OUI")</f>
        <v>NON</v>
      </c>
      <c r="BL277" s="208" t="str">
        <f t="shared" ref="BL277:BL279" si="558">IF(AL277-L277&gt;0,AL277-L277,"Inconnu")</f>
        <v>Inconnu</v>
      </c>
      <c r="BM277" s="208" t="str">
        <f t="shared" ref="BM277:BM279" si="559">IF($O277&lt;&gt;"HTX",IF($O277&lt;&gt;"LVAD",BL277,"Inconnu"),"Inconnu")</f>
        <v>Inconnu</v>
      </c>
      <c r="BN277" s="208" t="str">
        <f t="shared" ref="BN277:BN279" si="560">IF($O277="HTX",BL277,IF($O277="LVAD",BL277,"Inconnu"))</f>
        <v>Inconnu</v>
      </c>
      <c r="BO277" s="208" t="str">
        <f t="shared" ref="BO277:BO279" si="561">IF(AJ277-L277&gt;0,AJ277-L277,"Inconnu")</f>
        <v>Inconnu</v>
      </c>
      <c r="BP277" s="208" t="str">
        <f t="shared" ref="BP277:BP279" si="562">IF($O277&lt;&gt;"HTX",IF($O277&lt;&gt;"LVAD",BO277,"Inconnu"),"Inconnu")</f>
        <v>Inconnu</v>
      </c>
      <c r="BQ277" s="208" t="str">
        <f t="shared" ref="BQ277:BQ279" si="563">IF($O277="HTX",BO277,IF($O277="LVAD",BO277,"Inconnu"))</f>
        <v>Inconnu</v>
      </c>
      <c r="BR277" s="208" t="str">
        <f t="shared" ref="BR277:BR279" si="564">IF(BH277="Aucune",IF(BI277="Aucune","Aucune","Transfusé"),"Transfusé")</f>
        <v>Aucune</v>
      </c>
      <c r="BS277" s="208">
        <f t="shared" ref="BS277:BS279" si="565">AF277+AH277</f>
        <v>0</v>
      </c>
      <c r="BT277" s="229" t="e">
        <f>VLOOKUP($I277,Lieu_Activité!$A:$B,2,FALSE)</f>
        <v>#N/A</v>
      </c>
      <c r="BU277" s="208" t="str">
        <f t="shared" ref="BU277:BU279" si="566">IF(AB277="","Aucun","AVC")</f>
        <v>Aucun</v>
      </c>
      <c r="BV277" s="208" t="str">
        <f t="shared" ref="BV277:BV279" si="567">IF(AC277="","Aucun","IM")</f>
        <v>Aucun</v>
      </c>
      <c r="BW277" s="207" t="str">
        <f t="shared" ref="BW277:BW279" si="568">IF(M277="","NON","OUI")</f>
        <v>NON</v>
      </c>
      <c r="BX277" s="288"/>
    </row>
    <row r="278" spans="1:76" ht="12.75" customHeight="1" x14ac:dyDescent="0.25">
      <c r="A278" s="226" t="s">
        <v>258</v>
      </c>
      <c r="B278" s="234"/>
      <c r="C278" s="227"/>
      <c r="D278" s="257"/>
      <c r="E278" s="278">
        <f t="shared" si="543"/>
        <v>0</v>
      </c>
      <c r="F278" s="278" t="str">
        <f t="shared" si="544"/>
        <v xml:space="preserve"> </v>
      </c>
      <c r="G278" s="256"/>
      <c r="H278" s="256"/>
      <c r="I278" s="256"/>
      <c r="J278" s="256"/>
      <c r="K278" s="256"/>
      <c r="L278" s="257"/>
      <c r="M278" s="243"/>
      <c r="N278" s="232"/>
      <c r="O278" s="232"/>
      <c r="P278" s="265" t="str">
        <f>IFERROR(VLOOKUP(O278,Références!$K$11:$N$19,2)," ")</f>
        <v xml:space="preserve"> </v>
      </c>
      <c r="Q278" s="265" t="str">
        <f>IFERROR(VLOOKUP(O278,Références!$K$11:$N$19,3)," ")</f>
        <v xml:space="preserve"> </v>
      </c>
      <c r="R278" s="265" t="str">
        <f>IFERROR(VLOOKUP(O278,Références!$K$11:$N$19,4)," ")</f>
        <v xml:space="preserve"> </v>
      </c>
      <c r="S278" s="256"/>
      <c r="T278" s="256"/>
      <c r="U278" s="256"/>
      <c r="V278" s="256"/>
      <c r="W278" s="256"/>
      <c r="X278" s="257"/>
      <c r="Y278" s="256"/>
      <c r="Z278" s="256"/>
      <c r="AA278" s="256"/>
      <c r="AB278" s="235"/>
      <c r="AC278" s="235"/>
      <c r="AD278" s="235"/>
      <c r="AE278" s="235"/>
      <c r="AF278" s="235"/>
      <c r="AG278" s="235"/>
      <c r="AH278" s="235"/>
      <c r="AI278" s="235">
        <f t="shared" si="545"/>
        <v>0</v>
      </c>
      <c r="AJ278" s="257"/>
      <c r="AK278" s="256">
        <f t="shared" si="546"/>
        <v>0</v>
      </c>
      <c r="AL278" s="257"/>
      <c r="AM278" s="266">
        <f t="shared" si="547"/>
        <v>0</v>
      </c>
      <c r="AN278" s="256"/>
      <c r="AO278" s="276"/>
      <c r="AP278" s="261" t="str">
        <f t="shared" si="548"/>
        <v xml:space="preserve"> </v>
      </c>
      <c r="AQ278" s="256"/>
      <c r="AR278" s="295"/>
      <c r="AS278" s="295"/>
      <c r="AT278" s="263"/>
      <c r="AU278" s="277"/>
      <c r="AV278" s="263"/>
      <c r="AW278" s="230"/>
      <c r="AX278" s="300"/>
      <c r="AY278" s="301"/>
      <c r="AZ278" s="300"/>
      <c r="BA278" s="300"/>
      <c r="BB278" s="295"/>
      <c r="BC278" s="228">
        <f t="shared" si="549"/>
        <v>0</v>
      </c>
      <c r="BD278" s="228">
        <f t="shared" si="550"/>
        <v>0</v>
      </c>
      <c r="BE278" s="228">
        <f t="shared" si="551"/>
        <v>1</v>
      </c>
      <c r="BF278" s="228" t="str">
        <f t="shared" si="552"/>
        <v>ALIVE</v>
      </c>
      <c r="BG278" s="208" t="str">
        <f t="shared" si="553"/>
        <v>Aucune</v>
      </c>
      <c r="BH278" s="208" t="str">
        <f t="shared" si="554"/>
        <v>Aucune</v>
      </c>
      <c r="BI278" s="208" t="str">
        <f t="shared" si="555"/>
        <v>Aucune</v>
      </c>
      <c r="BJ278" s="208" t="str">
        <f t="shared" si="556"/>
        <v>NON</v>
      </c>
      <c r="BK278" s="208" t="str">
        <f t="shared" si="557"/>
        <v>NON</v>
      </c>
      <c r="BL278" s="208" t="str">
        <f t="shared" si="558"/>
        <v>Inconnu</v>
      </c>
      <c r="BM278" s="208" t="str">
        <f t="shared" si="559"/>
        <v>Inconnu</v>
      </c>
      <c r="BN278" s="208" t="str">
        <f t="shared" si="560"/>
        <v>Inconnu</v>
      </c>
      <c r="BO278" s="208" t="str">
        <f t="shared" si="561"/>
        <v>Inconnu</v>
      </c>
      <c r="BP278" s="208" t="str">
        <f t="shared" si="562"/>
        <v>Inconnu</v>
      </c>
      <c r="BQ278" s="208" t="str">
        <f t="shared" si="563"/>
        <v>Inconnu</v>
      </c>
      <c r="BR278" s="208" t="str">
        <f t="shared" si="564"/>
        <v>Aucune</v>
      </c>
      <c r="BS278" s="208">
        <f t="shared" si="565"/>
        <v>0</v>
      </c>
      <c r="BT278" s="229" t="e">
        <f>VLOOKUP($I278,Lieu_Activité!$A:$B,2,FALSE)</f>
        <v>#N/A</v>
      </c>
      <c r="BU278" s="208" t="str">
        <f t="shared" si="566"/>
        <v>Aucun</v>
      </c>
      <c r="BV278" s="208" t="str">
        <f t="shared" si="567"/>
        <v>Aucun</v>
      </c>
      <c r="BW278" s="207" t="str">
        <f t="shared" si="568"/>
        <v>NON</v>
      </c>
      <c r="BX278" s="288"/>
    </row>
    <row r="279" spans="1:76" ht="12.75" customHeight="1" x14ac:dyDescent="0.25">
      <c r="A279" s="226" t="s">
        <v>258</v>
      </c>
      <c r="B279" s="234"/>
      <c r="C279" s="227"/>
      <c r="D279" s="257"/>
      <c r="E279" s="278">
        <f t="shared" si="543"/>
        <v>0</v>
      </c>
      <c r="F279" s="278" t="str">
        <f t="shared" si="544"/>
        <v xml:space="preserve"> </v>
      </c>
      <c r="G279" s="256"/>
      <c r="H279" s="256"/>
      <c r="I279" s="256"/>
      <c r="J279" s="256"/>
      <c r="K279" s="256"/>
      <c r="L279" s="257"/>
      <c r="M279" s="243"/>
      <c r="N279" s="232"/>
      <c r="O279" s="232"/>
      <c r="P279" s="265" t="str">
        <f>IFERROR(VLOOKUP(O279,Références!$K$11:$N$19,2)," ")</f>
        <v xml:space="preserve"> </v>
      </c>
      <c r="Q279" s="265" t="str">
        <f>IFERROR(VLOOKUP(O279,Références!$K$11:$N$19,3)," ")</f>
        <v xml:space="preserve"> </v>
      </c>
      <c r="R279" s="265" t="str">
        <f>IFERROR(VLOOKUP(O279,Références!$K$11:$N$19,4)," ")</f>
        <v xml:space="preserve"> </v>
      </c>
      <c r="S279" s="256"/>
      <c r="T279" s="256"/>
      <c r="U279" s="256"/>
      <c r="V279" s="256"/>
      <c r="W279" s="256"/>
      <c r="X279" s="257"/>
      <c r="Y279" s="256"/>
      <c r="Z279" s="256"/>
      <c r="AA279" s="256"/>
      <c r="AB279" s="235"/>
      <c r="AC279" s="235"/>
      <c r="AD279" s="235"/>
      <c r="AE279" s="235"/>
      <c r="AF279" s="235"/>
      <c r="AG279" s="235"/>
      <c r="AH279" s="235"/>
      <c r="AI279" s="235">
        <f t="shared" si="545"/>
        <v>0</v>
      </c>
      <c r="AJ279" s="257"/>
      <c r="AK279" s="256">
        <f t="shared" si="546"/>
        <v>0</v>
      </c>
      <c r="AL279" s="257"/>
      <c r="AM279" s="266">
        <f t="shared" si="547"/>
        <v>0</v>
      </c>
      <c r="AN279" s="256"/>
      <c r="AO279" s="276"/>
      <c r="AP279" s="261" t="str">
        <f t="shared" si="548"/>
        <v xml:space="preserve"> </v>
      </c>
      <c r="AQ279" s="256"/>
      <c r="AR279" s="295"/>
      <c r="AS279" s="295"/>
      <c r="AT279" s="263"/>
      <c r="AU279" s="277"/>
      <c r="AV279" s="263"/>
      <c r="AW279" s="230"/>
      <c r="AX279" s="300"/>
      <c r="AY279" s="301"/>
      <c r="AZ279" s="230"/>
      <c r="BA279" s="300"/>
      <c r="BB279" s="295"/>
      <c r="BC279" s="228">
        <f t="shared" si="549"/>
        <v>0</v>
      </c>
      <c r="BD279" s="228">
        <f t="shared" si="550"/>
        <v>0</v>
      </c>
      <c r="BE279" s="228">
        <f t="shared" si="551"/>
        <v>1</v>
      </c>
      <c r="BF279" s="228" t="str">
        <f t="shared" si="552"/>
        <v>ALIVE</v>
      </c>
      <c r="BG279" s="208" t="str">
        <f t="shared" si="553"/>
        <v>Aucune</v>
      </c>
      <c r="BH279" s="208" t="str">
        <f t="shared" si="554"/>
        <v>Aucune</v>
      </c>
      <c r="BI279" s="208" t="str">
        <f t="shared" si="555"/>
        <v>Aucune</v>
      </c>
      <c r="BJ279" s="208" t="str">
        <f t="shared" si="556"/>
        <v>NON</v>
      </c>
      <c r="BK279" s="208" t="str">
        <f t="shared" si="557"/>
        <v>NON</v>
      </c>
      <c r="BL279" s="208" t="str">
        <f t="shared" si="558"/>
        <v>Inconnu</v>
      </c>
      <c r="BM279" s="208" t="str">
        <f t="shared" si="559"/>
        <v>Inconnu</v>
      </c>
      <c r="BN279" s="208" t="str">
        <f t="shared" si="560"/>
        <v>Inconnu</v>
      </c>
      <c r="BO279" s="208" t="str">
        <f t="shared" si="561"/>
        <v>Inconnu</v>
      </c>
      <c r="BP279" s="208" t="str">
        <f t="shared" si="562"/>
        <v>Inconnu</v>
      </c>
      <c r="BQ279" s="208" t="str">
        <f t="shared" si="563"/>
        <v>Inconnu</v>
      </c>
      <c r="BR279" s="208" t="str">
        <f t="shared" si="564"/>
        <v>Aucune</v>
      </c>
      <c r="BS279" s="208">
        <f t="shared" si="565"/>
        <v>0</v>
      </c>
      <c r="BT279" s="229" t="e">
        <f>VLOOKUP($I279,Lieu_Activité!$A:$B,2,FALSE)</f>
        <v>#N/A</v>
      </c>
      <c r="BU279" s="208" t="str">
        <f t="shared" si="566"/>
        <v>Aucun</v>
      </c>
      <c r="BV279" s="208" t="str">
        <f t="shared" si="567"/>
        <v>Aucun</v>
      </c>
      <c r="BW279" s="207" t="str">
        <f t="shared" si="568"/>
        <v>NON</v>
      </c>
      <c r="BX279" s="288"/>
    </row>
    <row r="280" spans="1:76" ht="12" customHeight="1" x14ac:dyDescent="0.25">
      <c r="A280" s="226" t="s">
        <v>258</v>
      </c>
      <c r="B280" s="234"/>
      <c r="C280" s="227"/>
      <c r="D280" s="257"/>
      <c r="E280" s="278">
        <f t="shared" si="493"/>
        <v>0</v>
      </c>
      <c r="F280" s="278" t="str">
        <f t="shared" si="226"/>
        <v xml:space="preserve"> </v>
      </c>
      <c r="G280" s="256"/>
      <c r="H280" s="256"/>
      <c r="I280" s="256"/>
      <c r="J280" s="256"/>
      <c r="K280" s="256"/>
      <c r="L280" s="257"/>
      <c r="M280" s="243"/>
      <c r="N280" s="232"/>
      <c r="O280" s="232"/>
      <c r="P280" s="265" t="str">
        <f>IFERROR(VLOOKUP(O280,Références!$K$11:$N$19,2)," ")</f>
        <v xml:space="preserve"> </v>
      </c>
      <c r="Q280" s="265" t="str">
        <f>IFERROR(VLOOKUP(O280,Références!$K$11:$N$19,3)," ")</f>
        <v xml:space="preserve"> </v>
      </c>
      <c r="R280" s="265" t="str">
        <f>IFERROR(VLOOKUP(O280,Références!$K$11:$N$19,4)," ")</f>
        <v xml:space="preserve"> </v>
      </c>
      <c r="S280" s="256"/>
      <c r="T280" s="256"/>
      <c r="U280" s="256"/>
      <c r="V280" s="256"/>
      <c r="W280" s="256"/>
      <c r="X280" s="257"/>
      <c r="Y280" s="256"/>
      <c r="Z280" s="256"/>
      <c r="AA280" s="256"/>
      <c r="AB280" s="235"/>
      <c r="AC280" s="235"/>
      <c r="AD280" s="235"/>
      <c r="AE280" s="235"/>
      <c r="AF280" s="235"/>
      <c r="AG280" s="235"/>
      <c r="AH280" s="235"/>
      <c r="AI280" s="235">
        <f t="shared" si="516"/>
        <v>0</v>
      </c>
      <c r="AJ280" s="257"/>
      <c r="AK280" s="256">
        <f t="shared" si="494"/>
        <v>0</v>
      </c>
      <c r="AL280" s="257"/>
      <c r="AM280" s="266">
        <f t="shared" si="495"/>
        <v>0</v>
      </c>
      <c r="AN280" s="256"/>
      <c r="AO280" s="276"/>
      <c r="AP280" s="261" t="str">
        <f t="shared" si="542"/>
        <v xml:space="preserve"> </v>
      </c>
      <c r="AQ280" s="256"/>
      <c r="AR280" s="295"/>
      <c r="AS280" s="295"/>
      <c r="AT280" s="263"/>
      <c r="AU280" s="277"/>
      <c r="AV280" s="263"/>
      <c r="AW280" s="230"/>
      <c r="AX280" s="300"/>
      <c r="AY280" s="301"/>
      <c r="AZ280" s="230"/>
      <c r="BA280" s="300"/>
      <c r="BB280" s="295"/>
      <c r="BC280" s="228">
        <f t="shared" si="496"/>
        <v>0</v>
      </c>
      <c r="BD280" s="228">
        <f t="shared" si="497"/>
        <v>0</v>
      </c>
      <c r="BE280" s="228">
        <f t="shared" si="498"/>
        <v>1</v>
      </c>
      <c r="BF280" s="228" t="str">
        <f t="shared" si="499"/>
        <v>ALIVE</v>
      </c>
      <c r="BG280" s="208" t="str">
        <f t="shared" si="500"/>
        <v>Aucune</v>
      </c>
      <c r="BH280" s="208" t="str">
        <f t="shared" si="501"/>
        <v>Aucune</v>
      </c>
      <c r="BI280" s="208" t="str">
        <f t="shared" si="502"/>
        <v>Aucune</v>
      </c>
      <c r="BJ280" s="208" t="str">
        <f t="shared" si="503"/>
        <v>NON</v>
      </c>
      <c r="BK280" s="208" t="str">
        <f t="shared" si="504"/>
        <v>NON</v>
      </c>
      <c r="BL280" s="208" t="str">
        <f t="shared" si="505"/>
        <v>Inconnu</v>
      </c>
      <c r="BM280" s="208" t="str">
        <f t="shared" si="506"/>
        <v>Inconnu</v>
      </c>
      <c r="BN280" s="208" t="str">
        <f t="shared" si="507"/>
        <v>Inconnu</v>
      </c>
      <c r="BO280" s="208" t="str">
        <f t="shared" si="508"/>
        <v>Inconnu</v>
      </c>
      <c r="BP280" s="208" t="str">
        <f t="shared" si="509"/>
        <v>Inconnu</v>
      </c>
      <c r="BQ280" s="208" t="str">
        <f t="shared" si="510"/>
        <v>Inconnu</v>
      </c>
      <c r="BR280" s="208" t="str">
        <f t="shared" si="511"/>
        <v>Aucune</v>
      </c>
      <c r="BS280" s="208">
        <f t="shared" si="512"/>
        <v>0</v>
      </c>
      <c r="BT280" s="229" t="e">
        <f>VLOOKUP($I280,Lieu_Activité!$A:$B,2,FALSE)</f>
        <v>#N/A</v>
      </c>
      <c r="BU280" s="208" t="str">
        <f t="shared" si="513"/>
        <v>Aucun</v>
      </c>
      <c r="BV280" s="208" t="str">
        <f t="shared" si="514"/>
        <v>Aucun</v>
      </c>
      <c r="BW280" s="207" t="str">
        <f t="shared" si="515"/>
        <v>NON</v>
      </c>
      <c r="BX280" s="288"/>
    </row>
    <row r="281" spans="1:76" ht="12.75" customHeight="1" x14ac:dyDescent="0.25">
      <c r="A281" s="226" t="s">
        <v>258</v>
      </c>
      <c r="B281" s="234"/>
      <c r="C281" s="227"/>
      <c r="D281" s="257"/>
      <c r="E281" s="278">
        <f t="shared" si="493"/>
        <v>0</v>
      </c>
      <c r="F281" s="278" t="str">
        <f t="shared" si="226"/>
        <v xml:space="preserve"> </v>
      </c>
      <c r="G281" s="256"/>
      <c r="H281" s="256"/>
      <c r="I281" s="256"/>
      <c r="J281" s="256"/>
      <c r="K281" s="256"/>
      <c r="L281" s="257"/>
      <c r="M281" s="243"/>
      <c r="N281" s="232"/>
      <c r="O281" s="232"/>
      <c r="P281" s="265" t="str">
        <f>IFERROR(VLOOKUP(O281,Références!$K$11:$N$19,2)," ")</f>
        <v xml:space="preserve"> </v>
      </c>
      <c r="Q281" s="265" t="str">
        <f>IFERROR(VLOOKUP(O281,Références!$K$11:$N$19,3)," ")</f>
        <v xml:space="preserve"> </v>
      </c>
      <c r="R281" s="265" t="str">
        <f>IFERROR(VLOOKUP(O281,Références!$K$11:$N$19,4)," ")</f>
        <v xml:space="preserve"> </v>
      </c>
      <c r="S281" s="256"/>
      <c r="T281" s="256"/>
      <c r="U281" s="256"/>
      <c r="V281" s="256"/>
      <c r="W281" s="256"/>
      <c r="X281" s="257"/>
      <c r="Y281" s="256"/>
      <c r="Z281" s="256"/>
      <c r="AA281" s="256"/>
      <c r="AB281" s="235"/>
      <c r="AC281" s="235"/>
      <c r="AD281" s="235"/>
      <c r="AE281" s="235"/>
      <c r="AF281" s="235"/>
      <c r="AG281" s="235"/>
      <c r="AH281" s="235"/>
      <c r="AI281" s="235">
        <f t="shared" si="516"/>
        <v>0</v>
      </c>
      <c r="AJ281" s="257"/>
      <c r="AK281" s="256">
        <f t="shared" si="494"/>
        <v>0</v>
      </c>
      <c r="AL281" s="257"/>
      <c r="AM281" s="266">
        <f t="shared" si="495"/>
        <v>0</v>
      </c>
      <c r="AN281" s="256"/>
      <c r="AO281" s="276"/>
      <c r="AP281" s="261" t="str">
        <f t="shared" si="542"/>
        <v xml:space="preserve"> </v>
      </c>
      <c r="AQ281" s="256"/>
      <c r="AR281" s="295"/>
      <c r="AS281" s="295"/>
      <c r="AT281" s="263"/>
      <c r="AU281" s="277"/>
      <c r="AV281" s="263"/>
      <c r="AW281" s="230"/>
      <c r="AX281" s="300"/>
      <c r="AY281" s="301"/>
      <c r="AZ281" s="300"/>
      <c r="BA281" s="300"/>
      <c r="BB281" s="295"/>
      <c r="BC281" s="228">
        <f t="shared" si="496"/>
        <v>0</v>
      </c>
      <c r="BD281" s="228">
        <f t="shared" si="497"/>
        <v>0</v>
      </c>
      <c r="BE281" s="228">
        <f t="shared" si="498"/>
        <v>1</v>
      </c>
      <c r="BF281" s="228" t="str">
        <f t="shared" si="499"/>
        <v>ALIVE</v>
      </c>
      <c r="BG281" s="208" t="str">
        <f t="shared" si="500"/>
        <v>Aucune</v>
      </c>
      <c r="BH281" s="208" t="str">
        <f t="shared" si="501"/>
        <v>Aucune</v>
      </c>
      <c r="BI281" s="208" t="str">
        <f t="shared" si="502"/>
        <v>Aucune</v>
      </c>
      <c r="BJ281" s="208" t="str">
        <f t="shared" si="503"/>
        <v>NON</v>
      </c>
      <c r="BK281" s="208" t="str">
        <f t="shared" si="504"/>
        <v>NON</v>
      </c>
      <c r="BL281" s="208" t="str">
        <f t="shared" si="505"/>
        <v>Inconnu</v>
      </c>
      <c r="BM281" s="208" t="str">
        <f t="shared" si="506"/>
        <v>Inconnu</v>
      </c>
      <c r="BN281" s="208" t="str">
        <f t="shared" si="507"/>
        <v>Inconnu</v>
      </c>
      <c r="BO281" s="208" t="str">
        <f t="shared" si="508"/>
        <v>Inconnu</v>
      </c>
      <c r="BP281" s="208" t="str">
        <f t="shared" si="509"/>
        <v>Inconnu</v>
      </c>
      <c r="BQ281" s="208" t="str">
        <f t="shared" si="510"/>
        <v>Inconnu</v>
      </c>
      <c r="BR281" s="208" t="str">
        <f t="shared" si="511"/>
        <v>Aucune</v>
      </c>
      <c r="BS281" s="208">
        <f t="shared" si="512"/>
        <v>0</v>
      </c>
      <c r="BT281" s="229" t="e">
        <f>VLOOKUP($I281,Lieu_Activité!$A:$B,2,FALSE)</f>
        <v>#N/A</v>
      </c>
      <c r="BU281" s="208" t="str">
        <f t="shared" si="513"/>
        <v>Aucun</v>
      </c>
      <c r="BV281" s="208" t="str">
        <f t="shared" si="514"/>
        <v>Aucun</v>
      </c>
      <c r="BW281" s="207" t="str">
        <f t="shared" si="515"/>
        <v>NON</v>
      </c>
      <c r="BX281" s="288"/>
    </row>
    <row r="282" spans="1:76" ht="12.75" customHeight="1" x14ac:dyDescent="0.25">
      <c r="A282" s="226" t="s">
        <v>258</v>
      </c>
      <c r="B282" s="234"/>
      <c r="C282" s="227"/>
      <c r="D282" s="257"/>
      <c r="E282" s="278">
        <f t="shared" si="493"/>
        <v>0</v>
      </c>
      <c r="F282" s="278" t="str">
        <f t="shared" si="226"/>
        <v xml:space="preserve"> </v>
      </c>
      <c r="G282" s="256"/>
      <c r="H282" s="256"/>
      <c r="I282" s="256"/>
      <c r="J282" s="256"/>
      <c r="K282" s="256"/>
      <c r="L282" s="257"/>
      <c r="M282" s="243"/>
      <c r="N282" s="232"/>
      <c r="O282" s="232"/>
      <c r="P282" s="265" t="str">
        <f>IFERROR(VLOOKUP(O282,Références!$K$11:$N$19,2)," ")</f>
        <v xml:space="preserve"> </v>
      </c>
      <c r="Q282" s="265" t="str">
        <f>IFERROR(VLOOKUP(O282,Références!$K$11:$N$19,3)," ")</f>
        <v xml:space="preserve"> </v>
      </c>
      <c r="R282" s="265" t="str">
        <f>IFERROR(VLOOKUP(O282,Références!$K$11:$N$19,4)," ")</f>
        <v xml:space="preserve"> </v>
      </c>
      <c r="S282" s="256"/>
      <c r="T282" s="256"/>
      <c r="U282" s="256"/>
      <c r="V282" s="256"/>
      <c r="W282" s="256"/>
      <c r="X282" s="257"/>
      <c r="Y282" s="256"/>
      <c r="Z282" s="256"/>
      <c r="AA282" s="256"/>
      <c r="AB282" s="235"/>
      <c r="AC282" s="235"/>
      <c r="AD282" s="235"/>
      <c r="AE282" s="235"/>
      <c r="AF282" s="235"/>
      <c r="AG282" s="235"/>
      <c r="AH282" s="235"/>
      <c r="AI282" s="235">
        <f t="shared" si="516"/>
        <v>0</v>
      </c>
      <c r="AJ282" s="257"/>
      <c r="AK282" s="256">
        <f t="shared" si="494"/>
        <v>0</v>
      </c>
      <c r="AL282" s="257"/>
      <c r="AM282" s="266">
        <f t="shared" si="495"/>
        <v>0</v>
      </c>
      <c r="AN282" s="256"/>
      <c r="AO282" s="276"/>
      <c r="AP282" s="261" t="str">
        <f t="shared" si="542"/>
        <v xml:space="preserve"> </v>
      </c>
      <c r="AQ282" s="256"/>
      <c r="AR282" s="295"/>
      <c r="AS282" s="295"/>
      <c r="AT282" s="263"/>
      <c r="AU282" s="277"/>
      <c r="AV282" s="263"/>
      <c r="AW282" s="230"/>
      <c r="AX282" s="300"/>
      <c r="AY282" s="301"/>
      <c r="AZ282" s="230"/>
      <c r="BA282" s="300"/>
      <c r="BB282" s="295"/>
      <c r="BC282" s="228">
        <f t="shared" si="496"/>
        <v>0</v>
      </c>
      <c r="BD282" s="228">
        <f t="shared" si="497"/>
        <v>0</v>
      </c>
      <c r="BE282" s="228">
        <f t="shared" si="498"/>
        <v>1</v>
      </c>
      <c r="BF282" s="228" t="str">
        <f t="shared" si="499"/>
        <v>ALIVE</v>
      </c>
      <c r="BG282" s="208" t="str">
        <f t="shared" si="500"/>
        <v>Aucune</v>
      </c>
      <c r="BH282" s="208" t="str">
        <f t="shared" si="501"/>
        <v>Aucune</v>
      </c>
      <c r="BI282" s="208" t="str">
        <f t="shared" si="502"/>
        <v>Aucune</v>
      </c>
      <c r="BJ282" s="208" t="str">
        <f t="shared" si="503"/>
        <v>NON</v>
      </c>
      <c r="BK282" s="208" t="str">
        <f t="shared" si="504"/>
        <v>NON</v>
      </c>
      <c r="BL282" s="208" t="str">
        <f t="shared" si="505"/>
        <v>Inconnu</v>
      </c>
      <c r="BM282" s="208" t="str">
        <f t="shared" si="506"/>
        <v>Inconnu</v>
      </c>
      <c r="BN282" s="208" t="str">
        <f t="shared" si="507"/>
        <v>Inconnu</v>
      </c>
      <c r="BO282" s="208" t="str">
        <f t="shared" si="508"/>
        <v>Inconnu</v>
      </c>
      <c r="BP282" s="208" t="str">
        <f t="shared" si="509"/>
        <v>Inconnu</v>
      </c>
      <c r="BQ282" s="208" t="str">
        <f t="shared" si="510"/>
        <v>Inconnu</v>
      </c>
      <c r="BR282" s="208" t="str">
        <f t="shared" si="511"/>
        <v>Aucune</v>
      </c>
      <c r="BS282" s="208">
        <f t="shared" si="512"/>
        <v>0</v>
      </c>
      <c r="BT282" s="229" t="e">
        <f>VLOOKUP($I282,Lieu_Activité!$A:$B,2,FALSE)</f>
        <v>#N/A</v>
      </c>
      <c r="BU282" s="208" t="str">
        <f t="shared" si="513"/>
        <v>Aucun</v>
      </c>
      <c r="BV282" s="208" t="str">
        <f t="shared" si="514"/>
        <v>Aucun</v>
      </c>
      <c r="BW282" s="207" t="str">
        <f t="shared" si="515"/>
        <v>NON</v>
      </c>
      <c r="BX282" s="288"/>
    </row>
    <row r="283" spans="1:76" ht="12.75" customHeight="1" x14ac:dyDescent="0.25">
      <c r="A283" s="226" t="s">
        <v>258</v>
      </c>
      <c r="B283" s="234"/>
      <c r="C283" s="227"/>
      <c r="D283" s="257"/>
      <c r="E283" s="278">
        <f t="shared" ref="E283:E284" si="569">(L283-D283)/365</f>
        <v>0</v>
      </c>
      <c r="F283" s="278" t="str">
        <f t="shared" ref="F283:F284" si="570">IF(E283&lt;80," ","1")</f>
        <v xml:space="preserve"> </v>
      </c>
      <c r="G283" s="256"/>
      <c r="H283" s="256"/>
      <c r="I283" s="256"/>
      <c r="J283" s="256"/>
      <c r="K283" s="256"/>
      <c r="L283" s="257"/>
      <c r="M283" s="243"/>
      <c r="N283" s="232"/>
      <c r="O283" s="232"/>
      <c r="P283" s="265" t="str">
        <f>IFERROR(VLOOKUP(O283,Références!$K$11:$N$19,2)," ")</f>
        <v xml:space="preserve"> </v>
      </c>
      <c r="Q283" s="265" t="str">
        <f>IFERROR(VLOOKUP(O283,Références!$K$11:$N$19,3)," ")</f>
        <v xml:space="preserve"> </v>
      </c>
      <c r="R283" s="265" t="str">
        <f>IFERROR(VLOOKUP(O283,Références!$K$11:$N$19,4)," ")</f>
        <v xml:space="preserve"> </v>
      </c>
      <c r="S283" s="256"/>
      <c r="T283" s="256"/>
      <c r="U283" s="256"/>
      <c r="V283" s="256"/>
      <c r="W283" s="256"/>
      <c r="X283" s="257"/>
      <c r="Y283" s="256"/>
      <c r="Z283" s="256"/>
      <c r="AA283" s="256"/>
      <c r="AB283" s="235"/>
      <c r="AC283" s="235"/>
      <c r="AD283" s="235"/>
      <c r="AE283" s="235"/>
      <c r="AF283" s="235"/>
      <c r="AG283" s="235"/>
      <c r="AH283" s="235"/>
      <c r="AI283" s="235">
        <f t="shared" ref="AI283:AI284" si="571">SUM(AF283,AH283)</f>
        <v>0</v>
      </c>
      <c r="AJ283" s="257"/>
      <c r="AK283" s="256">
        <f t="shared" ref="AK283:AK284" si="572">(AJ283-L283)</f>
        <v>0</v>
      </c>
      <c r="AL283" s="257"/>
      <c r="AM283" s="266">
        <f t="shared" ref="AM283:AM284" si="573">(AL283-L283)</f>
        <v>0</v>
      </c>
      <c r="AN283" s="256"/>
      <c r="AO283" s="276"/>
      <c r="AP283" s="261" t="str">
        <f t="shared" ref="AP283:AP284" si="574">IF(AO283=1,"ELECTIVE",IF(AO283=2,"URGENCY",IF(AO283=3,"EMERGENCY",IF(AO283=4,"SALVAGE"," "))))</f>
        <v xml:space="preserve"> </v>
      </c>
      <c r="AQ283" s="256"/>
      <c r="AR283" s="295"/>
      <c r="AS283" s="295"/>
      <c r="AT283" s="263"/>
      <c r="AU283" s="277"/>
      <c r="AV283" s="263"/>
      <c r="AW283" s="230"/>
      <c r="AX283" s="300"/>
      <c r="AY283" s="301"/>
      <c r="AZ283" s="300"/>
      <c r="BA283" s="300"/>
      <c r="BB283" s="295"/>
      <c r="BC283" s="228">
        <f t="shared" ref="BC283:BC284" si="575">IF(BG283="Aucune",0,1)</f>
        <v>0</v>
      </c>
      <c r="BD283" s="228">
        <f t="shared" ref="BD283:BD284" si="576">IF(BH283="Aucune",0,1)</f>
        <v>0</v>
      </c>
      <c r="BE283" s="228">
        <f t="shared" ref="BE283:BE284" si="577">IF(AG283="Aucune",0,1)</f>
        <v>1</v>
      </c>
      <c r="BF283" s="228" t="str">
        <f t="shared" ref="BF283:BF284" si="578">IF(AO283=1,"ELECTIVE",IF(AO283=2,"URGENCY",IF(AO283=3,"EMERGENCY",IF(AO283=4,"SALVAGE","ALIVE"))))</f>
        <v>ALIVE</v>
      </c>
      <c r="BG283" s="208" t="str">
        <f t="shared" ref="BG283:BG284" si="579">IF(AD283="","Aucune","Infection")</f>
        <v>Aucune</v>
      </c>
      <c r="BH283" s="208" t="str">
        <f t="shared" ref="BH283:BH284" si="580">IF(AI283&gt;0,"Transfusion","Aucune")</f>
        <v>Aucune</v>
      </c>
      <c r="BI283" s="208" t="str">
        <f t="shared" ref="BI283:BI284" si="581">IF(AG283="","Aucune","Transfusé")</f>
        <v>Aucune</v>
      </c>
      <c r="BJ283" s="208" t="str">
        <f t="shared" ref="BJ283:BJ284" si="582">IF(X283&lt;&gt;"",IF(X283-L283&lt;2,"OUI","NON"),"NON")</f>
        <v>NON</v>
      </c>
      <c r="BK283" s="208" t="str">
        <f t="shared" ref="BK283:BK284" si="583">IF(AS283="","NON","OUI")</f>
        <v>NON</v>
      </c>
      <c r="BL283" s="208" t="str">
        <f t="shared" ref="BL283:BL284" si="584">IF(AL283-L283&gt;0,AL283-L283,"Inconnu")</f>
        <v>Inconnu</v>
      </c>
      <c r="BM283" s="208" t="str">
        <f t="shared" ref="BM283:BM284" si="585">IF($O283&lt;&gt;"HTX",IF($O283&lt;&gt;"LVAD",BL283,"Inconnu"),"Inconnu")</f>
        <v>Inconnu</v>
      </c>
      <c r="BN283" s="208" t="str">
        <f t="shared" ref="BN283:BN284" si="586">IF($O283="HTX",BL283,IF($O283="LVAD",BL283,"Inconnu"))</f>
        <v>Inconnu</v>
      </c>
      <c r="BO283" s="208" t="str">
        <f t="shared" ref="BO283:BO284" si="587">IF(AJ283-L283&gt;0,AJ283-L283,"Inconnu")</f>
        <v>Inconnu</v>
      </c>
      <c r="BP283" s="208" t="str">
        <f t="shared" ref="BP283:BP284" si="588">IF($O283&lt;&gt;"HTX",IF($O283&lt;&gt;"LVAD",BO283,"Inconnu"),"Inconnu")</f>
        <v>Inconnu</v>
      </c>
      <c r="BQ283" s="208" t="str">
        <f t="shared" ref="BQ283:BQ284" si="589">IF($O283="HTX",BO283,IF($O283="LVAD",BO283,"Inconnu"))</f>
        <v>Inconnu</v>
      </c>
      <c r="BR283" s="208" t="str">
        <f t="shared" ref="BR283:BR284" si="590">IF(BH283="Aucune",IF(BI283="Aucune","Aucune","Transfusé"),"Transfusé")</f>
        <v>Aucune</v>
      </c>
      <c r="BS283" s="208">
        <f t="shared" ref="BS283:BS284" si="591">AF283+AH283</f>
        <v>0</v>
      </c>
      <c r="BT283" s="229" t="e">
        <f>VLOOKUP($I283,Lieu_Activité!$A:$B,2,FALSE)</f>
        <v>#N/A</v>
      </c>
      <c r="BU283" s="208" t="str">
        <f t="shared" ref="BU283:BU284" si="592">IF(AB283="","Aucun","AVC")</f>
        <v>Aucun</v>
      </c>
      <c r="BV283" s="208" t="str">
        <f t="shared" ref="BV283:BV284" si="593">IF(AC283="","Aucun","IM")</f>
        <v>Aucun</v>
      </c>
      <c r="BW283" s="207" t="str">
        <f t="shared" ref="BW283:BW284" si="594">IF(M283="","NON","OUI")</f>
        <v>NON</v>
      </c>
      <c r="BX283" s="288"/>
    </row>
    <row r="284" spans="1:76" ht="12.75" customHeight="1" x14ac:dyDescent="0.25">
      <c r="A284" s="226" t="s">
        <v>258</v>
      </c>
      <c r="B284" s="234"/>
      <c r="C284" s="227"/>
      <c r="D284" s="257"/>
      <c r="E284" s="278">
        <f t="shared" si="569"/>
        <v>0</v>
      </c>
      <c r="F284" s="278" t="str">
        <f t="shared" si="570"/>
        <v xml:space="preserve"> </v>
      </c>
      <c r="G284" s="256"/>
      <c r="H284" s="256"/>
      <c r="I284" s="256"/>
      <c r="J284" s="256"/>
      <c r="K284" s="256"/>
      <c r="L284" s="257"/>
      <c r="M284" s="243"/>
      <c r="N284" s="232"/>
      <c r="O284" s="232"/>
      <c r="P284" s="265" t="str">
        <f>IFERROR(VLOOKUP(O284,Références!$K$11:$N$19,2)," ")</f>
        <v xml:space="preserve"> </v>
      </c>
      <c r="Q284" s="265" t="str">
        <f>IFERROR(VLOOKUP(O284,Références!$K$11:$N$19,3)," ")</f>
        <v xml:space="preserve"> </v>
      </c>
      <c r="R284" s="265" t="str">
        <f>IFERROR(VLOOKUP(O284,Références!$K$11:$N$19,4)," ")</f>
        <v xml:space="preserve"> </v>
      </c>
      <c r="S284" s="256"/>
      <c r="T284" s="256"/>
      <c r="U284" s="256"/>
      <c r="V284" s="256"/>
      <c r="W284" s="256"/>
      <c r="X284" s="257"/>
      <c r="Y284" s="256"/>
      <c r="Z284" s="256"/>
      <c r="AA284" s="256"/>
      <c r="AB284" s="235"/>
      <c r="AC284" s="235"/>
      <c r="AD284" s="235"/>
      <c r="AE284" s="235"/>
      <c r="AF284" s="235"/>
      <c r="AG284" s="235"/>
      <c r="AH284" s="235"/>
      <c r="AI284" s="235">
        <f t="shared" si="571"/>
        <v>0</v>
      </c>
      <c r="AJ284" s="257"/>
      <c r="AK284" s="256">
        <f t="shared" si="572"/>
        <v>0</v>
      </c>
      <c r="AL284" s="257"/>
      <c r="AM284" s="266">
        <f t="shared" si="573"/>
        <v>0</v>
      </c>
      <c r="AN284" s="256"/>
      <c r="AO284" s="276"/>
      <c r="AP284" s="261" t="str">
        <f t="shared" si="574"/>
        <v xml:space="preserve"> </v>
      </c>
      <c r="AQ284" s="256"/>
      <c r="AR284" s="295"/>
      <c r="AS284" s="295"/>
      <c r="AT284" s="263"/>
      <c r="AU284" s="277"/>
      <c r="AV284" s="263"/>
      <c r="AW284" s="230"/>
      <c r="AX284" s="300"/>
      <c r="AY284" s="301"/>
      <c r="AZ284" s="230"/>
      <c r="BA284" s="300"/>
      <c r="BB284" s="295"/>
      <c r="BC284" s="228">
        <f t="shared" si="575"/>
        <v>0</v>
      </c>
      <c r="BD284" s="228">
        <f t="shared" si="576"/>
        <v>0</v>
      </c>
      <c r="BE284" s="228">
        <f t="shared" si="577"/>
        <v>1</v>
      </c>
      <c r="BF284" s="228" t="str">
        <f t="shared" si="578"/>
        <v>ALIVE</v>
      </c>
      <c r="BG284" s="208" t="str">
        <f t="shared" si="579"/>
        <v>Aucune</v>
      </c>
      <c r="BH284" s="208" t="str">
        <f t="shared" si="580"/>
        <v>Aucune</v>
      </c>
      <c r="BI284" s="208" t="str">
        <f t="shared" si="581"/>
        <v>Aucune</v>
      </c>
      <c r="BJ284" s="208" t="str">
        <f t="shared" si="582"/>
        <v>NON</v>
      </c>
      <c r="BK284" s="208" t="str">
        <f t="shared" si="583"/>
        <v>NON</v>
      </c>
      <c r="BL284" s="208" t="str">
        <f t="shared" si="584"/>
        <v>Inconnu</v>
      </c>
      <c r="BM284" s="208" t="str">
        <f t="shared" si="585"/>
        <v>Inconnu</v>
      </c>
      <c r="BN284" s="208" t="str">
        <f t="shared" si="586"/>
        <v>Inconnu</v>
      </c>
      <c r="BO284" s="208" t="str">
        <f t="shared" si="587"/>
        <v>Inconnu</v>
      </c>
      <c r="BP284" s="208" t="str">
        <f t="shared" si="588"/>
        <v>Inconnu</v>
      </c>
      <c r="BQ284" s="208" t="str">
        <f t="shared" si="589"/>
        <v>Inconnu</v>
      </c>
      <c r="BR284" s="208" t="str">
        <f t="shared" si="590"/>
        <v>Aucune</v>
      </c>
      <c r="BS284" s="208">
        <f t="shared" si="591"/>
        <v>0</v>
      </c>
      <c r="BT284" s="229" t="e">
        <f>VLOOKUP($I284,Lieu_Activité!$A:$B,2,FALSE)</f>
        <v>#N/A</v>
      </c>
      <c r="BU284" s="208" t="str">
        <f t="shared" si="592"/>
        <v>Aucun</v>
      </c>
      <c r="BV284" s="208" t="str">
        <f t="shared" si="593"/>
        <v>Aucun</v>
      </c>
      <c r="BW284" s="207" t="str">
        <f t="shared" si="594"/>
        <v>NON</v>
      </c>
      <c r="BX284" s="288"/>
    </row>
    <row r="285" spans="1:76" ht="12.75" customHeight="1" x14ac:dyDescent="0.25">
      <c r="A285" s="226" t="s">
        <v>258</v>
      </c>
      <c r="B285" s="234"/>
      <c r="C285" s="227"/>
      <c r="D285" s="257"/>
      <c r="E285" s="278">
        <f t="shared" ref="E285:E286" si="595">(L285-D285)/365</f>
        <v>0</v>
      </c>
      <c r="F285" s="278" t="str">
        <f t="shared" ref="F285:F286" si="596">IF(E285&lt;80," ","1")</f>
        <v xml:space="preserve"> </v>
      </c>
      <c r="G285" s="256"/>
      <c r="H285" s="256"/>
      <c r="I285" s="256"/>
      <c r="J285" s="256"/>
      <c r="K285" s="256"/>
      <c r="L285" s="257"/>
      <c r="M285" s="243"/>
      <c r="N285" s="232"/>
      <c r="O285" s="232"/>
      <c r="P285" s="265" t="str">
        <f>IFERROR(VLOOKUP(O285,Références!$K$11:$N$19,2)," ")</f>
        <v xml:space="preserve"> </v>
      </c>
      <c r="Q285" s="265" t="str">
        <f>IFERROR(VLOOKUP(O285,Références!$K$11:$N$19,3)," ")</f>
        <v xml:space="preserve"> </v>
      </c>
      <c r="R285" s="265" t="str">
        <f>IFERROR(VLOOKUP(O285,Références!$K$11:$N$19,4)," ")</f>
        <v xml:space="preserve"> </v>
      </c>
      <c r="S285" s="256"/>
      <c r="T285" s="256"/>
      <c r="U285" s="256"/>
      <c r="V285" s="256"/>
      <c r="W285" s="256"/>
      <c r="X285" s="257"/>
      <c r="Y285" s="256"/>
      <c r="Z285" s="256"/>
      <c r="AA285" s="256"/>
      <c r="AB285" s="235"/>
      <c r="AC285" s="235"/>
      <c r="AD285" s="235"/>
      <c r="AE285" s="235"/>
      <c r="AF285" s="235"/>
      <c r="AG285" s="235"/>
      <c r="AH285" s="235"/>
      <c r="AI285" s="235">
        <f t="shared" ref="AI285:AI286" si="597">SUM(AF285,AH285)</f>
        <v>0</v>
      </c>
      <c r="AJ285" s="257"/>
      <c r="AK285" s="256">
        <f t="shared" ref="AK285:AK286" si="598">(AJ285-L285)</f>
        <v>0</v>
      </c>
      <c r="AL285" s="257"/>
      <c r="AM285" s="266">
        <f t="shared" ref="AM285:AM286" si="599">(AL285-L285)</f>
        <v>0</v>
      </c>
      <c r="AN285" s="256"/>
      <c r="AO285" s="276"/>
      <c r="AP285" s="261" t="str">
        <f t="shared" ref="AP285:AP286" si="600">IF(AO285=1,"ELECTIVE",IF(AO285=2,"URGENCY",IF(AO285=3,"EMERGENCY",IF(AO285=4,"SALVAGE"," "))))</f>
        <v xml:space="preserve"> </v>
      </c>
      <c r="AQ285" s="256"/>
      <c r="AR285" s="295"/>
      <c r="AS285" s="295"/>
      <c r="AT285" s="263"/>
      <c r="AU285" s="277"/>
      <c r="AV285" s="263"/>
      <c r="AW285" s="230"/>
      <c r="AX285" s="300"/>
      <c r="AY285" s="301"/>
      <c r="AZ285" s="300"/>
      <c r="BA285" s="300"/>
      <c r="BB285" s="295"/>
      <c r="BC285" s="228">
        <f t="shared" ref="BC285:BC286" si="601">IF(BG285="Aucune",0,1)</f>
        <v>0</v>
      </c>
      <c r="BD285" s="228">
        <f t="shared" ref="BD285:BD286" si="602">IF(BH285="Aucune",0,1)</f>
        <v>0</v>
      </c>
      <c r="BE285" s="228">
        <f t="shared" ref="BE285:BE286" si="603">IF(AG285="Aucune",0,1)</f>
        <v>1</v>
      </c>
      <c r="BF285" s="228" t="str">
        <f t="shared" ref="BF285:BF286" si="604">IF(AO285=1,"ELECTIVE",IF(AO285=2,"URGENCY",IF(AO285=3,"EMERGENCY",IF(AO285=4,"SALVAGE","ALIVE"))))</f>
        <v>ALIVE</v>
      </c>
      <c r="BG285" s="208" t="str">
        <f t="shared" ref="BG285:BG286" si="605">IF(AD285="","Aucune","Infection")</f>
        <v>Aucune</v>
      </c>
      <c r="BH285" s="208" t="str">
        <f t="shared" ref="BH285:BH286" si="606">IF(AI285&gt;0,"Transfusion","Aucune")</f>
        <v>Aucune</v>
      </c>
      <c r="BI285" s="208" t="str">
        <f t="shared" ref="BI285:BI286" si="607">IF(AG285="","Aucune","Transfusé")</f>
        <v>Aucune</v>
      </c>
      <c r="BJ285" s="208" t="str">
        <f t="shared" ref="BJ285:BJ286" si="608">IF(X285&lt;&gt;"",IF(X285-L285&lt;2,"OUI","NON"),"NON")</f>
        <v>NON</v>
      </c>
      <c r="BK285" s="208" t="str">
        <f t="shared" ref="BK285:BK286" si="609">IF(AS285="","NON","OUI")</f>
        <v>NON</v>
      </c>
      <c r="BL285" s="208" t="str">
        <f t="shared" ref="BL285:BL286" si="610">IF(AL285-L285&gt;0,AL285-L285,"Inconnu")</f>
        <v>Inconnu</v>
      </c>
      <c r="BM285" s="208" t="str">
        <f t="shared" ref="BM285:BM286" si="611">IF($O285&lt;&gt;"HTX",IF($O285&lt;&gt;"LVAD",BL285,"Inconnu"),"Inconnu")</f>
        <v>Inconnu</v>
      </c>
      <c r="BN285" s="208" t="str">
        <f t="shared" ref="BN285:BN286" si="612">IF($O285="HTX",BL285,IF($O285="LVAD",BL285,"Inconnu"))</f>
        <v>Inconnu</v>
      </c>
      <c r="BO285" s="208" t="str">
        <f t="shared" ref="BO285:BO286" si="613">IF(AJ285-L285&gt;0,AJ285-L285,"Inconnu")</f>
        <v>Inconnu</v>
      </c>
      <c r="BP285" s="208" t="str">
        <f t="shared" ref="BP285:BP286" si="614">IF($O285&lt;&gt;"HTX",IF($O285&lt;&gt;"LVAD",BO285,"Inconnu"),"Inconnu")</f>
        <v>Inconnu</v>
      </c>
      <c r="BQ285" s="208" t="str">
        <f t="shared" ref="BQ285:BQ286" si="615">IF($O285="HTX",BO285,IF($O285="LVAD",BO285,"Inconnu"))</f>
        <v>Inconnu</v>
      </c>
      <c r="BR285" s="208" t="str">
        <f t="shared" ref="BR285:BR286" si="616">IF(BH285="Aucune",IF(BI285="Aucune","Aucune","Transfusé"),"Transfusé")</f>
        <v>Aucune</v>
      </c>
      <c r="BS285" s="208">
        <f t="shared" ref="BS285:BS286" si="617">AF285+AH285</f>
        <v>0</v>
      </c>
      <c r="BT285" s="229" t="e">
        <f>VLOOKUP($I285,Lieu_Activité!$A:$B,2,FALSE)</f>
        <v>#N/A</v>
      </c>
      <c r="BU285" s="208" t="str">
        <f t="shared" ref="BU285:BU286" si="618">IF(AB285="","Aucun","AVC")</f>
        <v>Aucun</v>
      </c>
      <c r="BV285" s="208" t="str">
        <f t="shared" ref="BV285:BV286" si="619">IF(AC285="","Aucun","IM")</f>
        <v>Aucun</v>
      </c>
      <c r="BW285" s="207" t="str">
        <f t="shared" ref="BW285:BW286" si="620">IF(M285="","NON","OUI")</f>
        <v>NON</v>
      </c>
      <c r="BX285" s="288"/>
    </row>
    <row r="286" spans="1:76" ht="12.75" customHeight="1" x14ac:dyDescent="0.25">
      <c r="A286" s="226" t="s">
        <v>258</v>
      </c>
      <c r="B286" s="234"/>
      <c r="C286" s="227"/>
      <c r="D286" s="257"/>
      <c r="E286" s="278">
        <f t="shared" si="595"/>
        <v>0</v>
      </c>
      <c r="F286" s="278" t="str">
        <f t="shared" si="596"/>
        <v xml:space="preserve"> </v>
      </c>
      <c r="G286" s="256"/>
      <c r="H286" s="256"/>
      <c r="I286" s="256"/>
      <c r="J286" s="256"/>
      <c r="K286" s="256"/>
      <c r="L286" s="257"/>
      <c r="M286" s="243"/>
      <c r="N286" s="232"/>
      <c r="O286" s="232"/>
      <c r="P286" s="265" t="str">
        <f>IFERROR(VLOOKUP(O286,Références!$K$11:$N$19,2)," ")</f>
        <v xml:space="preserve"> </v>
      </c>
      <c r="Q286" s="265" t="str">
        <f>IFERROR(VLOOKUP(O286,Références!$K$11:$N$19,3)," ")</f>
        <v xml:space="preserve"> </v>
      </c>
      <c r="R286" s="265" t="str">
        <f>IFERROR(VLOOKUP(O286,Références!$K$11:$N$19,4)," ")</f>
        <v xml:space="preserve"> </v>
      </c>
      <c r="S286" s="256"/>
      <c r="T286" s="256"/>
      <c r="U286" s="256"/>
      <c r="V286" s="256"/>
      <c r="W286" s="256"/>
      <c r="X286" s="257"/>
      <c r="Y286" s="256"/>
      <c r="Z286" s="256"/>
      <c r="AA286" s="256"/>
      <c r="AB286" s="235"/>
      <c r="AC286" s="235"/>
      <c r="AD286" s="235"/>
      <c r="AE286" s="235"/>
      <c r="AF286" s="235"/>
      <c r="AG286" s="235"/>
      <c r="AH286" s="235"/>
      <c r="AI286" s="235">
        <f t="shared" si="597"/>
        <v>0</v>
      </c>
      <c r="AJ286" s="257"/>
      <c r="AK286" s="256">
        <f t="shared" si="598"/>
        <v>0</v>
      </c>
      <c r="AL286" s="257"/>
      <c r="AM286" s="266">
        <f t="shared" si="599"/>
        <v>0</v>
      </c>
      <c r="AN286" s="256"/>
      <c r="AO286" s="276"/>
      <c r="AP286" s="261" t="str">
        <f t="shared" si="600"/>
        <v xml:space="preserve"> </v>
      </c>
      <c r="AQ286" s="256"/>
      <c r="AR286" s="295"/>
      <c r="AS286" s="295"/>
      <c r="AT286" s="263"/>
      <c r="AU286" s="277"/>
      <c r="AV286" s="263"/>
      <c r="AW286" s="230"/>
      <c r="AX286" s="300"/>
      <c r="AY286" s="301"/>
      <c r="AZ286" s="230"/>
      <c r="BA286" s="300"/>
      <c r="BB286" s="295"/>
      <c r="BC286" s="228">
        <f t="shared" si="601"/>
        <v>0</v>
      </c>
      <c r="BD286" s="228">
        <f t="shared" si="602"/>
        <v>0</v>
      </c>
      <c r="BE286" s="228">
        <f t="shared" si="603"/>
        <v>1</v>
      </c>
      <c r="BF286" s="228" t="str">
        <f t="shared" si="604"/>
        <v>ALIVE</v>
      </c>
      <c r="BG286" s="208" t="str">
        <f t="shared" si="605"/>
        <v>Aucune</v>
      </c>
      <c r="BH286" s="208" t="str">
        <f t="shared" si="606"/>
        <v>Aucune</v>
      </c>
      <c r="BI286" s="208" t="str">
        <f t="shared" si="607"/>
        <v>Aucune</v>
      </c>
      <c r="BJ286" s="208" t="str">
        <f t="shared" si="608"/>
        <v>NON</v>
      </c>
      <c r="BK286" s="208" t="str">
        <f t="shared" si="609"/>
        <v>NON</v>
      </c>
      <c r="BL286" s="208" t="str">
        <f t="shared" si="610"/>
        <v>Inconnu</v>
      </c>
      <c r="BM286" s="208" t="str">
        <f t="shared" si="611"/>
        <v>Inconnu</v>
      </c>
      <c r="BN286" s="208" t="str">
        <f t="shared" si="612"/>
        <v>Inconnu</v>
      </c>
      <c r="BO286" s="208" t="str">
        <f t="shared" si="613"/>
        <v>Inconnu</v>
      </c>
      <c r="BP286" s="208" t="str">
        <f t="shared" si="614"/>
        <v>Inconnu</v>
      </c>
      <c r="BQ286" s="208" t="str">
        <f t="shared" si="615"/>
        <v>Inconnu</v>
      </c>
      <c r="BR286" s="208" t="str">
        <f t="shared" si="616"/>
        <v>Aucune</v>
      </c>
      <c r="BS286" s="208">
        <f t="shared" si="617"/>
        <v>0</v>
      </c>
      <c r="BT286" s="229" t="e">
        <f>VLOOKUP($I286,Lieu_Activité!$A:$B,2,FALSE)</f>
        <v>#N/A</v>
      </c>
      <c r="BU286" s="208" t="str">
        <f t="shared" si="618"/>
        <v>Aucun</v>
      </c>
      <c r="BV286" s="208" t="str">
        <f t="shared" si="619"/>
        <v>Aucun</v>
      </c>
      <c r="BW286" s="207" t="str">
        <f t="shared" si="620"/>
        <v>NON</v>
      </c>
      <c r="BX286" s="288"/>
    </row>
    <row r="287" spans="1:76" ht="12.75" customHeight="1" x14ac:dyDescent="0.25">
      <c r="A287" s="226" t="s">
        <v>258</v>
      </c>
      <c r="B287" s="234"/>
      <c r="C287" s="227"/>
      <c r="D287" s="257"/>
      <c r="E287" s="278">
        <f t="shared" si="493"/>
        <v>0</v>
      </c>
      <c r="F287" s="278" t="str">
        <f t="shared" si="226"/>
        <v xml:space="preserve"> </v>
      </c>
      <c r="G287" s="256"/>
      <c r="H287" s="256"/>
      <c r="I287" s="256"/>
      <c r="J287" s="256"/>
      <c r="K287" s="256"/>
      <c r="L287" s="257"/>
      <c r="M287" s="243"/>
      <c r="N287" s="232"/>
      <c r="O287" s="232"/>
      <c r="P287" s="265" t="str">
        <f>IFERROR(VLOOKUP(O287,Références!$K$11:$N$19,2)," ")</f>
        <v xml:space="preserve"> </v>
      </c>
      <c r="Q287" s="265" t="str">
        <f>IFERROR(VLOOKUP(O287,Références!$K$11:$N$19,3)," ")</f>
        <v xml:space="preserve"> </v>
      </c>
      <c r="R287" s="265" t="str">
        <f>IFERROR(VLOOKUP(O287,Références!$K$11:$N$19,4)," ")</f>
        <v xml:space="preserve"> </v>
      </c>
      <c r="S287" s="256"/>
      <c r="T287" s="256"/>
      <c r="U287" s="256"/>
      <c r="V287" s="256"/>
      <c r="W287" s="256"/>
      <c r="X287" s="257"/>
      <c r="Y287" s="256"/>
      <c r="Z287" s="256"/>
      <c r="AA287" s="256"/>
      <c r="AB287" s="235"/>
      <c r="AC287" s="235"/>
      <c r="AD287" s="235"/>
      <c r="AE287" s="235"/>
      <c r="AF287" s="235"/>
      <c r="AG287" s="235"/>
      <c r="AH287" s="235"/>
      <c r="AI287" s="235">
        <f t="shared" si="516"/>
        <v>0</v>
      </c>
      <c r="AJ287" s="257"/>
      <c r="AK287" s="256">
        <f t="shared" si="494"/>
        <v>0</v>
      </c>
      <c r="AL287" s="257"/>
      <c r="AM287" s="266">
        <f t="shared" si="495"/>
        <v>0</v>
      </c>
      <c r="AN287" s="256"/>
      <c r="AO287" s="276"/>
      <c r="AP287" s="261" t="str">
        <f t="shared" si="542"/>
        <v xml:space="preserve"> </v>
      </c>
      <c r="AQ287" s="256"/>
      <c r="AR287" s="295"/>
      <c r="AS287" s="295"/>
      <c r="AT287" s="263"/>
      <c r="AU287" s="277"/>
      <c r="AV287" s="263"/>
      <c r="AW287" s="230"/>
      <c r="AX287" s="300"/>
      <c r="AY287" s="301"/>
      <c r="AZ287" s="300"/>
      <c r="BA287" s="300"/>
      <c r="BB287" s="295"/>
      <c r="BC287" s="228">
        <f t="shared" si="496"/>
        <v>0</v>
      </c>
      <c r="BD287" s="228">
        <f t="shared" si="497"/>
        <v>0</v>
      </c>
      <c r="BE287" s="228">
        <f t="shared" si="498"/>
        <v>1</v>
      </c>
      <c r="BF287" s="228" t="str">
        <f t="shared" si="499"/>
        <v>ALIVE</v>
      </c>
      <c r="BG287" s="208" t="str">
        <f t="shared" si="500"/>
        <v>Aucune</v>
      </c>
      <c r="BH287" s="208" t="str">
        <f t="shared" si="501"/>
        <v>Aucune</v>
      </c>
      <c r="BI287" s="208" t="str">
        <f t="shared" si="502"/>
        <v>Aucune</v>
      </c>
      <c r="BJ287" s="208" t="str">
        <f t="shared" si="503"/>
        <v>NON</v>
      </c>
      <c r="BK287" s="208" t="str">
        <f t="shared" si="504"/>
        <v>NON</v>
      </c>
      <c r="BL287" s="208" t="str">
        <f t="shared" si="505"/>
        <v>Inconnu</v>
      </c>
      <c r="BM287" s="208" t="str">
        <f t="shared" si="506"/>
        <v>Inconnu</v>
      </c>
      <c r="BN287" s="208" t="str">
        <f t="shared" si="507"/>
        <v>Inconnu</v>
      </c>
      <c r="BO287" s="208" t="str">
        <f t="shared" si="508"/>
        <v>Inconnu</v>
      </c>
      <c r="BP287" s="208" t="str">
        <f t="shared" si="509"/>
        <v>Inconnu</v>
      </c>
      <c r="BQ287" s="208" t="str">
        <f t="shared" si="510"/>
        <v>Inconnu</v>
      </c>
      <c r="BR287" s="208" t="str">
        <f t="shared" si="511"/>
        <v>Aucune</v>
      </c>
      <c r="BS287" s="208">
        <f t="shared" si="512"/>
        <v>0</v>
      </c>
      <c r="BT287" s="229" t="e">
        <f>VLOOKUP($I287,Lieu_Activité!$A:$B,2,FALSE)</f>
        <v>#N/A</v>
      </c>
      <c r="BU287" s="208" t="str">
        <f t="shared" si="513"/>
        <v>Aucun</v>
      </c>
      <c r="BV287" s="208" t="str">
        <f t="shared" si="514"/>
        <v>Aucun</v>
      </c>
      <c r="BW287" s="207" t="str">
        <f t="shared" si="515"/>
        <v>NON</v>
      </c>
      <c r="BX287" s="288"/>
    </row>
    <row r="288" spans="1:76" ht="12.75" customHeight="1" x14ac:dyDescent="0.25">
      <c r="A288" s="226" t="s">
        <v>258</v>
      </c>
      <c r="B288" s="234"/>
      <c r="C288" s="227"/>
      <c r="D288" s="257"/>
      <c r="E288" s="278">
        <f t="shared" si="493"/>
        <v>0</v>
      </c>
      <c r="F288" s="278" t="str">
        <f t="shared" si="226"/>
        <v xml:space="preserve"> </v>
      </c>
      <c r="G288" s="256"/>
      <c r="H288" s="256"/>
      <c r="I288" s="256"/>
      <c r="J288" s="256"/>
      <c r="K288" s="256"/>
      <c r="L288" s="257"/>
      <c r="M288" s="243"/>
      <c r="N288" s="232"/>
      <c r="O288" s="232"/>
      <c r="P288" s="265" t="str">
        <f>IFERROR(VLOOKUP(O288,Références!$K$11:$N$19,2)," ")</f>
        <v xml:space="preserve"> </v>
      </c>
      <c r="Q288" s="265" t="str">
        <f>IFERROR(VLOOKUP(O288,Références!$K$11:$N$19,3)," ")</f>
        <v xml:space="preserve"> </v>
      </c>
      <c r="R288" s="265" t="str">
        <f>IFERROR(VLOOKUP(O288,Références!$K$11:$N$19,4)," ")</f>
        <v xml:space="preserve"> </v>
      </c>
      <c r="S288" s="256"/>
      <c r="T288" s="256"/>
      <c r="U288" s="256"/>
      <c r="V288" s="256"/>
      <c r="W288" s="256"/>
      <c r="X288" s="257"/>
      <c r="Y288" s="256"/>
      <c r="Z288" s="256"/>
      <c r="AA288" s="256"/>
      <c r="AB288" s="235"/>
      <c r="AC288" s="235"/>
      <c r="AD288" s="235"/>
      <c r="AE288" s="235"/>
      <c r="AF288" s="235"/>
      <c r="AG288" s="235"/>
      <c r="AH288" s="235"/>
      <c r="AI288" s="235">
        <f t="shared" si="516"/>
        <v>0</v>
      </c>
      <c r="AJ288" s="257"/>
      <c r="AK288" s="256">
        <f t="shared" si="494"/>
        <v>0</v>
      </c>
      <c r="AL288" s="257"/>
      <c r="AM288" s="266">
        <f t="shared" si="495"/>
        <v>0</v>
      </c>
      <c r="AN288" s="256"/>
      <c r="AO288" s="276"/>
      <c r="AP288" s="261" t="str">
        <f t="shared" si="542"/>
        <v xml:space="preserve"> </v>
      </c>
      <c r="AQ288" s="256"/>
      <c r="AR288" s="295"/>
      <c r="AS288" s="295"/>
      <c r="AT288" s="263"/>
      <c r="AU288" s="277"/>
      <c r="AV288" s="263"/>
      <c r="AW288" s="230"/>
      <c r="AX288" s="300"/>
      <c r="AY288" s="301"/>
      <c r="AZ288" s="230"/>
      <c r="BA288" s="300"/>
      <c r="BB288" s="295"/>
      <c r="BC288" s="228">
        <f t="shared" si="496"/>
        <v>0</v>
      </c>
      <c r="BD288" s="228">
        <f t="shared" si="497"/>
        <v>0</v>
      </c>
      <c r="BE288" s="228">
        <f t="shared" si="498"/>
        <v>1</v>
      </c>
      <c r="BF288" s="228" t="str">
        <f t="shared" si="499"/>
        <v>ALIVE</v>
      </c>
      <c r="BG288" s="208" t="str">
        <f t="shared" si="500"/>
        <v>Aucune</v>
      </c>
      <c r="BH288" s="208" t="str">
        <f t="shared" si="501"/>
        <v>Aucune</v>
      </c>
      <c r="BI288" s="208" t="str">
        <f t="shared" si="502"/>
        <v>Aucune</v>
      </c>
      <c r="BJ288" s="208" t="str">
        <f t="shared" si="503"/>
        <v>NON</v>
      </c>
      <c r="BK288" s="208" t="str">
        <f t="shared" si="504"/>
        <v>NON</v>
      </c>
      <c r="BL288" s="208" t="str">
        <f t="shared" si="505"/>
        <v>Inconnu</v>
      </c>
      <c r="BM288" s="208" t="str">
        <f t="shared" si="506"/>
        <v>Inconnu</v>
      </c>
      <c r="BN288" s="208" t="str">
        <f t="shared" si="507"/>
        <v>Inconnu</v>
      </c>
      <c r="BO288" s="208" t="str">
        <f t="shared" si="508"/>
        <v>Inconnu</v>
      </c>
      <c r="BP288" s="208" t="str">
        <f t="shared" si="509"/>
        <v>Inconnu</v>
      </c>
      <c r="BQ288" s="208" t="str">
        <f t="shared" si="510"/>
        <v>Inconnu</v>
      </c>
      <c r="BR288" s="208" t="str">
        <f t="shared" si="511"/>
        <v>Aucune</v>
      </c>
      <c r="BS288" s="208">
        <f t="shared" si="512"/>
        <v>0</v>
      </c>
      <c r="BT288" s="229" t="e">
        <f>VLOOKUP($I288,Lieu_Activité!$A:$B,2,FALSE)</f>
        <v>#N/A</v>
      </c>
      <c r="BU288" s="208" t="str">
        <f t="shared" si="513"/>
        <v>Aucun</v>
      </c>
      <c r="BV288" s="208" t="str">
        <f t="shared" si="514"/>
        <v>Aucun</v>
      </c>
      <c r="BW288" s="207" t="str">
        <f t="shared" si="515"/>
        <v>NON</v>
      </c>
      <c r="BX288" s="288"/>
    </row>
    <row r="289" spans="1:76" ht="12" customHeight="1" x14ac:dyDescent="0.25">
      <c r="A289" s="231" t="s">
        <v>307</v>
      </c>
      <c r="B289" s="234"/>
      <c r="C289" s="227"/>
      <c r="D289" s="257"/>
      <c r="E289" s="278">
        <f t="shared" si="326"/>
        <v>0</v>
      </c>
      <c r="F289" s="278" t="str">
        <f t="shared" si="226"/>
        <v xml:space="preserve"> </v>
      </c>
      <c r="G289" s="256"/>
      <c r="H289" s="256"/>
      <c r="I289" s="256"/>
      <c r="J289" s="256"/>
      <c r="K289" s="256"/>
      <c r="L289" s="257"/>
      <c r="M289" s="243"/>
      <c r="N289" s="232"/>
      <c r="O289" s="232"/>
      <c r="P289" s="265" t="str">
        <f>IFERROR(VLOOKUP(O289,Références!$K$11:$N$19,2)," ")</f>
        <v xml:space="preserve"> </v>
      </c>
      <c r="Q289" s="265" t="str">
        <f>IFERROR(VLOOKUP(O289,Références!$K$11:$N$19,3)," ")</f>
        <v xml:space="preserve"> </v>
      </c>
      <c r="R289" s="265" t="str">
        <f>IFERROR(VLOOKUP(O289,Références!$K$11:$N$19,4)," ")</f>
        <v xml:space="preserve"> </v>
      </c>
      <c r="S289" s="256"/>
      <c r="T289" s="256"/>
      <c r="U289" s="256"/>
      <c r="V289" s="256"/>
      <c r="W289" s="256"/>
      <c r="X289" s="257"/>
      <c r="Y289" s="256"/>
      <c r="Z289" s="256"/>
      <c r="AA289" s="256"/>
      <c r="AB289" s="235"/>
      <c r="AC289" s="235"/>
      <c r="AD289" s="235"/>
      <c r="AE289" s="235"/>
      <c r="AF289" s="235"/>
      <c r="AG289" s="235"/>
      <c r="AH289" s="235"/>
      <c r="AI289" s="235">
        <f t="shared" si="327"/>
        <v>0</v>
      </c>
      <c r="AJ289" s="257"/>
      <c r="AK289" s="256">
        <f t="shared" si="328"/>
        <v>0</v>
      </c>
      <c r="AL289" s="257"/>
      <c r="AM289" s="266">
        <f t="shared" si="329"/>
        <v>0</v>
      </c>
      <c r="AN289" s="256"/>
      <c r="AO289" s="276"/>
      <c r="AP289" s="261" t="str">
        <f t="shared" si="542"/>
        <v xml:space="preserve"> </v>
      </c>
      <c r="AQ289" s="256"/>
      <c r="AR289" s="295"/>
      <c r="AS289" s="295"/>
      <c r="AT289" s="263"/>
      <c r="AU289" s="277"/>
      <c r="AV289" s="263"/>
      <c r="AW289" s="230"/>
      <c r="AX289" s="300"/>
      <c r="AY289" s="301"/>
      <c r="AZ289" s="230"/>
      <c r="BA289" s="300"/>
      <c r="BB289" s="295"/>
      <c r="BC289" s="228">
        <f t="shared" si="330"/>
        <v>0</v>
      </c>
      <c r="BD289" s="228">
        <f t="shared" si="331"/>
        <v>0</v>
      </c>
      <c r="BE289" s="228">
        <f t="shared" si="332"/>
        <v>1</v>
      </c>
      <c r="BF289" s="228" t="str">
        <f t="shared" si="333"/>
        <v>ALIVE</v>
      </c>
      <c r="BG289" s="208" t="str">
        <f t="shared" si="334"/>
        <v>Aucune</v>
      </c>
      <c r="BH289" s="208" t="str">
        <f t="shared" si="335"/>
        <v>Aucune</v>
      </c>
      <c r="BI289" s="208" t="str">
        <f t="shared" si="336"/>
        <v>Aucune</v>
      </c>
      <c r="BJ289" s="208" t="str">
        <f t="shared" si="337"/>
        <v>NON</v>
      </c>
      <c r="BK289" s="208" t="str">
        <f t="shared" si="338"/>
        <v>NON</v>
      </c>
      <c r="BL289" s="208" t="str">
        <f t="shared" si="339"/>
        <v>Inconnu</v>
      </c>
      <c r="BM289" s="208" t="str">
        <f t="shared" si="340"/>
        <v>Inconnu</v>
      </c>
      <c r="BN289" s="208" t="str">
        <f t="shared" si="341"/>
        <v>Inconnu</v>
      </c>
      <c r="BO289" s="208" t="str">
        <f t="shared" si="342"/>
        <v>Inconnu</v>
      </c>
      <c r="BP289" s="208" t="str">
        <f t="shared" si="343"/>
        <v>Inconnu</v>
      </c>
      <c r="BQ289" s="208" t="str">
        <f t="shared" si="344"/>
        <v>Inconnu</v>
      </c>
      <c r="BR289" s="208" t="str">
        <f t="shared" si="345"/>
        <v>Aucune</v>
      </c>
      <c r="BS289" s="208">
        <f t="shared" si="346"/>
        <v>0</v>
      </c>
      <c r="BT289" s="229" t="e">
        <f>VLOOKUP($I289,Lieu_Activité!$A:$B,2,FALSE)</f>
        <v>#N/A</v>
      </c>
      <c r="BU289" s="208" t="str">
        <f t="shared" si="347"/>
        <v>Aucun</v>
      </c>
      <c r="BV289" s="208" t="str">
        <f t="shared" si="348"/>
        <v>Aucun</v>
      </c>
      <c r="BW289" s="207" t="str">
        <f t="shared" si="349"/>
        <v>NON</v>
      </c>
      <c r="BX289" s="288"/>
    </row>
    <row r="290" spans="1:76" ht="12" customHeight="1" x14ac:dyDescent="0.25">
      <c r="A290" s="231" t="s">
        <v>307</v>
      </c>
      <c r="B290" s="234"/>
      <c r="C290" s="227"/>
      <c r="D290" s="257"/>
      <c r="E290" s="278">
        <f t="shared" ref="E290:E301" si="621">(L290-D290)/365</f>
        <v>0</v>
      </c>
      <c r="F290" s="278" t="str">
        <f t="shared" si="226"/>
        <v xml:space="preserve"> </v>
      </c>
      <c r="G290" s="256"/>
      <c r="H290" s="256"/>
      <c r="I290" s="256"/>
      <c r="J290" s="256"/>
      <c r="K290" s="256"/>
      <c r="L290" s="257"/>
      <c r="M290" s="243"/>
      <c r="N290" s="232"/>
      <c r="O290" s="232"/>
      <c r="P290" s="265" t="str">
        <f>IFERROR(VLOOKUP(O290,Références!$K$11:$N$19,2)," ")</f>
        <v xml:space="preserve"> </v>
      </c>
      <c r="Q290" s="265" t="str">
        <f>IFERROR(VLOOKUP(O290,Références!$K$11:$N$19,3)," ")</f>
        <v xml:space="preserve"> </v>
      </c>
      <c r="R290" s="265" t="str">
        <f>IFERROR(VLOOKUP(O290,Références!$K$11:$N$19,4)," ")</f>
        <v xml:space="preserve"> </v>
      </c>
      <c r="S290" s="256"/>
      <c r="T290" s="256"/>
      <c r="U290" s="256"/>
      <c r="V290" s="256"/>
      <c r="W290" s="256"/>
      <c r="X290" s="257"/>
      <c r="Y290" s="256"/>
      <c r="Z290" s="256"/>
      <c r="AA290" s="256"/>
      <c r="AB290" s="235"/>
      <c r="AC290" s="235"/>
      <c r="AD290" s="235"/>
      <c r="AE290" s="235"/>
      <c r="AF290" s="235"/>
      <c r="AG290" s="235"/>
      <c r="AH290" s="235"/>
      <c r="AI290" s="235">
        <f t="shared" ref="AI290:AI301" si="622">SUM(AF290,AH290)</f>
        <v>0</v>
      </c>
      <c r="AJ290" s="257"/>
      <c r="AK290" s="256">
        <f t="shared" ref="AK290:AK301" si="623">(AJ290-L290)</f>
        <v>0</v>
      </c>
      <c r="AL290" s="257"/>
      <c r="AM290" s="266">
        <f t="shared" ref="AM290:AM301" si="624">(AL290-L290)</f>
        <v>0</v>
      </c>
      <c r="AN290" s="256"/>
      <c r="AO290" s="276"/>
      <c r="AP290" s="261" t="str">
        <f t="shared" si="542"/>
        <v xml:space="preserve"> </v>
      </c>
      <c r="AQ290" s="256"/>
      <c r="AR290" s="295"/>
      <c r="AS290" s="295"/>
      <c r="AT290" s="263"/>
      <c r="AU290" s="277"/>
      <c r="AV290" s="263"/>
      <c r="AW290" s="230"/>
      <c r="AX290" s="300"/>
      <c r="AY290" s="301"/>
      <c r="AZ290" s="230"/>
      <c r="BA290" s="300"/>
      <c r="BB290" s="295"/>
      <c r="BC290" s="228">
        <f t="shared" ref="BC290:BD301" si="625">IF(BG290="Aucune",0,1)</f>
        <v>0</v>
      </c>
      <c r="BD290" s="228">
        <f t="shared" si="625"/>
        <v>0</v>
      </c>
      <c r="BE290" s="228">
        <f t="shared" si="219"/>
        <v>1</v>
      </c>
      <c r="BF290" s="228" t="str">
        <f t="shared" si="228"/>
        <v>ALIVE</v>
      </c>
      <c r="BG290" s="208" t="str">
        <f t="shared" si="220"/>
        <v>Aucune</v>
      </c>
      <c r="BH290" s="208" t="str">
        <f t="shared" si="221"/>
        <v>Aucune</v>
      </c>
      <c r="BI290" s="208" t="str">
        <f t="shared" si="222"/>
        <v>Aucune</v>
      </c>
      <c r="BJ290" s="208" t="str">
        <f t="shared" si="216"/>
        <v>NON</v>
      </c>
      <c r="BK290" s="208" t="str">
        <f t="shared" si="223"/>
        <v>NON</v>
      </c>
      <c r="BL290" s="208" t="str">
        <f t="shared" si="217"/>
        <v>Inconnu</v>
      </c>
      <c r="BM290" s="208" t="str">
        <f t="shared" ref="BM290:BM301" si="626">IF($O290&lt;&gt;"HTX",IF($O290&lt;&gt;"LVAD",BL290,"Inconnu"),"Inconnu")</f>
        <v>Inconnu</v>
      </c>
      <c r="BN290" s="208" t="str">
        <f t="shared" ref="BN290:BN301" si="627">IF($O290="HTX",BL290,IF($O290="LVAD",BL290,"Inconnu"))</f>
        <v>Inconnu</v>
      </c>
      <c r="BO290" s="208" t="str">
        <f t="shared" si="218"/>
        <v>Inconnu</v>
      </c>
      <c r="BP290" s="208" t="str">
        <f t="shared" ref="BP290:BP301" si="628">IF($O290&lt;&gt;"HTX",IF($O290&lt;&gt;"LVAD",BO290,"Inconnu"),"Inconnu")</f>
        <v>Inconnu</v>
      </c>
      <c r="BQ290" s="208" t="str">
        <f t="shared" ref="BQ290:BQ301" si="629">IF($O290="HTX",BO290,IF($O290="LVAD",BO290,"Inconnu"))</f>
        <v>Inconnu</v>
      </c>
      <c r="BR290" s="208" t="str">
        <f t="shared" ref="BR290:BR301" si="630">IF(BH290="Aucune",IF(BI290="Aucune","Aucune","Transfusé"),"Transfusé")</f>
        <v>Aucune</v>
      </c>
      <c r="BS290" s="208">
        <f t="shared" si="215"/>
        <v>0</v>
      </c>
      <c r="BT290" s="229" t="e">
        <f>VLOOKUP($I290,Lieu_Activité!$A:$B,2,FALSE)</f>
        <v>#N/A</v>
      </c>
      <c r="BU290" s="208" t="str">
        <f t="shared" si="224"/>
        <v>Aucun</v>
      </c>
      <c r="BV290" s="208" t="str">
        <f t="shared" si="225"/>
        <v>Aucun</v>
      </c>
      <c r="BW290" s="207" t="str">
        <f t="shared" ref="BW290:BW301" si="631">IF(M290="","NON","OUI")</f>
        <v>NON</v>
      </c>
      <c r="BX290" s="288"/>
    </row>
    <row r="291" spans="1:76" ht="12" customHeight="1" x14ac:dyDescent="0.25">
      <c r="A291" s="231" t="s">
        <v>259</v>
      </c>
      <c r="B291" s="234"/>
      <c r="C291" s="227"/>
      <c r="D291" s="257"/>
      <c r="E291" s="278">
        <f t="shared" si="621"/>
        <v>0</v>
      </c>
      <c r="F291" s="278" t="str">
        <f t="shared" si="226"/>
        <v xml:space="preserve"> </v>
      </c>
      <c r="G291" s="256"/>
      <c r="H291" s="256"/>
      <c r="I291" s="256"/>
      <c r="J291" s="256"/>
      <c r="K291" s="256"/>
      <c r="L291" s="257"/>
      <c r="M291" s="243"/>
      <c r="N291" s="232"/>
      <c r="O291" s="232"/>
      <c r="P291" s="265" t="str">
        <f>IFERROR(VLOOKUP(O291,Références!$K$11:$N$19,2)," ")</f>
        <v xml:space="preserve"> </v>
      </c>
      <c r="Q291" s="265" t="str">
        <f>IFERROR(VLOOKUP(O291,Références!$K$11:$N$19,3)," ")</f>
        <v xml:space="preserve"> </v>
      </c>
      <c r="R291" s="265" t="str">
        <f>IFERROR(VLOOKUP(O291,Références!$K$11:$N$19,4)," ")</f>
        <v xml:space="preserve"> </v>
      </c>
      <c r="S291" s="256"/>
      <c r="T291" s="256"/>
      <c r="U291" s="256"/>
      <c r="V291" s="256"/>
      <c r="W291" s="256"/>
      <c r="X291" s="257"/>
      <c r="Y291" s="256"/>
      <c r="Z291" s="256"/>
      <c r="AA291" s="256"/>
      <c r="AB291" s="235"/>
      <c r="AC291" s="235"/>
      <c r="AD291" s="235"/>
      <c r="AE291" s="235"/>
      <c r="AF291" s="235"/>
      <c r="AG291" s="235"/>
      <c r="AH291" s="235"/>
      <c r="AI291" s="235">
        <f t="shared" si="622"/>
        <v>0</v>
      </c>
      <c r="AJ291" s="257"/>
      <c r="AK291" s="256">
        <f t="shared" si="623"/>
        <v>0</v>
      </c>
      <c r="AL291" s="257"/>
      <c r="AM291" s="266">
        <f t="shared" si="624"/>
        <v>0</v>
      </c>
      <c r="AN291" s="256"/>
      <c r="AO291" s="276"/>
      <c r="AP291" s="261" t="str">
        <f t="shared" si="542"/>
        <v xml:space="preserve"> </v>
      </c>
      <c r="AQ291" s="256"/>
      <c r="AR291" s="295"/>
      <c r="AS291" s="295"/>
      <c r="AT291" s="263"/>
      <c r="AU291" s="277"/>
      <c r="AV291" s="263"/>
      <c r="AW291" s="230"/>
      <c r="AX291" s="300"/>
      <c r="AY291" s="301"/>
      <c r="AZ291" s="300"/>
      <c r="BA291" s="300"/>
      <c r="BB291" s="295"/>
      <c r="BC291" s="228">
        <f t="shared" si="625"/>
        <v>0</v>
      </c>
      <c r="BD291" s="228">
        <f t="shared" si="625"/>
        <v>0</v>
      </c>
      <c r="BE291" s="228">
        <f t="shared" si="219"/>
        <v>1</v>
      </c>
      <c r="BF291" s="228" t="str">
        <f t="shared" si="228"/>
        <v>ALIVE</v>
      </c>
      <c r="BG291" s="208" t="str">
        <f t="shared" si="220"/>
        <v>Aucune</v>
      </c>
      <c r="BH291" s="208" t="str">
        <f t="shared" si="221"/>
        <v>Aucune</v>
      </c>
      <c r="BI291" s="208" t="str">
        <f t="shared" si="222"/>
        <v>Aucune</v>
      </c>
      <c r="BJ291" s="208" t="str">
        <f t="shared" si="216"/>
        <v>NON</v>
      </c>
      <c r="BK291" s="208" t="str">
        <f t="shared" si="223"/>
        <v>NON</v>
      </c>
      <c r="BL291" s="208" t="str">
        <f t="shared" si="217"/>
        <v>Inconnu</v>
      </c>
      <c r="BM291" s="208" t="str">
        <f t="shared" si="626"/>
        <v>Inconnu</v>
      </c>
      <c r="BN291" s="208" t="str">
        <f t="shared" si="627"/>
        <v>Inconnu</v>
      </c>
      <c r="BO291" s="208" t="str">
        <f t="shared" si="218"/>
        <v>Inconnu</v>
      </c>
      <c r="BP291" s="208" t="str">
        <f t="shared" si="628"/>
        <v>Inconnu</v>
      </c>
      <c r="BQ291" s="208" t="str">
        <f t="shared" si="629"/>
        <v>Inconnu</v>
      </c>
      <c r="BR291" s="208" t="str">
        <f t="shared" si="630"/>
        <v>Aucune</v>
      </c>
      <c r="BS291" s="208">
        <f t="shared" si="215"/>
        <v>0</v>
      </c>
      <c r="BT291" s="229" t="e">
        <f>VLOOKUP($I291,Lieu_Activité!$A:$B,2,FALSE)</f>
        <v>#N/A</v>
      </c>
      <c r="BU291" s="208" t="str">
        <f t="shared" si="224"/>
        <v>Aucun</v>
      </c>
      <c r="BV291" s="208" t="str">
        <f t="shared" si="225"/>
        <v>Aucun</v>
      </c>
      <c r="BW291" s="207" t="str">
        <f t="shared" si="631"/>
        <v>NON</v>
      </c>
      <c r="BX291" s="288"/>
    </row>
    <row r="292" spans="1:76" ht="12" customHeight="1" x14ac:dyDescent="0.25">
      <c r="A292" s="231" t="s">
        <v>259</v>
      </c>
      <c r="B292" s="234"/>
      <c r="C292" s="227"/>
      <c r="D292" s="257"/>
      <c r="E292" s="278">
        <f t="shared" ref="E292:E296" si="632">(L292-D292)/365</f>
        <v>0</v>
      </c>
      <c r="F292" s="278" t="str">
        <f t="shared" ref="F292:F296" si="633">IF(E292&lt;80," ","1")</f>
        <v xml:space="preserve"> </v>
      </c>
      <c r="G292" s="256"/>
      <c r="H292" s="256"/>
      <c r="I292" s="256"/>
      <c r="J292" s="256"/>
      <c r="K292" s="256"/>
      <c r="L292" s="257"/>
      <c r="M292" s="243"/>
      <c r="N292" s="232"/>
      <c r="O292" s="232"/>
      <c r="P292" s="265" t="str">
        <f>IFERROR(VLOOKUP(O292,Références!$K$11:$N$19,2)," ")</f>
        <v xml:space="preserve"> </v>
      </c>
      <c r="Q292" s="265" t="str">
        <f>IFERROR(VLOOKUP(O292,Références!$K$11:$N$19,3)," ")</f>
        <v xml:space="preserve"> </v>
      </c>
      <c r="R292" s="265" t="str">
        <f>IFERROR(VLOOKUP(O292,Références!$K$11:$N$19,4)," ")</f>
        <v xml:space="preserve"> </v>
      </c>
      <c r="S292" s="256"/>
      <c r="T292" s="256"/>
      <c r="U292" s="256"/>
      <c r="V292" s="256"/>
      <c r="W292" s="256"/>
      <c r="X292" s="257"/>
      <c r="Y292" s="256"/>
      <c r="Z292" s="256"/>
      <c r="AA292" s="256"/>
      <c r="AB292" s="235"/>
      <c r="AC292" s="235"/>
      <c r="AD292" s="235"/>
      <c r="AE292" s="235"/>
      <c r="AF292" s="235"/>
      <c r="AG292" s="235"/>
      <c r="AH292" s="235"/>
      <c r="AI292" s="235">
        <f t="shared" ref="AI292:AI296" si="634">SUM(AF292,AH292)</f>
        <v>0</v>
      </c>
      <c r="AJ292" s="257"/>
      <c r="AK292" s="256">
        <f t="shared" ref="AK292:AK296" si="635">(AJ292-L292)</f>
        <v>0</v>
      </c>
      <c r="AL292" s="257"/>
      <c r="AM292" s="266">
        <f t="shared" ref="AM292:AM296" si="636">(AL292-L292)</f>
        <v>0</v>
      </c>
      <c r="AN292" s="256"/>
      <c r="AO292" s="276"/>
      <c r="AP292" s="261" t="str">
        <f t="shared" si="542"/>
        <v xml:space="preserve"> </v>
      </c>
      <c r="AQ292" s="256"/>
      <c r="AR292" s="295"/>
      <c r="AS292" s="295"/>
      <c r="AT292" s="263"/>
      <c r="AU292" s="277"/>
      <c r="AV292" s="263"/>
      <c r="AW292" s="230"/>
      <c r="AX292" s="300"/>
      <c r="AY292" s="301"/>
      <c r="AZ292" s="230"/>
      <c r="BA292" s="300"/>
      <c r="BB292" s="295"/>
      <c r="BC292" s="228">
        <f t="shared" ref="BC292:BC296" si="637">IF(BG292="Aucune",0,1)</f>
        <v>0</v>
      </c>
      <c r="BD292" s="228">
        <f t="shared" ref="BD292:BD296" si="638">IF(BH292="Aucune",0,1)</f>
        <v>0</v>
      </c>
      <c r="BE292" s="228">
        <f t="shared" ref="BE292:BE296" si="639">IF(AG292="Aucune",0,1)</f>
        <v>1</v>
      </c>
      <c r="BF292" s="228" t="str">
        <f t="shared" ref="BF292:BF296" si="640">IF(AO292=1,"ELECTIVE",IF(AO292=2,"URGENCY",IF(AO292=3,"EMERGENCY",IF(AO292=4,"SALVAGE","ALIVE"))))</f>
        <v>ALIVE</v>
      </c>
      <c r="BG292" s="208" t="str">
        <f t="shared" ref="BG292:BG296" si="641">IF(AD292="","Aucune","Infection")</f>
        <v>Aucune</v>
      </c>
      <c r="BH292" s="208" t="str">
        <f t="shared" ref="BH292:BH296" si="642">IF(AI292&gt;0,"Transfusion","Aucune")</f>
        <v>Aucune</v>
      </c>
      <c r="BI292" s="208" t="str">
        <f t="shared" ref="BI292:BI296" si="643">IF(AG292="","Aucune","Transfusé")</f>
        <v>Aucune</v>
      </c>
      <c r="BJ292" s="208" t="str">
        <f t="shared" ref="BJ292:BJ296" si="644">IF(X292&lt;&gt;"",IF(X292-L292&lt;2,"OUI","NON"),"NON")</f>
        <v>NON</v>
      </c>
      <c r="BK292" s="208" t="str">
        <f t="shared" ref="BK292:BK296" si="645">IF(AS292="","NON","OUI")</f>
        <v>NON</v>
      </c>
      <c r="BL292" s="208" t="str">
        <f t="shared" ref="BL292:BL296" si="646">IF(AL292-L292&gt;0,AL292-L292,"Inconnu")</f>
        <v>Inconnu</v>
      </c>
      <c r="BM292" s="208" t="str">
        <f t="shared" ref="BM292:BM296" si="647">IF($O292&lt;&gt;"HTX",IF($O292&lt;&gt;"LVAD",BL292,"Inconnu"),"Inconnu")</f>
        <v>Inconnu</v>
      </c>
      <c r="BN292" s="208" t="str">
        <f t="shared" ref="BN292:BN296" si="648">IF($O292="HTX",BL292,IF($O292="LVAD",BL292,"Inconnu"))</f>
        <v>Inconnu</v>
      </c>
      <c r="BO292" s="208" t="str">
        <f t="shared" ref="BO292:BO296" si="649">IF(AJ292-L292&gt;0,AJ292-L292,"Inconnu")</f>
        <v>Inconnu</v>
      </c>
      <c r="BP292" s="208" t="str">
        <f t="shared" ref="BP292:BP296" si="650">IF($O292&lt;&gt;"HTX",IF($O292&lt;&gt;"LVAD",BO292,"Inconnu"),"Inconnu")</f>
        <v>Inconnu</v>
      </c>
      <c r="BQ292" s="208" t="str">
        <f t="shared" ref="BQ292:BQ296" si="651">IF($O292="HTX",BO292,IF($O292="LVAD",BO292,"Inconnu"))</f>
        <v>Inconnu</v>
      </c>
      <c r="BR292" s="208" t="str">
        <f t="shared" ref="BR292:BR296" si="652">IF(BH292="Aucune",IF(BI292="Aucune","Aucune","Transfusé"),"Transfusé")</f>
        <v>Aucune</v>
      </c>
      <c r="BS292" s="208">
        <f t="shared" ref="BS292:BS296" si="653">AF292+AH292</f>
        <v>0</v>
      </c>
      <c r="BT292" s="229" t="e">
        <f>VLOOKUP($I292,Lieu_Activité!$A:$B,2,FALSE)</f>
        <v>#N/A</v>
      </c>
      <c r="BU292" s="208" t="str">
        <f t="shared" ref="BU292:BU296" si="654">IF(AB292="","Aucun","AVC")</f>
        <v>Aucun</v>
      </c>
      <c r="BV292" s="208" t="str">
        <f t="shared" ref="BV292:BV296" si="655">IF(AC292="","Aucun","IM")</f>
        <v>Aucun</v>
      </c>
      <c r="BW292" s="207" t="str">
        <f t="shared" ref="BW292:BW296" si="656">IF(M292="","NON","OUI")</f>
        <v>NON</v>
      </c>
      <c r="BX292" s="288"/>
    </row>
    <row r="293" spans="1:76" ht="12" customHeight="1" x14ac:dyDescent="0.25">
      <c r="A293" s="231" t="s">
        <v>259</v>
      </c>
      <c r="B293" s="234"/>
      <c r="C293" s="227"/>
      <c r="D293" s="257"/>
      <c r="E293" s="278">
        <f t="shared" si="632"/>
        <v>0</v>
      </c>
      <c r="F293" s="278" t="str">
        <f t="shared" si="633"/>
        <v xml:space="preserve"> </v>
      </c>
      <c r="G293" s="256"/>
      <c r="H293" s="256"/>
      <c r="I293" s="256"/>
      <c r="J293" s="256"/>
      <c r="K293" s="256"/>
      <c r="L293" s="257"/>
      <c r="M293" s="243"/>
      <c r="N293" s="232"/>
      <c r="O293" s="232"/>
      <c r="P293" s="265" t="str">
        <f>IFERROR(VLOOKUP(O293,Références!$K$11:$N$19,2)," ")</f>
        <v xml:space="preserve"> </v>
      </c>
      <c r="Q293" s="265" t="str">
        <f>IFERROR(VLOOKUP(O293,Références!$K$11:$N$19,3)," ")</f>
        <v xml:space="preserve"> </v>
      </c>
      <c r="R293" s="265" t="str">
        <f>IFERROR(VLOOKUP(O293,Références!$K$11:$N$19,4)," ")</f>
        <v xml:space="preserve"> </v>
      </c>
      <c r="S293" s="256"/>
      <c r="T293" s="256"/>
      <c r="U293" s="256"/>
      <c r="V293" s="256"/>
      <c r="W293" s="256"/>
      <c r="X293" s="257"/>
      <c r="Y293" s="256"/>
      <c r="Z293" s="256"/>
      <c r="AA293" s="256"/>
      <c r="AB293" s="235"/>
      <c r="AC293" s="235"/>
      <c r="AD293" s="235"/>
      <c r="AE293" s="235"/>
      <c r="AF293" s="235"/>
      <c r="AG293" s="235"/>
      <c r="AH293" s="235"/>
      <c r="AI293" s="235">
        <f t="shared" si="634"/>
        <v>0</v>
      </c>
      <c r="AJ293" s="257"/>
      <c r="AK293" s="256">
        <f t="shared" si="635"/>
        <v>0</v>
      </c>
      <c r="AL293" s="257"/>
      <c r="AM293" s="266">
        <f t="shared" si="636"/>
        <v>0</v>
      </c>
      <c r="AN293" s="256"/>
      <c r="AO293" s="276"/>
      <c r="AP293" s="261" t="str">
        <f t="shared" si="542"/>
        <v xml:space="preserve"> </v>
      </c>
      <c r="AQ293" s="256"/>
      <c r="AR293" s="295"/>
      <c r="AS293" s="295"/>
      <c r="AT293" s="263"/>
      <c r="AU293" s="277"/>
      <c r="AV293" s="263"/>
      <c r="AW293" s="230"/>
      <c r="AX293" s="300"/>
      <c r="AY293" s="301"/>
      <c r="AZ293" s="230"/>
      <c r="BA293" s="300"/>
      <c r="BB293" s="295"/>
      <c r="BC293" s="228">
        <f t="shared" si="637"/>
        <v>0</v>
      </c>
      <c r="BD293" s="228">
        <f t="shared" si="638"/>
        <v>0</v>
      </c>
      <c r="BE293" s="228">
        <f t="shared" si="639"/>
        <v>1</v>
      </c>
      <c r="BF293" s="228" t="str">
        <f t="shared" si="640"/>
        <v>ALIVE</v>
      </c>
      <c r="BG293" s="208" t="str">
        <f t="shared" si="641"/>
        <v>Aucune</v>
      </c>
      <c r="BH293" s="208" t="str">
        <f t="shared" si="642"/>
        <v>Aucune</v>
      </c>
      <c r="BI293" s="208" t="str">
        <f t="shared" si="643"/>
        <v>Aucune</v>
      </c>
      <c r="BJ293" s="208" t="str">
        <f t="shared" si="644"/>
        <v>NON</v>
      </c>
      <c r="BK293" s="208" t="str">
        <f t="shared" si="645"/>
        <v>NON</v>
      </c>
      <c r="BL293" s="208" t="str">
        <f t="shared" si="646"/>
        <v>Inconnu</v>
      </c>
      <c r="BM293" s="208" t="str">
        <f t="shared" si="647"/>
        <v>Inconnu</v>
      </c>
      <c r="BN293" s="208" t="str">
        <f t="shared" si="648"/>
        <v>Inconnu</v>
      </c>
      <c r="BO293" s="208" t="str">
        <f t="shared" si="649"/>
        <v>Inconnu</v>
      </c>
      <c r="BP293" s="208" t="str">
        <f t="shared" si="650"/>
        <v>Inconnu</v>
      </c>
      <c r="BQ293" s="208" t="str">
        <f t="shared" si="651"/>
        <v>Inconnu</v>
      </c>
      <c r="BR293" s="208" t="str">
        <f t="shared" si="652"/>
        <v>Aucune</v>
      </c>
      <c r="BS293" s="208">
        <f t="shared" si="653"/>
        <v>0</v>
      </c>
      <c r="BT293" s="229" t="e">
        <f>VLOOKUP($I293,Lieu_Activité!$A:$B,2,FALSE)</f>
        <v>#N/A</v>
      </c>
      <c r="BU293" s="208" t="str">
        <f t="shared" si="654"/>
        <v>Aucun</v>
      </c>
      <c r="BV293" s="208" t="str">
        <f t="shared" si="655"/>
        <v>Aucun</v>
      </c>
      <c r="BW293" s="207" t="str">
        <f t="shared" si="656"/>
        <v>NON</v>
      </c>
      <c r="BX293" s="288"/>
    </row>
    <row r="294" spans="1:76" ht="12" customHeight="1" x14ac:dyDescent="0.25">
      <c r="A294" s="231" t="s">
        <v>259</v>
      </c>
      <c r="B294" s="234"/>
      <c r="C294" s="227"/>
      <c r="D294" s="257"/>
      <c r="E294" s="278">
        <f t="shared" si="632"/>
        <v>0</v>
      </c>
      <c r="F294" s="278" t="str">
        <f t="shared" si="633"/>
        <v xml:space="preserve"> </v>
      </c>
      <c r="G294" s="256"/>
      <c r="H294" s="256"/>
      <c r="I294" s="256"/>
      <c r="J294" s="256"/>
      <c r="K294" s="256"/>
      <c r="L294" s="257"/>
      <c r="M294" s="243"/>
      <c r="N294" s="232"/>
      <c r="O294" s="232"/>
      <c r="P294" s="265" t="str">
        <f>IFERROR(VLOOKUP(O294,Références!$K$11:$N$19,2)," ")</f>
        <v xml:space="preserve"> </v>
      </c>
      <c r="Q294" s="265" t="str">
        <f>IFERROR(VLOOKUP(O294,Références!$K$11:$N$19,3)," ")</f>
        <v xml:space="preserve"> </v>
      </c>
      <c r="R294" s="265" t="str">
        <f>IFERROR(VLOOKUP(O294,Références!$K$11:$N$19,4)," ")</f>
        <v xml:space="preserve"> </v>
      </c>
      <c r="S294" s="256"/>
      <c r="T294" s="256"/>
      <c r="U294" s="256"/>
      <c r="V294" s="256"/>
      <c r="W294" s="256"/>
      <c r="X294" s="257"/>
      <c r="Y294" s="256"/>
      <c r="Z294" s="256"/>
      <c r="AA294" s="256"/>
      <c r="AB294" s="235"/>
      <c r="AC294" s="235"/>
      <c r="AD294" s="235"/>
      <c r="AE294" s="235"/>
      <c r="AF294" s="235"/>
      <c r="AG294" s="235"/>
      <c r="AH294" s="235"/>
      <c r="AI294" s="235">
        <f t="shared" si="634"/>
        <v>0</v>
      </c>
      <c r="AJ294" s="257"/>
      <c r="AK294" s="256">
        <f t="shared" si="635"/>
        <v>0</v>
      </c>
      <c r="AL294" s="257"/>
      <c r="AM294" s="266">
        <f t="shared" si="636"/>
        <v>0</v>
      </c>
      <c r="AN294" s="256"/>
      <c r="AO294" s="276"/>
      <c r="AP294" s="261" t="str">
        <f t="shared" si="542"/>
        <v xml:space="preserve"> </v>
      </c>
      <c r="AQ294" s="256"/>
      <c r="AR294" s="295"/>
      <c r="AS294" s="295"/>
      <c r="AT294" s="263"/>
      <c r="AU294" s="277"/>
      <c r="AV294" s="263"/>
      <c r="AW294" s="230"/>
      <c r="AX294" s="300"/>
      <c r="AY294" s="301"/>
      <c r="AZ294" s="230"/>
      <c r="BA294" s="300"/>
      <c r="BB294" s="295"/>
      <c r="BC294" s="228">
        <f t="shared" si="637"/>
        <v>0</v>
      </c>
      <c r="BD294" s="228">
        <f t="shared" si="638"/>
        <v>0</v>
      </c>
      <c r="BE294" s="228">
        <f t="shared" si="639"/>
        <v>1</v>
      </c>
      <c r="BF294" s="228" t="str">
        <f t="shared" si="640"/>
        <v>ALIVE</v>
      </c>
      <c r="BG294" s="208" t="str">
        <f t="shared" si="641"/>
        <v>Aucune</v>
      </c>
      <c r="BH294" s="208" t="str">
        <f t="shared" si="642"/>
        <v>Aucune</v>
      </c>
      <c r="BI294" s="208" t="str">
        <f t="shared" si="643"/>
        <v>Aucune</v>
      </c>
      <c r="BJ294" s="208" t="str">
        <f t="shared" si="644"/>
        <v>NON</v>
      </c>
      <c r="BK294" s="208" t="str">
        <f t="shared" si="645"/>
        <v>NON</v>
      </c>
      <c r="BL294" s="208" t="str">
        <f t="shared" si="646"/>
        <v>Inconnu</v>
      </c>
      <c r="BM294" s="208" t="str">
        <f t="shared" si="647"/>
        <v>Inconnu</v>
      </c>
      <c r="BN294" s="208" t="str">
        <f t="shared" si="648"/>
        <v>Inconnu</v>
      </c>
      <c r="BO294" s="208" t="str">
        <f t="shared" si="649"/>
        <v>Inconnu</v>
      </c>
      <c r="BP294" s="208" t="str">
        <f t="shared" si="650"/>
        <v>Inconnu</v>
      </c>
      <c r="BQ294" s="208" t="str">
        <f t="shared" si="651"/>
        <v>Inconnu</v>
      </c>
      <c r="BR294" s="208" t="str">
        <f t="shared" si="652"/>
        <v>Aucune</v>
      </c>
      <c r="BS294" s="208">
        <f t="shared" si="653"/>
        <v>0</v>
      </c>
      <c r="BT294" s="229" t="e">
        <f>VLOOKUP($I294,Lieu_Activité!$A:$B,2,FALSE)</f>
        <v>#N/A</v>
      </c>
      <c r="BU294" s="208" t="str">
        <f t="shared" si="654"/>
        <v>Aucun</v>
      </c>
      <c r="BV294" s="208" t="str">
        <f t="shared" si="655"/>
        <v>Aucun</v>
      </c>
      <c r="BW294" s="207" t="str">
        <f t="shared" si="656"/>
        <v>NON</v>
      </c>
      <c r="BX294" s="288"/>
    </row>
    <row r="295" spans="1:76" ht="12" customHeight="1" x14ac:dyDescent="0.25">
      <c r="A295" s="231" t="s">
        <v>259</v>
      </c>
      <c r="B295" s="234"/>
      <c r="C295" s="227"/>
      <c r="D295" s="257"/>
      <c r="E295" s="278">
        <f t="shared" si="632"/>
        <v>0</v>
      </c>
      <c r="F295" s="278" t="str">
        <f t="shared" si="633"/>
        <v xml:space="preserve"> </v>
      </c>
      <c r="G295" s="256"/>
      <c r="H295" s="256"/>
      <c r="I295" s="256"/>
      <c r="J295" s="256"/>
      <c r="K295" s="256"/>
      <c r="L295" s="257"/>
      <c r="M295" s="243"/>
      <c r="N295" s="232"/>
      <c r="O295" s="232"/>
      <c r="P295" s="265" t="str">
        <f>IFERROR(VLOOKUP(O295,Références!$K$11:$N$19,2)," ")</f>
        <v xml:space="preserve"> </v>
      </c>
      <c r="Q295" s="265" t="str">
        <f>IFERROR(VLOOKUP(O295,Références!$K$11:$N$19,3)," ")</f>
        <v xml:space="preserve"> </v>
      </c>
      <c r="R295" s="265" t="str">
        <f>IFERROR(VLOOKUP(O295,Références!$K$11:$N$19,4)," ")</f>
        <v xml:space="preserve"> </v>
      </c>
      <c r="S295" s="256"/>
      <c r="T295" s="256"/>
      <c r="U295" s="256"/>
      <c r="V295" s="256"/>
      <c r="W295" s="256"/>
      <c r="X295" s="257"/>
      <c r="Y295" s="256"/>
      <c r="Z295" s="256"/>
      <c r="AA295" s="256"/>
      <c r="AB295" s="235"/>
      <c r="AC295" s="235"/>
      <c r="AD295" s="235"/>
      <c r="AE295" s="235"/>
      <c r="AF295" s="235"/>
      <c r="AG295" s="235"/>
      <c r="AH295" s="235"/>
      <c r="AI295" s="235">
        <f t="shared" si="634"/>
        <v>0</v>
      </c>
      <c r="AJ295" s="257"/>
      <c r="AK295" s="256">
        <f t="shared" si="635"/>
        <v>0</v>
      </c>
      <c r="AL295" s="257"/>
      <c r="AM295" s="266">
        <f t="shared" si="636"/>
        <v>0</v>
      </c>
      <c r="AN295" s="256"/>
      <c r="AO295" s="276"/>
      <c r="AP295" s="261" t="str">
        <f t="shared" si="542"/>
        <v xml:space="preserve"> </v>
      </c>
      <c r="AQ295" s="256"/>
      <c r="AR295" s="295"/>
      <c r="AS295" s="295"/>
      <c r="AT295" s="263"/>
      <c r="AU295" s="277"/>
      <c r="AV295" s="263"/>
      <c r="AW295" s="230"/>
      <c r="AX295" s="300"/>
      <c r="AY295" s="301"/>
      <c r="AZ295" s="230"/>
      <c r="BA295" s="300"/>
      <c r="BB295" s="295"/>
      <c r="BC295" s="228">
        <f t="shared" si="637"/>
        <v>0</v>
      </c>
      <c r="BD295" s="228">
        <f t="shared" si="638"/>
        <v>0</v>
      </c>
      <c r="BE295" s="228">
        <f t="shared" si="639"/>
        <v>1</v>
      </c>
      <c r="BF295" s="228" t="str">
        <f t="shared" si="640"/>
        <v>ALIVE</v>
      </c>
      <c r="BG295" s="208" t="str">
        <f t="shared" si="641"/>
        <v>Aucune</v>
      </c>
      <c r="BH295" s="208" t="str">
        <f t="shared" si="642"/>
        <v>Aucune</v>
      </c>
      <c r="BI295" s="208" t="str">
        <f t="shared" si="643"/>
        <v>Aucune</v>
      </c>
      <c r="BJ295" s="208" t="str">
        <f t="shared" si="644"/>
        <v>NON</v>
      </c>
      <c r="BK295" s="208" t="str">
        <f t="shared" si="645"/>
        <v>NON</v>
      </c>
      <c r="BL295" s="208" t="str">
        <f t="shared" si="646"/>
        <v>Inconnu</v>
      </c>
      <c r="BM295" s="208" t="str">
        <f t="shared" si="647"/>
        <v>Inconnu</v>
      </c>
      <c r="BN295" s="208" t="str">
        <f t="shared" si="648"/>
        <v>Inconnu</v>
      </c>
      <c r="BO295" s="208" t="str">
        <f t="shared" si="649"/>
        <v>Inconnu</v>
      </c>
      <c r="BP295" s="208" t="str">
        <f t="shared" si="650"/>
        <v>Inconnu</v>
      </c>
      <c r="BQ295" s="208" t="str">
        <f t="shared" si="651"/>
        <v>Inconnu</v>
      </c>
      <c r="BR295" s="208" t="str">
        <f t="shared" si="652"/>
        <v>Aucune</v>
      </c>
      <c r="BS295" s="208">
        <f t="shared" si="653"/>
        <v>0</v>
      </c>
      <c r="BT295" s="229" t="e">
        <f>VLOOKUP($I295,Lieu_Activité!$A:$B,2,FALSE)</f>
        <v>#N/A</v>
      </c>
      <c r="BU295" s="208" t="str">
        <f t="shared" si="654"/>
        <v>Aucun</v>
      </c>
      <c r="BV295" s="208" t="str">
        <f t="shared" si="655"/>
        <v>Aucun</v>
      </c>
      <c r="BW295" s="207" t="str">
        <f t="shared" si="656"/>
        <v>NON</v>
      </c>
      <c r="BX295" s="288"/>
    </row>
    <row r="296" spans="1:76" ht="12" customHeight="1" x14ac:dyDescent="0.25">
      <c r="A296" s="231" t="s">
        <v>259</v>
      </c>
      <c r="B296" s="234"/>
      <c r="C296" s="227"/>
      <c r="D296" s="257"/>
      <c r="E296" s="278">
        <f t="shared" si="632"/>
        <v>0</v>
      </c>
      <c r="F296" s="278" t="str">
        <f t="shared" si="633"/>
        <v xml:space="preserve"> </v>
      </c>
      <c r="G296" s="256"/>
      <c r="H296" s="256"/>
      <c r="I296" s="256"/>
      <c r="J296" s="256"/>
      <c r="K296" s="256"/>
      <c r="L296" s="257"/>
      <c r="M296" s="243"/>
      <c r="N296" s="232"/>
      <c r="O296" s="232"/>
      <c r="P296" s="265" t="str">
        <f>IFERROR(VLOOKUP(O296,Références!$K$11:$N$19,2)," ")</f>
        <v xml:space="preserve"> </v>
      </c>
      <c r="Q296" s="265" t="str">
        <f>IFERROR(VLOOKUP(O296,Références!$K$11:$N$19,3)," ")</f>
        <v xml:space="preserve"> </v>
      </c>
      <c r="R296" s="265" t="str">
        <f>IFERROR(VLOOKUP(O296,Références!$K$11:$N$19,4)," ")</f>
        <v xml:space="preserve"> </v>
      </c>
      <c r="S296" s="256"/>
      <c r="T296" s="256"/>
      <c r="U296" s="256"/>
      <c r="V296" s="256"/>
      <c r="W296" s="256"/>
      <c r="X296" s="257"/>
      <c r="Y296" s="256"/>
      <c r="Z296" s="256"/>
      <c r="AA296" s="256"/>
      <c r="AB296" s="235"/>
      <c r="AC296" s="235"/>
      <c r="AD296" s="235"/>
      <c r="AE296" s="235"/>
      <c r="AF296" s="235"/>
      <c r="AG296" s="235"/>
      <c r="AH296" s="235"/>
      <c r="AI296" s="235">
        <f t="shared" si="634"/>
        <v>0</v>
      </c>
      <c r="AJ296" s="257"/>
      <c r="AK296" s="256">
        <f t="shared" si="635"/>
        <v>0</v>
      </c>
      <c r="AL296" s="257"/>
      <c r="AM296" s="266">
        <f t="shared" si="636"/>
        <v>0</v>
      </c>
      <c r="AN296" s="256"/>
      <c r="AO296" s="276"/>
      <c r="AP296" s="261" t="str">
        <f t="shared" si="542"/>
        <v xml:space="preserve"> </v>
      </c>
      <c r="AQ296" s="256"/>
      <c r="AR296" s="295"/>
      <c r="AS296" s="295"/>
      <c r="AT296" s="263"/>
      <c r="AU296" s="277"/>
      <c r="AV296" s="263"/>
      <c r="AW296" s="230"/>
      <c r="AX296" s="300"/>
      <c r="AY296" s="301"/>
      <c r="AZ296" s="230"/>
      <c r="BA296" s="300"/>
      <c r="BB296" s="295"/>
      <c r="BC296" s="228">
        <f t="shared" si="637"/>
        <v>0</v>
      </c>
      <c r="BD296" s="228">
        <f t="shared" si="638"/>
        <v>0</v>
      </c>
      <c r="BE296" s="228">
        <f t="shared" si="639"/>
        <v>1</v>
      </c>
      <c r="BF296" s="228" t="str">
        <f t="shared" si="640"/>
        <v>ALIVE</v>
      </c>
      <c r="BG296" s="208" t="str">
        <f t="shared" si="641"/>
        <v>Aucune</v>
      </c>
      <c r="BH296" s="208" t="str">
        <f t="shared" si="642"/>
        <v>Aucune</v>
      </c>
      <c r="BI296" s="208" t="str">
        <f t="shared" si="643"/>
        <v>Aucune</v>
      </c>
      <c r="BJ296" s="208" t="str">
        <f t="shared" si="644"/>
        <v>NON</v>
      </c>
      <c r="BK296" s="208" t="str">
        <f t="shared" si="645"/>
        <v>NON</v>
      </c>
      <c r="BL296" s="208" t="str">
        <f t="shared" si="646"/>
        <v>Inconnu</v>
      </c>
      <c r="BM296" s="208" t="str">
        <f t="shared" si="647"/>
        <v>Inconnu</v>
      </c>
      <c r="BN296" s="208" t="str">
        <f t="shared" si="648"/>
        <v>Inconnu</v>
      </c>
      <c r="BO296" s="208" t="str">
        <f t="shared" si="649"/>
        <v>Inconnu</v>
      </c>
      <c r="BP296" s="208" t="str">
        <f t="shared" si="650"/>
        <v>Inconnu</v>
      </c>
      <c r="BQ296" s="208" t="str">
        <f t="shared" si="651"/>
        <v>Inconnu</v>
      </c>
      <c r="BR296" s="208" t="str">
        <f t="shared" si="652"/>
        <v>Aucune</v>
      </c>
      <c r="BS296" s="208">
        <f t="shared" si="653"/>
        <v>0</v>
      </c>
      <c r="BT296" s="229" t="e">
        <f>VLOOKUP($I296,Lieu_Activité!$A:$B,2,FALSE)</f>
        <v>#N/A</v>
      </c>
      <c r="BU296" s="208" t="str">
        <f t="shared" si="654"/>
        <v>Aucun</v>
      </c>
      <c r="BV296" s="208" t="str">
        <f t="shared" si="655"/>
        <v>Aucun</v>
      </c>
      <c r="BW296" s="207" t="str">
        <f t="shared" si="656"/>
        <v>NON</v>
      </c>
      <c r="BX296" s="288"/>
    </row>
    <row r="297" spans="1:76" ht="12.75" customHeight="1" x14ac:dyDescent="0.25">
      <c r="A297" s="231" t="s">
        <v>259</v>
      </c>
      <c r="B297" s="234"/>
      <c r="C297" s="227"/>
      <c r="D297" s="257"/>
      <c r="E297" s="278">
        <f t="shared" si="621"/>
        <v>0</v>
      </c>
      <c r="F297" s="278" t="str">
        <f t="shared" si="226"/>
        <v xml:space="preserve"> </v>
      </c>
      <c r="G297" s="256"/>
      <c r="H297" s="256"/>
      <c r="I297" s="256"/>
      <c r="J297" s="256"/>
      <c r="K297" s="256"/>
      <c r="L297" s="257"/>
      <c r="M297" s="243"/>
      <c r="N297" s="232"/>
      <c r="O297" s="232"/>
      <c r="P297" s="265" t="str">
        <f>IFERROR(VLOOKUP(O297,Références!$K$11:$N$19,2)," ")</f>
        <v xml:space="preserve"> </v>
      </c>
      <c r="Q297" s="265" t="str">
        <f>IFERROR(VLOOKUP(O297,Références!$K$11:$N$19,3)," ")</f>
        <v xml:space="preserve"> </v>
      </c>
      <c r="R297" s="265" t="str">
        <f>IFERROR(VLOOKUP(O297,Références!$K$11:$N$19,4)," ")</f>
        <v xml:space="preserve"> </v>
      </c>
      <c r="S297" s="256"/>
      <c r="T297" s="256"/>
      <c r="U297" s="256"/>
      <c r="V297" s="256"/>
      <c r="W297" s="256"/>
      <c r="X297" s="257"/>
      <c r="Y297" s="256"/>
      <c r="Z297" s="256"/>
      <c r="AA297" s="256"/>
      <c r="AB297" s="235"/>
      <c r="AC297" s="235"/>
      <c r="AD297" s="235"/>
      <c r="AE297" s="235"/>
      <c r="AF297" s="235"/>
      <c r="AG297" s="235"/>
      <c r="AH297" s="235"/>
      <c r="AI297" s="235">
        <f t="shared" si="622"/>
        <v>0</v>
      </c>
      <c r="AJ297" s="257"/>
      <c r="AK297" s="256">
        <f t="shared" si="623"/>
        <v>0</v>
      </c>
      <c r="AL297" s="257"/>
      <c r="AM297" s="266">
        <f t="shared" si="624"/>
        <v>0</v>
      </c>
      <c r="AN297" s="256"/>
      <c r="AO297" s="276"/>
      <c r="AP297" s="261" t="str">
        <f t="shared" si="542"/>
        <v xml:space="preserve"> </v>
      </c>
      <c r="AQ297" s="256"/>
      <c r="AR297" s="295"/>
      <c r="AS297" s="295"/>
      <c r="AT297" s="263"/>
      <c r="AU297" s="277"/>
      <c r="AV297" s="263"/>
      <c r="AW297" s="230"/>
      <c r="AX297" s="300"/>
      <c r="AY297" s="301"/>
      <c r="AZ297" s="230"/>
      <c r="BA297" s="300"/>
      <c r="BB297" s="295"/>
      <c r="BC297" s="228">
        <f t="shared" si="625"/>
        <v>0</v>
      </c>
      <c r="BD297" s="228">
        <f t="shared" si="625"/>
        <v>0</v>
      </c>
      <c r="BE297" s="228">
        <f t="shared" si="219"/>
        <v>1</v>
      </c>
      <c r="BF297" s="228" t="str">
        <f t="shared" si="228"/>
        <v>ALIVE</v>
      </c>
      <c r="BG297" s="208" t="str">
        <f t="shared" si="220"/>
        <v>Aucune</v>
      </c>
      <c r="BH297" s="208" t="str">
        <f t="shared" si="221"/>
        <v>Aucune</v>
      </c>
      <c r="BI297" s="208" t="str">
        <f t="shared" si="222"/>
        <v>Aucune</v>
      </c>
      <c r="BJ297" s="208" t="str">
        <f t="shared" si="216"/>
        <v>NON</v>
      </c>
      <c r="BK297" s="208" t="str">
        <f t="shared" si="223"/>
        <v>NON</v>
      </c>
      <c r="BL297" s="208" t="str">
        <f t="shared" si="217"/>
        <v>Inconnu</v>
      </c>
      <c r="BM297" s="208" t="str">
        <f t="shared" si="626"/>
        <v>Inconnu</v>
      </c>
      <c r="BN297" s="208" t="str">
        <f t="shared" si="627"/>
        <v>Inconnu</v>
      </c>
      <c r="BO297" s="208" t="str">
        <f t="shared" si="218"/>
        <v>Inconnu</v>
      </c>
      <c r="BP297" s="208" t="str">
        <f t="shared" si="628"/>
        <v>Inconnu</v>
      </c>
      <c r="BQ297" s="208" t="str">
        <f t="shared" si="629"/>
        <v>Inconnu</v>
      </c>
      <c r="BR297" s="208" t="str">
        <f t="shared" si="630"/>
        <v>Aucune</v>
      </c>
      <c r="BS297" s="208">
        <f t="shared" si="215"/>
        <v>0</v>
      </c>
      <c r="BT297" s="229" t="e">
        <f>VLOOKUP($I297,Lieu_Activité!$A:$B,2,FALSE)</f>
        <v>#N/A</v>
      </c>
      <c r="BU297" s="208" t="str">
        <f t="shared" si="224"/>
        <v>Aucun</v>
      </c>
      <c r="BV297" s="208" t="str">
        <f t="shared" si="225"/>
        <v>Aucun</v>
      </c>
      <c r="BW297" s="207" t="str">
        <f t="shared" si="631"/>
        <v>NON</v>
      </c>
      <c r="BX297" s="288"/>
    </row>
    <row r="298" spans="1:76" ht="12" customHeight="1" x14ac:dyDescent="0.25">
      <c r="A298" s="231" t="s">
        <v>259</v>
      </c>
      <c r="B298" s="234"/>
      <c r="C298" s="227"/>
      <c r="D298" s="257"/>
      <c r="E298" s="278">
        <f t="shared" si="621"/>
        <v>0</v>
      </c>
      <c r="F298" s="278" t="str">
        <f t="shared" si="226"/>
        <v xml:space="preserve"> </v>
      </c>
      <c r="G298" s="256"/>
      <c r="H298" s="256"/>
      <c r="I298" s="256"/>
      <c r="J298" s="256"/>
      <c r="K298" s="256"/>
      <c r="L298" s="257"/>
      <c r="M298" s="243"/>
      <c r="N298" s="232"/>
      <c r="O298" s="265"/>
      <c r="P298" s="265" t="str">
        <f>IFERROR(VLOOKUP(O298,Références!$K$11:$N$19,2)," ")</f>
        <v xml:space="preserve"> </v>
      </c>
      <c r="Q298" s="265" t="str">
        <f>IFERROR(VLOOKUP(O298,Références!$K$11:$N$19,3)," ")</f>
        <v xml:space="preserve"> </v>
      </c>
      <c r="R298" s="265" t="str">
        <f>IFERROR(VLOOKUP(O298,Références!$K$11:$N$19,4)," ")</f>
        <v xml:space="preserve"> </v>
      </c>
      <c r="S298" s="256"/>
      <c r="T298" s="256"/>
      <c r="U298" s="256"/>
      <c r="V298" s="256"/>
      <c r="W298" s="256"/>
      <c r="X298" s="257"/>
      <c r="Y298" s="256"/>
      <c r="Z298" s="256"/>
      <c r="AA298" s="256"/>
      <c r="AB298" s="235"/>
      <c r="AC298" s="235"/>
      <c r="AD298" s="235"/>
      <c r="AE298" s="235"/>
      <c r="AF298" s="235"/>
      <c r="AG298" s="235"/>
      <c r="AH298" s="235"/>
      <c r="AI298" s="235">
        <f t="shared" si="622"/>
        <v>0</v>
      </c>
      <c r="AJ298" s="257"/>
      <c r="AK298" s="256">
        <f t="shared" si="623"/>
        <v>0</v>
      </c>
      <c r="AL298" s="257"/>
      <c r="AM298" s="266">
        <f t="shared" si="624"/>
        <v>0</v>
      </c>
      <c r="AN298" s="256"/>
      <c r="AO298" s="276"/>
      <c r="AP298" s="261" t="str">
        <f t="shared" si="542"/>
        <v xml:space="preserve"> </v>
      </c>
      <c r="AQ298" s="256"/>
      <c r="AR298" s="295"/>
      <c r="AS298" s="295"/>
      <c r="AT298" s="263"/>
      <c r="AU298" s="277"/>
      <c r="AV298" s="263"/>
      <c r="AW298" s="230"/>
      <c r="AX298" s="300"/>
      <c r="AY298" s="301"/>
      <c r="AZ298" s="230"/>
      <c r="BA298" s="300"/>
      <c r="BB298" s="295"/>
      <c r="BC298" s="228">
        <f t="shared" si="625"/>
        <v>0</v>
      </c>
      <c r="BD298" s="228">
        <f t="shared" si="625"/>
        <v>0</v>
      </c>
      <c r="BE298" s="228">
        <f t="shared" si="219"/>
        <v>1</v>
      </c>
      <c r="BF298" s="228" t="str">
        <f t="shared" si="228"/>
        <v>ALIVE</v>
      </c>
      <c r="BG298" s="208" t="str">
        <f t="shared" si="220"/>
        <v>Aucune</v>
      </c>
      <c r="BH298" s="208" t="str">
        <f t="shared" si="221"/>
        <v>Aucune</v>
      </c>
      <c r="BI298" s="208" t="str">
        <f t="shared" si="222"/>
        <v>Aucune</v>
      </c>
      <c r="BJ298" s="208" t="str">
        <f t="shared" si="216"/>
        <v>NON</v>
      </c>
      <c r="BK298" s="208" t="str">
        <f t="shared" si="223"/>
        <v>NON</v>
      </c>
      <c r="BL298" s="208" t="str">
        <f t="shared" si="217"/>
        <v>Inconnu</v>
      </c>
      <c r="BM298" s="208" t="str">
        <f t="shared" si="626"/>
        <v>Inconnu</v>
      </c>
      <c r="BN298" s="208" t="str">
        <f t="shared" si="627"/>
        <v>Inconnu</v>
      </c>
      <c r="BO298" s="208" t="str">
        <f t="shared" si="218"/>
        <v>Inconnu</v>
      </c>
      <c r="BP298" s="208" t="str">
        <f t="shared" si="628"/>
        <v>Inconnu</v>
      </c>
      <c r="BQ298" s="208" t="str">
        <f t="shared" si="629"/>
        <v>Inconnu</v>
      </c>
      <c r="BR298" s="208" t="str">
        <f t="shared" si="630"/>
        <v>Aucune</v>
      </c>
      <c r="BS298" s="208">
        <f t="shared" si="215"/>
        <v>0</v>
      </c>
      <c r="BT298" s="229" t="e">
        <f>VLOOKUP($I298,Lieu_Activité!$A:$B,2,FALSE)</f>
        <v>#N/A</v>
      </c>
      <c r="BU298" s="208" t="str">
        <f t="shared" si="224"/>
        <v>Aucun</v>
      </c>
      <c r="BV298" s="208" t="str">
        <f t="shared" si="225"/>
        <v>Aucun</v>
      </c>
      <c r="BW298" s="207" t="str">
        <f t="shared" si="631"/>
        <v>NON</v>
      </c>
      <c r="BX298" s="288"/>
    </row>
    <row r="299" spans="1:76" ht="12" customHeight="1" x14ac:dyDescent="0.25">
      <c r="A299" s="231" t="s">
        <v>259</v>
      </c>
      <c r="B299" s="234"/>
      <c r="C299" s="227"/>
      <c r="D299" s="257"/>
      <c r="E299" s="278">
        <f t="shared" si="621"/>
        <v>0</v>
      </c>
      <c r="F299" s="278" t="str">
        <f t="shared" si="226"/>
        <v xml:space="preserve"> </v>
      </c>
      <c r="G299" s="256"/>
      <c r="H299" s="256"/>
      <c r="I299" s="256"/>
      <c r="J299" s="256"/>
      <c r="K299" s="256"/>
      <c r="L299" s="257"/>
      <c r="M299" s="243"/>
      <c r="N299" s="232"/>
      <c r="O299" s="232"/>
      <c r="P299" s="265" t="str">
        <f>IFERROR(VLOOKUP(O299,Références!$K$11:$N$19,2)," ")</f>
        <v xml:space="preserve"> </v>
      </c>
      <c r="Q299" s="265" t="str">
        <f>IFERROR(VLOOKUP(O299,Références!$K$11:$N$19,3)," ")</f>
        <v xml:space="preserve"> </v>
      </c>
      <c r="R299" s="265" t="str">
        <f>IFERROR(VLOOKUP(O299,Références!$K$11:$N$19,4)," ")</f>
        <v xml:space="preserve"> </v>
      </c>
      <c r="S299" s="256"/>
      <c r="T299" s="256"/>
      <c r="U299" s="256"/>
      <c r="V299" s="256"/>
      <c r="W299" s="256"/>
      <c r="X299" s="257"/>
      <c r="Y299" s="256"/>
      <c r="Z299" s="256"/>
      <c r="AA299" s="256"/>
      <c r="AB299" s="235"/>
      <c r="AC299" s="235"/>
      <c r="AD299" s="235"/>
      <c r="AE299" s="235"/>
      <c r="AF299" s="235"/>
      <c r="AG299" s="235"/>
      <c r="AH299" s="235"/>
      <c r="AI299" s="235">
        <f t="shared" si="622"/>
        <v>0</v>
      </c>
      <c r="AJ299" s="257"/>
      <c r="AK299" s="256">
        <f t="shared" si="623"/>
        <v>0</v>
      </c>
      <c r="AL299" s="257"/>
      <c r="AM299" s="266">
        <f t="shared" si="624"/>
        <v>0</v>
      </c>
      <c r="AN299" s="256"/>
      <c r="AO299" s="276"/>
      <c r="AP299" s="261" t="str">
        <f t="shared" si="542"/>
        <v xml:space="preserve"> </v>
      </c>
      <c r="AQ299" s="256"/>
      <c r="AR299" s="295"/>
      <c r="AS299" s="295"/>
      <c r="AT299" s="263"/>
      <c r="AU299" s="277"/>
      <c r="AV299" s="263"/>
      <c r="AW299" s="230"/>
      <c r="AX299" s="300"/>
      <c r="AY299" s="301"/>
      <c r="AZ299" s="230"/>
      <c r="BA299" s="300"/>
      <c r="BB299" s="295"/>
      <c r="BC299" s="228">
        <f t="shared" si="625"/>
        <v>0</v>
      </c>
      <c r="BD299" s="228">
        <f t="shared" si="625"/>
        <v>0</v>
      </c>
      <c r="BE299" s="228">
        <f t="shared" si="219"/>
        <v>1</v>
      </c>
      <c r="BF299" s="228" t="str">
        <f t="shared" si="228"/>
        <v>ALIVE</v>
      </c>
      <c r="BG299" s="208" t="str">
        <f t="shared" si="220"/>
        <v>Aucune</v>
      </c>
      <c r="BH299" s="208" t="str">
        <f t="shared" si="221"/>
        <v>Aucune</v>
      </c>
      <c r="BI299" s="208" t="str">
        <f t="shared" si="222"/>
        <v>Aucune</v>
      </c>
      <c r="BJ299" s="208" t="str">
        <f t="shared" si="216"/>
        <v>NON</v>
      </c>
      <c r="BK299" s="208" t="str">
        <f t="shared" si="223"/>
        <v>NON</v>
      </c>
      <c r="BL299" s="208" t="str">
        <f t="shared" si="217"/>
        <v>Inconnu</v>
      </c>
      <c r="BM299" s="208" t="str">
        <f t="shared" si="626"/>
        <v>Inconnu</v>
      </c>
      <c r="BN299" s="208" t="str">
        <f t="shared" si="627"/>
        <v>Inconnu</v>
      </c>
      <c r="BO299" s="208" t="str">
        <f t="shared" si="218"/>
        <v>Inconnu</v>
      </c>
      <c r="BP299" s="208" t="str">
        <f t="shared" si="628"/>
        <v>Inconnu</v>
      </c>
      <c r="BQ299" s="208" t="str">
        <f t="shared" si="629"/>
        <v>Inconnu</v>
      </c>
      <c r="BR299" s="208" t="str">
        <f t="shared" si="630"/>
        <v>Aucune</v>
      </c>
      <c r="BS299" s="208">
        <f t="shared" si="215"/>
        <v>0</v>
      </c>
      <c r="BT299" s="229" t="e">
        <f>VLOOKUP($I299,Lieu_Activité!$A:$B,2,FALSE)</f>
        <v>#N/A</v>
      </c>
      <c r="BU299" s="208" t="str">
        <f t="shared" si="224"/>
        <v>Aucun</v>
      </c>
      <c r="BV299" s="208" t="str">
        <f t="shared" si="225"/>
        <v>Aucun</v>
      </c>
      <c r="BW299" s="207" t="str">
        <f t="shared" si="631"/>
        <v>NON</v>
      </c>
      <c r="BX299" s="288"/>
    </row>
    <row r="300" spans="1:76" ht="12.75" customHeight="1" x14ac:dyDescent="0.25">
      <c r="A300" s="231" t="s">
        <v>259</v>
      </c>
      <c r="B300" s="234"/>
      <c r="C300" s="227"/>
      <c r="D300" s="257"/>
      <c r="E300" s="278">
        <f t="shared" si="621"/>
        <v>0</v>
      </c>
      <c r="F300" s="278" t="str">
        <f t="shared" si="226"/>
        <v xml:space="preserve"> </v>
      </c>
      <c r="G300" s="256"/>
      <c r="H300" s="256"/>
      <c r="I300" s="256"/>
      <c r="J300" s="256"/>
      <c r="K300" s="256"/>
      <c r="L300" s="257"/>
      <c r="M300" s="243"/>
      <c r="N300" s="232"/>
      <c r="O300" s="232"/>
      <c r="P300" s="265" t="str">
        <f>IFERROR(VLOOKUP(O300,Références!$K$11:$N$19,2)," ")</f>
        <v xml:space="preserve"> </v>
      </c>
      <c r="Q300" s="265" t="str">
        <f>IFERROR(VLOOKUP(O300,Références!$K$11:$N$19,3)," ")</f>
        <v xml:space="preserve"> </v>
      </c>
      <c r="R300" s="265" t="str">
        <f>IFERROR(VLOOKUP(O300,Références!$K$11:$N$19,4)," ")</f>
        <v xml:space="preserve"> </v>
      </c>
      <c r="S300" s="256"/>
      <c r="T300" s="256"/>
      <c r="U300" s="256"/>
      <c r="V300" s="256"/>
      <c r="W300" s="256"/>
      <c r="X300" s="257"/>
      <c r="Y300" s="256"/>
      <c r="Z300" s="256"/>
      <c r="AA300" s="256"/>
      <c r="AB300" s="235"/>
      <c r="AC300" s="235"/>
      <c r="AD300" s="235"/>
      <c r="AE300" s="235"/>
      <c r="AF300" s="235"/>
      <c r="AG300" s="235"/>
      <c r="AH300" s="235"/>
      <c r="AI300" s="235">
        <f t="shared" si="622"/>
        <v>0</v>
      </c>
      <c r="AJ300" s="257"/>
      <c r="AK300" s="256">
        <f t="shared" si="623"/>
        <v>0</v>
      </c>
      <c r="AL300" s="257"/>
      <c r="AM300" s="266">
        <f t="shared" si="624"/>
        <v>0</v>
      </c>
      <c r="AN300" s="256"/>
      <c r="AO300" s="276"/>
      <c r="AP300" s="261" t="str">
        <f t="shared" si="542"/>
        <v xml:space="preserve"> </v>
      </c>
      <c r="AQ300" s="256"/>
      <c r="AR300" s="295"/>
      <c r="AS300" s="295"/>
      <c r="AT300" s="263"/>
      <c r="AU300" s="277"/>
      <c r="AV300" s="263"/>
      <c r="AW300" s="230"/>
      <c r="AX300" s="300"/>
      <c r="AY300" s="301"/>
      <c r="AZ300" s="300"/>
      <c r="BA300" s="300"/>
      <c r="BB300" s="295"/>
      <c r="BC300" s="228">
        <f t="shared" si="625"/>
        <v>0</v>
      </c>
      <c r="BD300" s="228">
        <f t="shared" si="625"/>
        <v>0</v>
      </c>
      <c r="BE300" s="228">
        <f t="shared" si="219"/>
        <v>1</v>
      </c>
      <c r="BF300" s="228" t="str">
        <f t="shared" si="228"/>
        <v>ALIVE</v>
      </c>
      <c r="BG300" s="208" t="str">
        <f t="shared" si="220"/>
        <v>Aucune</v>
      </c>
      <c r="BH300" s="208" t="str">
        <f t="shared" si="221"/>
        <v>Aucune</v>
      </c>
      <c r="BI300" s="208" t="str">
        <f t="shared" si="222"/>
        <v>Aucune</v>
      </c>
      <c r="BJ300" s="208" t="str">
        <f t="shared" si="216"/>
        <v>NON</v>
      </c>
      <c r="BK300" s="208" t="str">
        <f t="shared" si="223"/>
        <v>NON</v>
      </c>
      <c r="BL300" s="208" t="str">
        <f t="shared" si="217"/>
        <v>Inconnu</v>
      </c>
      <c r="BM300" s="208" t="str">
        <f t="shared" si="626"/>
        <v>Inconnu</v>
      </c>
      <c r="BN300" s="208" t="str">
        <f t="shared" si="627"/>
        <v>Inconnu</v>
      </c>
      <c r="BO300" s="208" t="str">
        <f t="shared" si="218"/>
        <v>Inconnu</v>
      </c>
      <c r="BP300" s="208" t="str">
        <f t="shared" si="628"/>
        <v>Inconnu</v>
      </c>
      <c r="BQ300" s="208" t="str">
        <f t="shared" si="629"/>
        <v>Inconnu</v>
      </c>
      <c r="BR300" s="208" t="str">
        <f t="shared" si="630"/>
        <v>Aucune</v>
      </c>
      <c r="BS300" s="208">
        <f t="shared" si="215"/>
        <v>0</v>
      </c>
      <c r="BT300" s="229" t="e">
        <f>VLOOKUP($I300,Lieu_Activité!$A:$B,2,FALSE)</f>
        <v>#N/A</v>
      </c>
      <c r="BU300" s="208" t="str">
        <f t="shared" si="224"/>
        <v>Aucun</v>
      </c>
      <c r="BV300" s="208" t="str">
        <f t="shared" si="225"/>
        <v>Aucun</v>
      </c>
      <c r="BW300" s="207" t="str">
        <f t="shared" si="631"/>
        <v>NON</v>
      </c>
      <c r="BX300" s="288"/>
    </row>
    <row r="301" spans="1:76" ht="12" customHeight="1" x14ac:dyDescent="0.25">
      <c r="A301" s="231" t="s">
        <v>259</v>
      </c>
      <c r="B301" s="234"/>
      <c r="C301" s="227"/>
      <c r="D301" s="257"/>
      <c r="E301" s="278">
        <f t="shared" si="621"/>
        <v>0</v>
      </c>
      <c r="F301" s="278" t="str">
        <f t="shared" si="226"/>
        <v xml:space="preserve"> </v>
      </c>
      <c r="G301" s="256"/>
      <c r="H301" s="256"/>
      <c r="I301" s="256"/>
      <c r="J301" s="256"/>
      <c r="K301" s="256"/>
      <c r="L301" s="257"/>
      <c r="M301" s="243"/>
      <c r="N301" s="232"/>
      <c r="O301" s="232"/>
      <c r="P301" s="265" t="str">
        <f>IFERROR(VLOOKUP(O301,Références!$K$11:$N$19,2)," ")</f>
        <v xml:space="preserve"> </v>
      </c>
      <c r="Q301" s="265" t="str">
        <f>IFERROR(VLOOKUP(O301,Références!$K$11:$N$19,3)," ")</f>
        <v xml:space="preserve"> </v>
      </c>
      <c r="R301" s="265" t="str">
        <f>IFERROR(VLOOKUP(O301,Références!$K$11:$N$19,4)," ")</f>
        <v xml:space="preserve"> </v>
      </c>
      <c r="S301" s="256"/>
      <c r="T301" s="256"/>
      <c r="U301" s="256"/>
      <c r="V301" s="256"/>
      <c r="W301" s="256"/>
      <c r="X301" s="257"/>
      <c r="Y301" s="256"/>
      <c r="Z301" s="256"/>
      <c r="AA301" s="256"/>
      <c r="AB301" s="235"/>
      <c r="AC301" s="235"/>
      <c r="AD301" s="235"/>
      <c r="AE301" s="235"/>
      <c r="AF301" s="235"/>
      <c r="AG301" s="235"/>
      <c r="AH301" s="235"/>
      <c r="AI301" s="235">
        <f t="shared" si="622"/>
        <v>0</v>
      </c>
      <c r="AJ301" s="257"/>
      <c r="AK301" s="256">
        <f t="shared" si="623"/>
        <v>0</v>
      </c>
      <c r="AL301" s="257"/>
      <c r="AM301" s="266">
        <f t="shared" si="624"/>
        <v>0</v>
      </c>
      <c r="AN301" s="256"/>
      <c r="AO301" s="276"/>
      <c r="AP301" s="261" t="str">
        <f t="shared" si="542"/>
        <v xml:space="preserve"> </v>
      </c>
      <c r="AQ301" s="256"/>
      <c r="AR301" s="295"/>
      <c r="AS301" s="295"/>
      <c r="AT301" s="263"/>
      <c r="AU301" s="277"/>
      <c r="AV301" s="263"/>
      <c r="AW301" s="230"/>
      <c r="AX301" s="300"/>
      <c r="AY301" s="301"/>
      <c r="AZ301" s="230"/>
      <c r="BA301" s="300"/>
      <c r="BB301" s="295"/>
      <c r="BC301" s="228">
        <f t="shared" si="625"/>
        <v>0</v>
      </c>
      <c r="BD301" s="228">
        <f t="shared" si="625"/>
        <v>0</v>
      </c>
      <c r="BE301" s="228">
        <f t="shared" si="219"/>
        <v>1</v>
      </c>
      <c r="BF301" s="228" t="str">
        <f t="shared" si="228"/>
        <v>ALIVE</v>
      </c>
      <c r="BG301" s="208" t="str">
        <f t="shared" si="220"/>
        <v>Aucune</v>
      </c>
      <c r="BH301" s="208" t="str">
        <f t="shared" si="221"/>
        <v>Aucune</v>
      </c>
      <c r="BI301" s="208" t="str">
        <f t="shared" si="222"/>
        <v>Aucune</v>
      </c>
      <c r="BJ301" s="208" t="str">
        <f t="shared" ref="BJ301:BJ308" si="657">IF(X301&lt;&gt;"",IF(X301-L301&lt;2,"OUI","NON"),"NON")</f>
        <v>NON</v>
      </c>
      <c r="BK301" s="208" t="str">
        <f t="shared" si="223"/>
        <v>NON</v>
      </c>
      <c r="BL301" s="208" t="str">
        <f t="shared" ref="BL301:BL308" si="658">IF(AL301-L301&gt;0,AL301-L301,"Inconnu")</f>
        <v>Inconnu</v>
      </c>
      <c r="BM301" s="208" t="str">
        <f t="shared" si="626"/>
        <v>Inconnu</v>
      </c>
      <c r="BN301" s="208" t="str">
        <f t="shared" si="627"/>
        <v>Inconnu</v>
      </c>
      <c r="BO301" s="208" t="str">
        <f t="shared" ref="BO301:BO308" si="659">IF(AJ301-L301&gt;0,AJ301-L301,"Inconnu")</f>
        <v>Inconnu</v>
      </c>
      <c r="BP301" s="208" t="str">
        <f t="shared" si="628"/>
        <v>Inconnu</v>
      </c>
      <c r="BQ301" s="208" t="str">
        <f t="shared" si="629"/>
        <v>Inconnu</v>
      </c>
      <c r="BR301" s="208" t="str">
        <f t="shared" si="630"/>
        <v>Aucune</v>
      </c>
      <c r="BS301" s="208">
        <f t="shared" si="215"/>
        <v>0</v>
      </c>
      <c r="BT301" s="229" t="e">
        <f>VLOOKUP($I301,Lieu_Activité!$A:$B,2,FALSE)</f>
        <v>#N/A</v>
      </c>
      <c r="BU301" s="208" t="str">
        <f t="shared" si="224"/>
        <v>Aucun</v>
      </c>
      <c r="BV301" s="208" t="str">
        <f t="shared" si="225"/>
        <v>Aucun</v>
      </c>
      <c r="BW301" s="207" t="str">
        <f t="shared" si="631"/>
        <v>NON</v>
      </c>
      <c r="BX301" s="288"/>
    </row>
    <row r="302" spans="1:76" ht="12" customHeight="1" x14ac:dyDescent="0.25">
      <c r="A302" s="231" t="s">
        <v>259</v>
      </c>
      <c r="B302" s="234"/>
      <c r="C302" s="227"/>
      <c r="D302" s="257"/>
      <c r="E302" s="278">
        <f t="shared" ref="E302:E308" si="660">(L302-D302)/365</f>
        <v>0</v>
      </c>
      <c r="F302" s="278" t="str">
        <f t="shared" si="226"/>
        <v xml:space="preserve"> </v>
      </c>
      <c r="G302" s="256"/>
      <c r="H302" s="256"/>
      <c r="I302" s="256"/>
      <c r="J302" s="256"/>
      <c r="K302" s="256"/>
      <c r="L302" s="257"/>
      <c r="M302" s="243"/>
      <c r="N302" s="232"/>
      <c r="O302" s="232"/>
      <c r="P302" s="265" t="str">
        <f>IFERROR(VLOOKUP(O302,Références!$K$11:$N$19,2)," ")</f>
        <v xml:space="preserve"> </v>
      </c>
      <c r="Q302" s="265" t="str">
        <f>IFERROR(VLOOKUP(O302,Références!$K$11:$N$19,3)," ")</f>
        <v xml:space="preserve"> </v>
      </c>
      <c r="R302" s="265" t="str">
        <f>IFERROR(VLOOKUP(O302,Références!$K$11:$N$19,4)," ")</f>
        <v xml:space="preserve"> </v>
      </c>
      <c r="S302" s="256"/>
      <c r="T302" s="256"/>
      <c r="U302" s="256"/>
      <c r="V302" s="256"/>
      <c r="W302" s="256"/>
      <c r="X302" s="257"/>
      <c r="Y302" s="256"/>
      <c r="Z302" s="256"/>
      <c r="AA302" s="256"/>
      <c r="AB302" s="235"/>
      <c r="AC302" s="235"/>
      <c r="AD302" s="235"/>
      <c r="AE302" s="235"/>
      <c r="AF302" s="235"/>
      <c r="AG302" s="235"/>
      <c r="AH302" s="235"/>
      <c r="AI302" s="235">
        <f t="shared" ref="AI302:AI308" si="661">SUM(AF302,AH302)</f>
        <v>0</v>
      </c>
      <c r="AJ302" s="257"/>
      <c r="AK302" s="256">
        <f t="shared" ref="AK302:AK308" si="662">(AJ302-L302)</f>
        <v>0</v>
      </c>
      <c r="AL302" s="257"/>
      <c r="AM302" s="266">
        <f t="shared" ref="AM302:AM308" si="663">(AL302-L302)</f>
        <v>0</v>
      </c>
      <c r="AN302" s="256"/>
      <c r="AO302" s="276"/>
      <c r="AP302" s="261" t="str">
        <f t="shared" si="542"/>
        <v xml:space="preserve"> </v>
      </c>
      <c r="AQ302" s="256"/>
      <c r="AR302" s="295"/>
      <c r="AS302" s="295"/>
      <c r="AT302" s="263"/>
      <c r="AU302" s="277"/>
      <c r="AV302" s="263"/>
      <c r="AW302" s="230"/>
      <c r="AX302" s="300"/>
      <c r="AY302" s="301"/>
      <c r="AZ302" s="230"/>
      <c r="BA302" s="300"/>
      <c r="BB302" s="295"/>
      <c r="BC302" s="228">
        <f t="shared" ref="BC302:BC308" si="664">IF(BG302="Aucune",0,1)</f>
        <v>0</v>
      </c>
      <c r="BD302" s="228">
        <f t="shared" ref="BD302:BD308" si="665">IF(BH302="Aucune",0,1)</f>
        <v>0</v>
      </c>
      <c r="BE302" s="228">
        <f t="shared" si="219"/>
        <v>1</v>
      </c>
      <c r="BF302" s="228" t="str">
        <f t="shared" si="228"/>
        <v>ALIVE</v>
      </c>
      <c r="BG302" s="208" t="str">
        <f t="shared" si="220"/>
        <v>Aucune</v>
      </c>
      <c r="BH302" s="208" t="str">
        <f t="shared" si="221"/>
        <v>Aucune</v>
      </c>
      <c r="BI302" s="208" t="str">
        <f t="shared" si="222"/>
        <v>Aucune</v>
      </c>
      <c r="BJ302" s="208" t="str">
        <f t="shared" si="657"/>
        <v>NON</v>
      </c>
      <c r="BK302" s="208" t="str">
        <f t="shared" si="223"/>
        <v>NON</v>
      </c>
      <c r="BL302" s="208" t="str">
        <f t="shared" si="658"/>
        <v>Inconnu</v>
      </c>
      <c r="BM302" s="208" t="str">
        <f t="shared" ref="BM302:BM308" si="666">IF($O302&lt;&gt;"HTX",IF($O302&lt;&gt;"LVAD",BL302,"Inconnu"),"Inconnu")</f>
        <v>Inconnu</v>
      </c>
      <c r="BN302" s="208" t="str">
        <f t="shared" ref="BN302:BN308" si="667">IF($O302="HTX",BL302,IF($O302="LVAD",BL302,"Inconnu"))</f>
        <v>Inconnu</v>
      </c>
      <c r="BO302" s="208" t="str">
        <f t="shared" si="659"/>
        <v>Inconnu</v>
      </c>
      <c r="BP302" s="208" t="str">
        <f t="shared" ref="BP302:BP308" si="668">IF($O302&lt;&gt;"HTX",IF($O302&lt;&gt;"LVAD",BO302,"Inconnu"),"Inconnu")</f>
        <v>Inconnu</v>
      </c>
      <c r="BQ302" s="208" t="str">
        <f t="shared" ref="BQ302:BQ308" si="669">IF($O302="HTX",BO302,IF($O302="LVAD",BO302,"Inconnu"))</f>
        <v>Inconnu</v>
      </c>
      <c r="BR302" s="208" t="str">
        <f t="shared" ref="BR302:BR308" si="670">IF(BH302="Aucune",IF(BI302="Aucune","Aucune","Transfusé"),"Transfusé")</f>
        <v>Aucune</v>
      </c>
      <c r="BS302" s="208">
        <f t="shared" ref="BS302:BS308" si="671">AF302+AH302</f>
        <v>0</v>
      </c>
      <c r="BT302" s="229" t="e">
        <f>VLOOKUP($I302,Lieu_Activité!$A:$B,2,FALSE)</f>
        <v>#N/A</v>
      </c>
      <c r="BU302" s="208" t="str">
        <f t="shared" ref="BU302:BU308" si="672">IF(AB302="","Aucun","AVC")</f>
        <v>Aucun</v>
      </c>
      <c r="BV302" s="208" t="str">
        <f t="shared" si="225"/>
        <v>Aucun</v>
      </c>
      <c r="BW302" s="207" t="str">
        <f t="shared" ref="BW302:BW308" si="673">IF(M302="","NON","OUI")</f>
        <v>NON</v>
      </c>
      <c r="BX302" s="288"/>
    </row>
    <row r="303" spans="1:76" ht="12" customHeight="1" x14ac:dyDescent="0.25">
      <c r="A303" s="231" t="s">
        <v>259</v>
      </c>
      <c r="B303" s="234"/>
      <c r="C303" s="227"/>
      <c r="D303" s="257"/>
      <c r="E303" s="278">
        <f t="shared" si="660"/>
        <v>0</v>
      </c>
      <c r="F303" s="278" t="str">
        <f t="shared" si="226"/>
        <v xml:space="preserve"> </v>
      </c>
      <c r="G303" s="256"/>
      <c r="H303" s="256"/>
      <c r="I303" s="256"/>
      <c r="J303" s="256"/>
      <c r="K303" s="256"/>
      <c r="L303" s="257"/>
      <c r="M303" s="243"/>
      <c r="N303" s="232"/>
      <c r="O303" s="232"/>
      <c r="P303" s="265" t="str">
        <f>IFERROR(VLOOKUP(O303,Références!$K$11:$N$19,2)," ")</f>
        <v xml:space="preserve"> </v>
      </c>
      <c r="Q303" s="265" t="str">
        <f>IFERROR(VLOOKUP(O303,Références!$K$11:$N$19,3)," ")</f>
        <v xml:space="preserve"> </v>
      </c>
      <c r="R303" s="265" t="str">
        <f>IFERROR(VLOOKUP(O303,Références!$K$11:$N$19,4)," ")</f>
        <v xml:space="preserve"> </v>
      </c>
      <c r="S303" s="256"/>
      <c r="T303" s="256"/>
      <c r="U303" s="256"/>
      <c r="V303" s="256"/>
      <c r="W303" s="256"/>
      <c r="X303" s="257"/>
      <c r="Y303" s="256"/>
      <c r="Z303" s="256"/>
      <c r="AA303" s="256"/>
      <c r="AB303" s="235"/>
      <c r="AC303" s="235"/>
      <c r="AD303" s="235"/>
      <c r="AE303" s="235"/>
      <c r="AF303" s="235"/>
      <c r="AG303" s="235"/>
      <c r="AH303" s="235"/>
      <c r="AI303" s="235">
        <f t="shared" si="661"/>
        <v>0</v>
      </c>
      <c r="AJ303" s="257"/>
      <c r="AK303" s="256">
        <f t="shared" si="662"/>
        <v>0</v>
      </c>
      <c r="AL303" s="257"/>
      <c r="AM303" s="266">
        <f t="shared" si="663"/>
        <v>0</v>
      </c>
      <c r="AN303" s="256"/>
      <c r="AO303" s="276"/>
      <c r="AP303" s="261" t="str">
        <f t="shared" si="542"/>
        <v xml:space="preserve"> </v>
      </c>
      <c r="AQ303" s="256"/>
      <c r="AR303" s="295"/>
      <c r="AS303" s="295"/>
      <c r="AT303" s="263"/>
      <c r="AU303" s="277"/>
      <c r="AV303" s="263"/>
      <c r="AW303" s="230"/>
      <c r="AX303" s="300"/>
      <c r="AY303" s="301"/>
      <c r="AZ303" s="300"/>
      <c r="BA303" s="300"/>
      <c r="BB303" s="295"/>
      <c r="BC303" s="228">
        <f t="shared" si="664"/>
        <v>0</v>
      </c>
      <c r="BD303" s="228">
        <f t="shared" si="665"/>
        <v>0</v>
      </c>
      <c r="BE303" s="228">
        <f t="shared" si="219"/>
        <v>1</v>
      </c>
      <c r="BF303" s="228" t="str">
        <f t="shared" si="228"/>
        <v>ALIVE</v>
      </c>
      <c r="BG303" s="208" t="str">
        <f t="shared" si="220"/>
        <v>Aucune</v>
      </c>
      <c r="BH303" s="208" t="str">
        <f t="shared" si="221"/>
        <v>Aucune</v>
      </c>
      <c r="BI303" s="208" t="str">
        <f t="shared" si="222"/>
        <v>Aucune</v>
      </c>
      <c r="BJ303" s="208" t="str">
        <f t="shared" si="657"/>
        <v>NON</v>
      </c>
      <c r="BK303" s="208" t="str">
        <f t="shared" si="223"/>
        <v>NON</v>
      </c>
      <c r="BL303" s="208" t="str">
        <f t="shared" si="658"/>
        <v>Inconnu</v>
      </c>
      <c r="BM303" s="208" t="str">
        <f t="shared" si="666"/>
        <v>Inconnu</v>
      </c>
      <c r="BN303" s="208" t="str">
        <f t="shared" si="667"/>
        <v>Inconnu</v>
      </c>
      <c r="BO303" s="208" t="str">
        <f t="shared" si="659"/>
        <v>Inconnu</v>
      </c>
      <c r="BP303" s="208" t="str">
        <f t="shared" si="668"/>
        <v>Inconnu</v>
      </c>
      <c r="BQ303" s="208" t="str">
        <f t="shared" si="669"/>
        <v>Inconnu</v>
      </c>
      <c r="BR303" s="208" t="str">
        <f t="shared" si="670"/>
        <v>Aucune</v>
      </c>
      <c r="BS303" s="208">
        <f t="shared" si="671"/>
        <v>0</v>
      </c>
      <c r="BT303" s="229" t="e">
        <f>VLOOKUP($I303,Lieu_Activité!$A:$B,2,FALSE)</f>
        <v>#N/A</v>
      </c>
      <c r="BU303" s="208" t="str">
        <f t="shared" si="672"/>
        <v>Aucun</v>
      </c>
      <c r="BV303" s="208" t="str">
        <f t="shared" si="225"/>
        <v>Aucun</v>
      </c>
      <c r="BW303" s="207" t="str">
        <f t="shared" si="673"/>
        <v>NON</v>
      </c>
      <c r="BX303" s="288"/>
    </row>
    <row r="304" spans="1:76" ht="12.75" customHeight="1" x14ac:dyDescent="0.25">
      <c r="A304" s="231" t="s">
        <v>259</v>
      </c>
      <c r="B304" s="234"/>
      <c r="C304" s="227"/>
      <c r="D304" s="257"/>
      <c r="E304" s="278">
        <f t="shared" si="660"/>
        <v>0</v>
      </c>
      <c r="F304" s="278" t="str">
        <f t="shared" si="226"/>
        <v xml:space="preserve"> </v>
      </c>
      <c r="G304" s="256"/>
      <c r="H304" s="256"/>
      <c r="I304" s="256"/>
      <c r="J304" s="256"/>
      <c r="K304" s="256"/>
      <c r="L304" s="257"/>
      <c r="M304" s="243"/>
      <c r="N304" s="232"/>
      <c r="O304" s="232"/>
      <c r="P304" s="265" t="str">
        <f>IFERROR(VLOOKUP(O304,Références!$K$11:$N$19,2)," ")</f>
        <v xml:space="preserve"> </v>
      </c>
      <c r="Q304" s="265" t="str">
        <f>IFERROR(VLOOKUP(O304,Références!$K$11:$N$19,3)," ")</f>
        <v xml:space="preserve"> </v>
      </c>
      <c r="R304" s="265" t="str">
        <f>IFERROR(VLOOKUP(O304,Références!$K$11:$N$19,4)," ")</f>
        <v xml:space="preserve"> </v>
      </c>
      <c r="S304" s="256"/>
      <c r="T304" s="256"/>
      <c r="U304" s="256"/>
      <c r="V304" s="256"/>
      <c r="W304" s="256"/>
      <c r="X304" s="257"/>
      <c r="Y304" s="256"/>
      <c r="Z304" s="256"/>
      <c r="AA304" s="256"/>
      <c r="AB304" s="235"/>
      <c r="AC304" s="235"/>
      <c r="AD304" s="235"/>
      <c r="AE304" s="235"/>
      <c r="AF304" s="235"/>
      <c r="AG304" s="235"/>
      <c r="AH304" s="235"/>
      <c r="AI304" s="235">
        <f t="shared" si="661"/>
        <v>0</v>
      </c>
      <c r="AJ304" s="257"/>
      <c r="AK304" s="256">
        <f t="shared" si="662"/>
        <v>0</v>
      </c>
      <c r="AL304" s="257"/>
      <c r="AM304" s="266">
        <f t="shared" si="663"/>
        <v>0</v>
      </c>
      <c r="AN304" s="256"/>
      <c r="AO304" s="276"/>
      <c r="AP304" s="261" t="str">
        <f t="shared" si="542"/>
        <v xml:space="preserve"> </v>
      </c>
      <c r="AQ304" s="256"/>
      <c r="AR304" s="295"/>
      <c r="AS304" s="295"/>
      <c r="AT304" s="263"/>
      <c r="AU304" s="277"/>
      <c r="AV304" s="263"/>
      <c r="AW304" s="230"/>
      <c r="AX304" s="300"/>
      <c r="AY304" s="301"/>
      <c r="AZ304" s="230"/>
      <c r="BA304" s="300"/>
      <c r="BB304" s="295"/>
      <c r="BC304" s="228">
        <f t="shared" si="664"/>
        <v>0</v>
      </c>
      <c r="BD304" s="228">
        <f t="shared" si="665"/>
        <v>0</v>
      </c>
      <c r="BE304" s="228">
        <f t="shared" si="219"/>
        <v>1</v>
      </c>
      <c r="BF304" s="228" t="str">
        <f t="shared" si="228"/>
        <v>ALIVE</v>
      </c>
      <c r="BG304" s="208" t="str">
        <f t="shared" si="220"/>
        <v>Aucune</v>
      </c>
      <c r="BH304" s="208" t="str">
        <f t="shared" si="221"/>
        <v>Aucune</v>
      </c>
      <c r="BI304" s="208" t="str">
        <f t="shared" si="222"/>
        <v>Aucune</v>
      </c>
      <c r="BJ304" s="208" t="str">
        <f t="shared" si="657"/>
        <v>NON</v>
      </c>
      <c r="BK304" s="208" t="str">
        <f t="shared" si="223"/>
        <v>NON</v>
      </c>
      <c r="BL304" s="208" t="str">
        <f t="shared" si="658"/>
        <v>Inconnu</v>
      </c>
      <c r="BM304" s="208" t="str">
        <f t="shared" si="666"/>
        <v>Inconnu</v>
      </c>
      <c r="BN304" s="208" t="str">
        <f t="shared" si="667"/>
        <v>Inconnu</v>
      </c>
      <c r="BO304" s="208" t="str">
        <f t="shared" si="659"/>
        <v>Inconnu</v>
      </c>
      <c r="BP304" s="208" t="str">
        <f t="shared" si="668"/>
        <v>Inconnu</v>
      </c>
      <c r="BQ304" s="208" t="str">
        <f t="shared" si="669"/>
        <v>Inconnu</v>
      </c>
      <c r="BR304" s="208" t="str">
        <f t="shared" si="670"/>
        <v>Aucune</v>
      </c>
      <c r="BS304" s="208">
        <f t="shared" si="671"/>
        <v>0</v>
      </c>
      <c r="BT304" s="229" t="e">
        <f>VLOOKUP($I304,Lieu_Activité!$A:$B,2,FALSE)</f>
        <v>#N/A</v>
      </c>
      <c r="BU304" s="208" t="str">
        <f t="shared" si="672"/>
        <v>Aucun</v>
      </c>
      <c r="BV304" s="208" t="str">
        <f t="shared" si="225"/>
        <v>Aucun</v>
      </c>
      <c r="BW304" s="207" t="str">
        <f t="shared" si="673"/>
        <v>NON</v>
      </c>
      <c r="BX304" s="288"/>
    </row>
    <row r="305" spans="1:76" ht="12" customHeight="1" x14ac:dyDescent="0.25">
      <c r="A305" s="231" t="s">
        <v>259</v>
      </c>
      <c r="B305" s="234"/>
      <c r="C305" s="227"/>
      <c r="D305" s="257"/>
      <c r="E305" s="278">
        <f t="shared" si="660"/>
        <v>0</v>
      </c>
      <c r="F305" s="278" t="str">
        <f t="shared" si="226"/>
        <v xml:space="preserve"> </v>
      </c>
      <c r="G305" s="256"/>
      <c r="H305" s="256"/>
      <c r="I305" s="256"/>
      <c r="J305" s="256"/>
      <c r="K305" s="256"/>
      <c r="L305" s="257"/>
      <c r="M305" s="243"/>
      <c r="N305" s="232"/>
      <c r="O305" s="265"/>
      <c r="P305" s="265" t="str">
        <f>IFERROR(VLOOKUP(O305,Références!$K$11:$N$19,2)," ")</f>
        <v xml:space="preserve"> </v>
      </c>
      <c r="Q305" s="265" t="str">
        <f>IFERROR(VLOOKUP(O305,Références!$K$11:$N$19,3)," ")</f>
        <v xml:space="preserve"> </v>
      </c>
      <c r="R305" s="265" t="str">
        <f>IFERROR(VLOOKUP(O305,Références!$K$11:$N$19,4)," ")</f>
        <v xml:space="preserve"> </v>
      </c>
      <c r="S305" s="256"/>
      <c r="T305" s="256"/>
      <c r="U305" s="256"/>
      <c r="V305" s="256"/>
      <c r="W305" s="256"/>
      <c r="X305" s="257"/>
      <c r="Y305" s="256"/>
      <c r="Z305" s="256"/>
      <c r="AA305" s="256"/>
      <c r="AB305" s="235"/>
      <c r="AC305" s="235"/>
      <c r="AD305" s="235"/>
      <c r="AE305" s="235"/>
      <c r="AF305" s="235"/>
      <c r="AG305" s="235"/>
      <c r="AH305" s="235"/>
      <c r="AI305" s="235">
        <f t="shared" si="661"/>
        <v>0</v>
      </c>
      <c r="AJ305" s="257"/>
      <c r="AK305" s="256">
        <f t="shared" si="662"/>
        <v>0</v>
      </c>
      <c r="AL305" s="257"/>
      <c r="AM305" s="266">
        <f t="shared" si="663"/>
        <v>0</v>
      </c>
      <c r="AN305" s="256"/>
      <c r="AO305" s="276"/>
      <c r="AP305" s="261" t="str">
        <f t="shared" si="542"/>
        <v xml:space="preserve"> </v>
      </c>
      <c r="AQ305" s="256"/>
      <c r="AR305" s="295"/>
      <c r="AS305" s="295"/>
      <c r="AT305" s="263"/>
      <c r="AU305" s="277"/>
      <c r="AV305" s="263"/>
      <c r="AW305" s="230"/>
      <c r="AX305" s="300"/>
      <c r="AY305" s="301"/>
      <c r="AZ305" s="230"/>
      <c r="BA305" s="300"/>
      <c r="BB305" s="295"/>
      <c r="BC305" s="228">
        <f t="shared" si="664"/>
        <v>0</v>
      </c>
      <c r="BD305" s="228">
        <f t="shared" si="665"/>
        <v>0</v>
      </c>
      <c r="BE305" s="228">
        <f t="shared" si="219"/>
        <v>1</v>
      </c>
      <c r="BF305" s="228" t="str">
        <f t="shared" si="228"/>
        <v>ALIVE</v>
      </c>
      <c r="BG305" s="208" t="str">
        <f t="shared" si="220"/>
        <v>Aucune</v>
      </c>
      <c r="BH305" s="208" t="str">
        <f t="shared" si="221"/>
        <v>Aucune</v>
      </c>
      <c r="BI305" s="208" t="str">
        <f t="shared" si="222"/>
        <v>Aucune</v>
      </c>
      <c r="BJ305" s="208" t="str">
        <f t="shared" si="657"/>
        <v>NON</v>
      </c>
      <c r="BK305" s="208" t="str">
        <f t="shared" si="223"/>
        <v>NON</v>
      </c>
      <c r="BL305" s="208" t="str">
        <f t="shared" si="658"/>
        <v>Inconnu</v>
      </c>
      <c r="BM305" s="208" t="str">
        <f t="shared" si="666"/>
        <v>Inconnu</v>
      </c>
      <c r="BN305" s="208" t="str">
        <f t="shared" si="667"/>
        <v>Inconnu</v>
      </c>
      <c r="BO305" s="208" t="str">
        <f t="shared" si="659"/>
        <v>Inconnu</v>
      </c>
      <c r="BP305" s="208" t="str">
        <f t="shared" si="668"/>
        <v>Inconnu</v>
      </c>
      <c r="BQ305" s="208" t="str">
        <f t="shared" si="669"/>
        <v>Inconnu</v>
      </c>
      <c r="BR305" s="208" t="str">
        <f t="shared" si="670"/>
        <v>Aucune</v>
      </c>
      <c r="BS305" s="208">
        <f t="shared" si="671"/>
        <v>0</v>
      </c>
      <c r="BT305" s="229" t="e">
        <f>VLOOKUP($I305,Lieu_Activité!$A:$B,2,FALSE)</f>
        <v>#N/A</v>
      </c>
      <c r="BU305" s="208" t="str">
        <f t="shared" si="672"/>
        <v>Aucun</v>
      </c>
      <c r="BV305" s="208" t="str">
        <f t="shared" si="225"/>
        <v>Aucun</v>
      </c>
      <c r="BW305" s="207" t="str">
        <f t="shared" si="673"/>
        <v>NON</v>
      </c>
      <c r="BX305" s="288"/>
    </row>
    <row r="306" spans="1:76" ht="12" customHeight="1" x14ac:dyDescent="0.25">
      <c r="A306" s="231" t="s">
        <v>259</v>
      </c>
      <c r="B306" s="234"/>
      <c r="C306" s="227"/>
      <c r="D306" s="257"/>
      <c r="E306" s="278">
        <f t="shared" si="660"/>
        <v>0</v>
      </c>
      <c r="F306" s="278" t="str">
        <f t="shared" si="226"/>
        <v xml:space="preserve"> </v>
      </c>
      <c r="G306" s="256"/>
      <c r="H306" s="256"/>
      <c r="I306" s="256"/>
      <c r="J306" s="256"/>
      <c r="K306" s="256"/>
      <c r="L306" s="257"/>
      <c r="M306" s="243"/>
      <c r="N306" s="232"/>
      <c r="O306" s="232"/>
      <c r="P306" s="265" t="str">
        <f>IFERROR(VLOOKUP(O306,Références!$K$11:$N$19,2)," ")</f>
        <v xml:space="preserve"> </v>
      </c>
      <c r="Q306" s="265" t="str">
        <f>IFERROR(VLOOKUP(O306,Références!$K$11:$N$19,3)," ")</f>
        <v xml:space="preserve"> </v>
      </c>
      <c r="R306" s="265" t="str">
        <f>IFERROR(VLOOKUP(O306,Références!$K$11:$N$19,4)," ")</f>
        <v xml:space="preserve"> </v>
      </c>
      <c r="S306" s="256"/>
      <c r="T306" s="256"/>
      <c r="U306" s="256"/>
      <c r="V306" s="256"/>
      <c r="W306" s="256"/>
      <c r="X306" s="257"/>
      <c r="Y306" s="256"/>
      <c r="Z306" s="256"/>
      <c r="AA306" s="256"/>
      <c r="AB306" s="235"/>
      <c r="AC306" s="235"/>
      <c r="AD306" s="235"/>
      <c r="AE306" s="235"/>
      <c r="AF306" s="235"/>
      <c r="AG306" s="235"/>
      <c r="AH306" s="235"/>
      <c r="AI306" s="235">
        <f t="shared" si="661"/>
        <v>0</v>
      </c>
      <c r="AJ306" s="257"/>
      <c r="AK306" s="256">
        <f t="shared" si="662"/>
        <v>0</v>
      </c>
      <c r="AL306" s="257"/>
      <c r="AM306" s="266">
        <f t="shared" si="663"/>
        <v>0</v>
      </c>
      <c r="AN306" s="256"/>
      <c r="AO306" s="235"/>
      <c r="AP306" s="261" t="str">
        <f t="shared" si="542"/>
        <v xml:space="preserve"> </v>
      </c>
      <c r="AQ306" s="256"/>
      <c r="AR306" s="295"/>
      <c r="AS306" s="295"/>
      <c r="AT306" s="263"/>
      <c r="AU306" s="277"/>
      <c r="AV306" s="263"/>
      <c r="AW306" s="230"/>
      <c r="AX306" s="300"/>
      <c r="AY306" s="301"/>
      <c r="AZ306" s="230"/>
      <c r="BA306" s="300"/>
      <c r="BB306" s="295"/>
      <c r="BC306" s="228">
        <f t="shared" si="664"/>
        <v>0</v>
      </c>
      <c r="BD306" s="228">
        <f t="shared" si="665"/>
        <v>0</v>
      </c>
      <c r="BE306" s="228">
        <f t="shared" si="219"/>
        <v>1</v>
      </c>
      <c r="BF306" s="228" t="str">
        <f t="shared" si="228"/>
        <v>ALIVE</v>
      </c>
      <c r="BG306" s="208" t="str">
        <f t="shared" si="220"/>
        <v>Aucune</v>
      </c>
      <c r="BH306" s="208" t="str">
        <f t="shared" si="221"/>
        <v>Aucune</v>
      </c>
      <c r="BI306" s="208" t="str">
        <f t="shared" si="222"/>
        <v>Aucune</v>
      </c>
      <c r="BJ306" s="208" t="str">
        <f t="shared" si="657"/>
        <v>NON</v>
      </c>
      <c r="BK306" s="208" t="str">
        <f t="shared" si="223"/>
        <v>NON</v>
      </c>
      <c r="BL306" s="208" t="str">
        <f t="shared" si="658"/>
        <v>Inconnu</v>
      </c>
      <c r="BM306" s="208" t="str">
        <f t="shared" si="666"/>
        <v>Inconnu</v>
      </c>
      <c r="BN306" s="208" t="str">
        <f t="shared" si="667"/>
        <v>Inconnu</v>
      </c>
      <c r="BO306" s="208" t="str">
        <f t="shared" si="659"/>
        <v>Inconnu</v>
      </c>
      <c r="BP306" s="208" t="str">
        <f t="shared" si="668"/>
        <v>Inconnu</v>
      </c>
      <c r="BQ306" s="208" t="str">
        <f t="shared" si="669"/>
        <v>Inconnu</v>
      </c>
      <c r="BR306" s="208" t="str">
        <f t="shared" si="670"/>
        <v>Aucune</v>
      </c>
      <c r="BS306" s="208">
        <f t="shared" si="671"/>
        <v>0</v>
      </c>
      <c r="BT306" s="229" t="e">
        <f>VLOOKUP($I306,Lieu_Activité!$A:$B,2,FALSE)</f>
        <v>#N/A</v>
      </c>
      <c r="BU306" s="208" t="str">
        <f t="shared" si="672"/>
        <v>Aucun</v>
      </c>
      <c r="BV306" s="208" t="str">
        <f t="shared" si="225"/>
        <v>Aucun</v>
      </c>
      <c r="BW306" s="207" t="str">
        <f t="shared" si="673"/>
        <v>NON</v>
      </c>
      <c r="BX306" s="288"/>
    </row>
    <row r="307" spans="1:76" ht="12.75" customHeight="1" x14ac:dyDescent="0.25">
      <c r="A307" s="231" t="s">
        <v>259</v>
      </c>
      <c r="B307" s="234"/>
      <c r="C307" s="227"/>
      <c r="D307" s="257"/>
      <c r="E307" s="278">
        <f t="shared" si="660"/>
        <v>0</v>
      </c>
      <c r="F307" s="278" t="str">
        <f t="shared" si="226"/>
        <v xml:space="preserve"> </v>
      </c>
      <c r="G307" s="256"/>
      <c r="H307" s="256"/>
      <c r="I307" s="256"/>
      <c r="J307" s="256"/>
      <c r="K307" s="256"/>
      <c r="L307" s="257"/>
      <c r="M307" s="243"/>
      <c r="N307" s="232"/>
      <c r="O307" s="232"/>
      <c r="P307" s="265" t="str">
        <f>IFERROR(VLOOKUP(O307,Références!$K$11:$N$19,2)," ")</f>
        <v xml:space="preserve"> </v>
      </c>
      <c r="Q307" s="265" t="str">
        <f>IFERROR(VLOOKUP(O307,Références!$K$11:$N$19,3)," ")</f>
        <v xml:space="preserve"> </v>
      </c>
      <c r="R307" s="265" t="str">
        <f>IFERROR(VLOOKUP(O307,Références!$K$11:$N$19,4)," ")</f>
        <v xml:space="preserve"> </v>
      </c>
      <c r="S307" s="256"/>
      <c r="T307" s="256"/>
      <c r="U307" s="256"/>
      <c r="V307" s="256"/>
      <c r="W307" s="256"/>
      <c r="X307" s="257"/>
      <c r="Y307" s="256"/>
      <c r="Z307" s="256"/>
      <c r="AA307" s="256"/>
      <c r="AB307" s="235"/>
      <c r="AC307" s="235"/>
      <c r="AD307" s="235"/>
      <c r="AE307" s="235"/>
      <c r="AF307" s="235"/>
      <c r="AG307" s="235"/>
      <c r="AH307" s="235"/>
      <c r="AI307" s="235">
        <f t="shared" si="661"/>
        <v>0</v>
      </c>
      <c r="AJ307" s="257"/>
      <c r="AK307" s="256">
        <f t="shared" si="662"/>
        <v>0</v>
      </c>
      <c r="AL307" s="257"/>
      <c r="AM307" s="266">
        <f t="shared" si="663"/>
        <v>0</v>
      </c>
      <c r="AN307" s="256"/>
      <c r="AO307" s="235"/>
      <c r="AP307" s="261" t="str">
        <f t="shared" si="542"/>
        <v xml:space="preserve"> </v>
      </c>
      <c r="AQ307" s="256"/>
      <c r="AR307" s="295"/>
      <c r="AS307" s="295"/>
      <c r="AT307" s="263"/>
      <c r="AU307" s="277"/>
      <c r="AV307" s="305"/>
      <c r="AW307" s="230"/>
      <c r="AX307" s="300"/>
      <c r="AY307" s="301"/>
      <c r="AZ307" s="300"/>
      <c r="BA307" s="300"/>
      <c r="BB307" s="295"/>
      <c r="BC307" s="228">
        <f t="shared" si="664"/>
        <v>0</v>
      </c>
      <c r="BD307" s="228">
        <f t="shared" si="665"/>
        <v>0</v>
      </c>
      <c r="BE307" s="228">
        <f t="shared" si="219"/>
        <v>1</v>
      </c>
      <c r="BF307" s="228" t="str">
        <f t="shared" si="228"/>
        <v>ALIVE</v>
      </c>
      <c r="BG307" s="208" t="str">
        <f t="shared" si="220"/>
        <v>Aucune</v>
      </c>
      <c r="BH307" s="208" t="str">
        <f t="shared" si="221"/>
        <v>Aucune</v>
      </c>
      <c r="BI307" s="208" t="str">
        <f t="shared" si="222"/>
        <v>Aucune</v>
      </c>
      <c r="BJ307" s="208" t="str">
        <f t="shared" si="657"/>
        <v>NON</v>
      </c>
      <c r="BK307" s="208" t="str">
        <f t="shared" si="223"/>
        <v>NON</v>
      </c>
      <c r="BL307" s="208" t="str">
        <f t="shared" si="658"/>
        <v>Inconnu</v>
      </c>
      <c r="BM307" s="208" t="str">
        <f t="shared" si="666"/>
        <v>Inconnu</v>
      </c>
      <c r="BN307" s="208" t="str">
        <f t="shared" si="667"/>
        <v>Inconnu</v>
      </c>
      <c r="BO307" s="208" t="str">
        <f t="shared" si="659"/>
        <v>Inconnu</v>
      </c>
      <c r="BP307" s="208" t="str">
        <f t="shared" si="668"/>
        <v>Inconnu</v>
      </c>
      <c r="BQ307" s="208" t="str">
        <f t="shared" si="669"/>
        <v>Inconnu</v>
      </c>
      <c r="BR307" s="208" t="str">
        <f t="shared" si="670"/>
        <v>Aucune</v>
      </c>
      <c r="BS307" s="208">
        <f t="shared" si="671"/>
        <v>0</v>
      </c>
      <c r="BT307" s="229" t="e">
        <f>VLOOKUP($I307,Lieu_Activité!$A:$B,2,FALSE)</f>
        <v>#N/A</v>
      </c>
      <c r="BU307" s="208" t="str">
        <f t="shared" si="672"/>
        <v>Aucun</v>
      </c>
      <c r="BV307" s="208" t="str">
        <f t="shared" si="225"/>
        <v>Aucun</v>
      </c>
      <c r="BW307" s="207" t="str">
        <f t="shared" si="673"/>
        <v>NON</v>
      </c>
      <c r="BX307" s="288"/>
    </row>
    <row r="308" spans="1:76" x14ac:dyDescent="0.25">
      <c r="A308" s="231" t="s">
        <v>259</v>
      </c>
      <c r="B308" s="234"/>
      <c r="C308" s="227"/>
      <c r="D308" s="257"/>
      <c r="E308" s="278">
        <f t="shared" si="660"/>
        <v>0</v>
      </c>
      <c r="F308" s="278" t="str">
        <f t="shared" ref="F308" si="674">IF(E308&lt;80," ","1")</f>
        <v xml:space="preserve"> </v>
      </c>
      <c r="G308" s="256"/>
      <c r="H308" s="256"/>
      <c r="I308" s="256"/>
      <c r="J308" s="256"/>
      <c r="K308" s="256"/>
      <c r="L308" s="257"/>
      <c r="M308" s="243"/>
      <c r="N308" s="232"/>
      <c r="O308" s="232"/>
      <c r="P308" s="265" t="str">
        <f>IFERROR(VLOOKUP(O308,Références!$K$11:$N$19,2)," ")</f>
        <v xml:space="preserve"> </v>
      </c>
      <c r="Q308" s="265" t="str">
        <f>IFERROR(VLOOKUP(O308,Références!$K$11:$N$19,3)," ")</f>
        <v xml:space="preserve"> </v>
      </c>
      <c r="R308" s="265" t="str">
        <f>IFERROR(VLOOKUP(O308,Références!$K$11:$N$19,4)," ")</f>
        <v xml:space="preserve"> </v>
      </c>
      <c r="S308" s="256"/>
      <c r="T308" s="256"/>
      <c r="U308" s="256"/>
      <c r="V308" s="256"/>
      <c r="W308" s="256"/>
      <c r="X308" s="257"/>
      <c r="Y308" s="256"/>
      <c r="Z308" s="256"/>
      <c r="AA308" s="256"/>
      <c r="AB308" s="235"/>
      <c r="AC308" s="235"/>
      <c r="AD308" s="235"/>
      <c r="AE308" s="235"/>
      <c r="AF308" s="235"/>
      <c r="AG308" s="235"/>
      <c r="AH308" s="235"/>
      <c r="AI308" s="235">
        <f t="shared" si="661"/>
        <v>0</v>
      </c>
      <c r="AJ308" s="257"/>
      <c r="AK308" s="256">
        <f t="shared" si="662"/>
        <v>0</v>
      </c>
      <c r="AL308" s="257"/>
      <c r="AM308" s="266">
        <f t="shared" si="663"/>
        <v>0</v>
      </c>
      <c r="AN308" s="256"/>
      <c r="AO308" s="235"/>
      <c r="AP308" s="261" t="str">
        <f t="shared" si="542"/>
        <v xml:space="preserve"> </v>
      </c>
      <c r="AQ308" s="256"/>
      <c r="AR308" s="295"/>
      <c r="AS308" s="295"/>
      <c r="AT308" s="263"/>
      <c r="AU308" s="277"/>
      <c r="AV308" s="305"/>
      <c r="AW308" s="230"/>
      <c r="AX308" s="300"/>
      <c r="AY308" s="301"/>
      <c r="AZ308" s="230"/>
      <c r="BA308" s="300"/>
      <c r="BB308" s="295"/>
      <c r="BC308" s="228">
        <f t="shared" si="664"/>
        <v>0</v>
      </c>
      <c r="BD308" s="228">
        <f t="shared" si="665"/>
        <v>0</v>
      </c>
      <c r="BE308" s="228">
        <f t="shared" si="219"/>
        <v>1</v>
      </c>
      <c r="BF308" s="228" t="str">
        <f t="shared" si="228"/>
        <v>ALIVE</v>
      </c>
      <c r="BG308" s="208" t="str">
        <f t="shared" si="220"/>
        <v>Aucune</v>
      </c>
      <c r="BH308" s="208" t="str">
        <f t="shared" si="221"/>
        <v>Aucune</v>
      </c>
      <c r="BI308" s="208" t="str">
        <f t="shared" si="222"/>
        <v>Aucune</v>
      </c>
      <c r="BJ308" s="208" t="str">
        <f t="shared" si="657"/>
        <v>NON</v>
      </c>
      <c r="BK308" s="208" t="str">
        <f t="shared" si="223"/>
        <v>NON</v>
      </c>
      <c r="BL308" s="208" t="str">
        <f t="shared" si="658"/>
        <v>Inconnu</v>
      </c>
      <c r="BM308" s="208" t="str">
        <f t="shared" si="666"/>
        <v>Inconnu</v>
      </c>
      <c r="BN308" s="208" t="str">
        <f t="shared" si="667"/>
        <v>Inconnu</v>
      </c>
      <c r="BO308" s="208" t="str">
        <f t="shared" si="659"/>
        <v>Inconnu</v>
      </c>
      <c r="BP308" s="208" t="str">
        <f t="shared" si="668"/>
        <v>Inconnu</v>
      </c>
      <c r="BQ308" s="208" t="str">
        <f t="shared" si="669"/>
        <v>Inconnu</v>
      </c>
      <c r="BR308" s="208" t="str">
        <f t="shared" si="670"/>
        <v>Aucune</v>
      </c>
      <c r="BS308" s="208">
        <f t="shared" si="671"/>
        <v>0</v>
      </c>
      <c r="BT308" s="229" t="e">
        <f>VLOOKUP($I308,Lieu_Activité!$A:$B,2,FALSE)</f>
        <v>#N/A</v>
      </c>
      <c r="BU308" s="208" t="str">
        <f t="shared" si="672"/>
        <v>Aucun</v>
      </c>
      <c r="BV308" s="208" t="str">
        <f t="shared" si="225"/>
        <v>Aucun</v>
      </c>
      <c r="BW308" s="207" t="str">
        <f t="shared" si="673"/>
        <v>NON</v>
      </c>
      <c r="BX308" s="288"/>
    </row>
    <row r="309" spans="1:76" x14ac:dyDescent="0.25">
      <c r="A309" s="244"/>
      <c r="B309" s="245"/>
      <c r="C309" s="282"/>
      <c r="D309" s="283"/>
      <c r="E309" s="284">
        <f>(L309-D309)/365</f>
        <v>0</v>
      </c>
      <c r="F309" s="284" t="str">
        <f>IF(E309&lt;80," ","1")</f>
        <v xml:space="preserve"> </v>
      </c>
      <c r="G309" s="285"/>
      <c r="H309" s="285"/>
      <c r="I309" s="285"/>
      <c r="J309" s="285"/>
      <c r="K309" s="285"/>
      <c r="L309" s="283"/>
      <c r="M309" s="246"/>
      <c r="N309" s="247"/>
      <c r="O309" s="247"/>
      <c r="P309" s="265" t="str">
        <f>IFERROR(VLOOKUP(O309,Références!$K$11:$N$19,2)," ")</f>
        <v xml:space="preserve"> </v>
      </c>
      <c r="Q309" s="265" t="str">
        <f>IFERROR(VLOOKUP(O309,Références!$K$11:$N$19,3)," ")</f>
        <v xml:space="preserve"> </v>
      </c>
      <c r="R309" s="265" t="str">
        <f>IFERROR(VLOOKUP(O309,Références!$K$11:$N$19,4)," ")</f>
        <v xml:space="preserve"> </v>
      </c>
      <c r="S309" s="285"/>
      <c r="T309" s="285"/>
      <c r="U309" s="285"/>
      <c r="V309" s="285"/>
      <c r="W309" s="285"/>
      <c r="X309" s="283"/>
      <c r="Y309" s="285"/>
      <c r="Z309" s="285"/>
      <c r="AA309" s="285"/>
      <c r="AB309" s="248"/>
      <c r="AC309" s="248"/>
      <c r="AD309" s="248"/>
      <c r="AE309" s="248"/>
      <c r="AF309" s="248"/>
      <c r="AG309" s="248"/>
      <c r="AH309" s="248"/>
      <c r="AI309" s="248">
        <f>SUM(AF309,AH309)</f>
        <v>0</v>
      </c>
      <c r="AJ309" s="283"/>
      <c r="AK309" s="285">
        <f>(AJ309-L309)</f>
        <v>0</v>
      </c>
      <c r="AL309" s="283"/>
      <c r="AM309" s="294">
        <f>(AL309-L309)</f>
        <v>0</v>
      </c>
      <c r="AN309" s="285"/>
      <c r="AO309" s="248"/>
      <c r="AP309" s="262" t="str">
        <f t="shared" si="542"/>
        <v xml:space="preserve"> </v>
      </c>
      <c r="AQ309" s="285"/>
      <c r="AR309" s="298"/>
      <c r="AS309" s="298"/>
      <c r="AT309" s="299"/>
      <c r="AU309" s="245"/>
      <c r="AV309" s="306"/>
      <c r="AW309" s="307"/>
      <c r="AX309" s="308"/>
      <c r="AY309" s="309"/>
      <c r="AZ309" s="307"/>
      <c r="BA309" s="308"/>
      <c r="BB309" s="298"/>
      <c r="BC309" s="249">
        <f>IF(BG309="Aucune",0,1)</f>
        <v>0</v>
      </c>
      <c r="BD309" s="249">
        <f>IF(BH309="Aucune",0,1)</f>
        <v>0</v>
      </c>
      <c r="BE309" s="249">
        <f>IF(AG309="Aucune",0,1)</f>
        <v>1</v>
      </c>
      <c r="BF309" s="249" t="str">
        <f>IF(AO309=1,"ELECTIVE",IF(AO309=2,"URGENCY",IF(AO309=3,"EMERGENCY",IF(AO309=4,"SALVAGE","ALIVE"))))</f>
        <v>ALIVE</v>
      </c>
      <c r="BG309" s="206" t="str">
        <f>IF(AD309="","Aucune","Infection")</f>
        <v>Aucune</v>
      </c>
      <c r="BH309" s="206" t="str">
        <f>IF(AI309&gt;0,"Transfusion","Aucune")</f>
        <v>Aucune</v>
      </c>
      <c r="BI309" s="206" t="str">
        <f>IF(AG309="","Aucune","Transfusé")</f>
        <v>Aucune</v>
      </c>
      <c r="BJ309" s="206" t="str">
        <f>IF(X309&lt;&gt;"",IF(X309-L309&lt;2,"OUI","NON"),"NON")</f>
        <v>NON</v>
      </c>
      <c r="BK309" s="206" t="str">
        <f>IF(AS309="","NON","OUI")</f>
        <v>NON</v>
      </c>
      <c r="BL309" s="206" t="str">
        <f>IF(AL309-L309&gt;0,AL309-L309,"Inconnu")</f>
        <v>Inconnu</v>
      </c>
      <c r="BM309" s="206" t="str">
        <f>IF($O309&lt;&gt;"HTX",IF($O309&lt;&gt;"LVAD",BL309,"Inconnu"),"Inconnu")</f>
        <v>Inconnu</v>
      </c>
      <c r="BN309" s="206" t="str">
        <f>IF($O309="HTX",BL309,IF($O309="LVAD",BL309,"Inconnu"))</f>
        <v>Inconnu</v>
      </c>
      <c r="BO309" s="206" t="str">
        <f>IF(AJ309-L309&gt;0,AJ309-L309,"Inconnu")</f>
        <v>Inconnu</v>
      </c>
      <c r="BP309" s="206" t="str">
        <f>IF($O309&lt;&gt;"HTX",IF($O309&lt;&gt;"LVAD",BO309,"Inconnu"),"Inconnu")</f>
        <v>Inconnu</v>
      </c>
      <c r="BQ309" s="206" t="str">
        <f>IF($O309="HTX",BO309,IF($O309="LVAD",BO309,"Inconnu"))</f>
        <v>Inconnu</v>
      </c>
      <c r="BR309" s="206" t="str">
        <f>IF(BH309="Aucune",IF(BI309="Aucune","Aucune","Transfusé"),"Transfusé")</f>
        <v>Aucune</v>
      </c>
      <c r="BS309" s="206">
        <f>AF309+AH309</f>
        <v>0</v>
      </c>
      <c r="BT309" s="250" t="e">
        <f>VLOOKUP($I309,Lieu_Activité!$A:$B,2,FALSE)</f>
        <v>#N/A</v>
      </c>
      <c r="BU309" s="206" t="str">
        <f>IF(AB309="","Aucun","AVC")</f>
        <v>Aucun</v>
      </c>
      <c r="BV309" s="206" t="str">
        <f>IF(AC309="","Aucun","IM")</f>
        <v>Aucun</v>
      </c>
      <c r="BW309" s="12" t="str">
        <f>IF(M309="","NON","OUI")</f>
        <v>NON</v>
      </c>
      <c r="BX309" s="288"/>
    </row>
    <row r="310" spans="1:76" x14ac:dyDescent="0.25">
      <c r="A310" s="289"/>
      <c r="B310" s="286"/>
      <c r="C310" s="286"/>
      <c r="D310" s="287"/>
      <c r="E310" s="288"/>
      <c r="F310" s="288"/>
      <c r="G310" s="288"/>
      <c r="H310" s="288"/>
      <c r="I310" s="288"/>
      <c r="J310" s="288"/>
      <c r="K310" s="288"/>
      <c r="L310" s="287"/>
      <c r="M310" s="287"/>
      <c r="N310" s="288"/>
      <c r="O310" s="288"/>
      <c r="P310" s="288"/>
      <c r="Q310" s="288"/>
      <c r="R310" s="288"/>
      <c r="S310" s="288"/>
      <c r="T310" s="288"/>
      <c r="U310" s="288"/>
      <c r="V310" s="288"/>
      <c r="W310" s="288"/>
      <c r="X310" s="287"/>
      <c r="Y310" s="288"/>
      <c r="Z310" s="288"/>
      <c r="AA310" s="288"/>
      <c r="AB310" s="288"/>
      <c r="AC310" s="288"/>
      <c r="AD310" s="288"/>
      <c r="AE310" s="288"/>
      <c r="AF310" s="288"/>
      <c r="AG310" s="288"/>
      <c r="AH310" s="288"/>
      <c r="AI310" s="288"/>
      <c r="AJ310" s="288"/>
      <c r="AK310" s="288"/>
      <c r="AL310" s="287"/>
      <c r="AM310" s="287"/>
      <c r="AN310" s="288"/>
      <c r="AO310" s="288"/>
      <c r="AP310" s="290"/>
      <c r="AQ310" s="288"/>
      <c r="AR310" s="194"/>
      <c r="AS310" s="291"/>
      <c r="AT310" s="171"/>
      <c r="AU310" s="286"/>
      <c r="AV310" s="171"/>
      <c r="AW310" s="171"/>
      <c r="AX310" s="171"/>
      <c r="AY310" s="171"/>
      <c r="AZ310" s="171"/>
      <c r="BA310" s="171"/>
      <c r="BB310" s="292"/>
      <c r="BC310" s="171"/>
      <c r="BD310" s="171"/>
      <c r="BE310" s="171"/>
      <c r="BF310" s="171"/>
      <c r="BG310" s="288"/>
      <c r="BH310" s="288"/>
      <c r="BI310" s="288"/>
      <c r="BJ310" s="288"/>
      <c r="BK310" s="288"/>
      <c r="BL310" s="288"/>
      <c r="BM310" s="288"/>
      <c r="BN310" s="288"/>
      <c r="BO310" s="288"/>
      <c r="BP310" s="288"/>
      <c r="BQ310" s="288"/>
      <c r="BR310" s="288"/>
      <c r="BS310" s="288"/>
      <c r="BT310" s="288"/>
      <c r="BU310" s="288"/>
      <c r="BV310" s="288"/>
      <c r="BW310" s="288"/>
      <c r="BX310" s="288"/>
    </row>
    <row r="311" spans="1:76" x14ac:dyDescent="0.25">
      <c r="A311" s="289"/>
      <c r="B311" s="286"/>
      <c r="C311" s="286"/>
      <c r="D311" s="287"/>
      <c r="E311" s="288"/>
      <c r="F311" s="288"/>
      <c r="G311" s="288"/>
      <c r="H311" s="288"/>
      <c r="I311" s="288"/>
      <c r="J311" s="288"/>
      <c r="K311" s="288"/>
      <c r="L311" s="287"/>
      <c r="M311" s="287"/>
      <c r="N311" s="288"/>
      <c r="O311" s="288"/>
      <c r="P311" s="288"/>
      <c r="Q311" s="288"/>
      <c r="R311" s="288"/>
      <c r="S311" s="288"/>
      <c r="T311" s="288"/>
      <c r="U311" s="288"/>
      <c r="V311" s="288"/>
      <c r="W311" s="288"/>
      <c r="X311" s="287"/>
      <c r="Y311" s="288"/>
      <c r="Z311" s="288"/>
      <c r="AA311" s="288"/>
      <c r="AB311" s="288"/>
      <c r="AC311" s="288"/>
      <c r="AD311" s="288"/>
      <c r="AE311" s="288"/>
      <c r="AF311" s="288"/>
      <c r="AG311" s="288"/>
      <c r="AH311" s="288"/>
      <c r="AI311" s="288"/>
      <c r="AJ311" s="288"/>
      <c r="AK311" s="288"/>
      <c r="AL311" s="287"/>
      <c r="AM311" s="287"/>
      <c r="AN311" s="288"/>
      <c r="AO311" s="288"/>
      <c r="AP311" s="288"/>
      <c r="AQ311" s="288"/>
      <c r="AR311" s="194"/>
      <c r="AS311" s="291"/>
      <c r="AT311" s="171"/>
      <c r="AU311" s="286"/>
      <c r="AV311" s="171"/>
      <c r="AW311" s="171"/>
      <c r="AX311" s="171"/>
      <c r="AY311" s="171"/>
      <c r="AZ311" s="171"/>
      <c r="BA311" s="171"/>
      <c r="BB311" s="292"/>
      <c r="BC311" s="171"/>
      <c r="BD311" s="171"/>
      <c r="BE311" s="171"/>
      <c r="BF311" s="171"/>
      <c r="BG311" s="288"/>
      <c r="BH311" s="288"/>
      <c r="BI311" s="288"/>
      <c r="BJ311" s="288"/>
      <c r="BK311" s="288"/>
      <c r="BL311" s="288"/>
      <c r="BM311" s="288"/>
      <c r="BN311" s="288"/>
      <c r="BO311" s="288"/>
      <c r="BP311" s="288"/>
      <c r="BQ311" s="288"/>
      <c r="BR311" s="288"/>
      <c r="BS311" s="288"/>
      <c r="BT311" s="288"/>
      <c r="BU311" s="288"/>
      <c r="BV311" s="288"/>
      <c r="BW311" s="288"/>
      <c r="BX311" s="288"/>
    </row>
    <row r="312" spans="1:76" x14ac:dyDescent="0.25">
      <c r="A312" s="289"/>
      <c r="B312" s="286"/>
      <c r="C312" s="286"/>
      <c r="D312" s="287"/>
      <c r="E312" s="288"/>
      <c r="F312" s="288"/>
      <c r="G312" s="288"/>
      <c r="H312" s="288"/>
      <c r="I312" s="288"/>
      <c r="J312" s="288"/>
      <c r="K312" s="288"/>
      <c r="L312" s="287"/>
      <c r="M312" s="287"/>
      <c r="N312" s="288" t="s">
        <v>72</v>
      </c>
      <c r="O312" s="288" t="s">
        <v>2</v>
      </c>
      <c r="P312" s="288" t="s">
        <v>72</v>
      </c>
      <c r="Q312" s="288" t="s">
        <v>72</v>
      </c>
      <c r="R312" s="288"/>
      <c r="S312" s="288"/>
      <c r="T312" s="288"/>
      <c r="U312" s="288"/>
      <c r="V312" s="288"/>
      <c r="W312" s="288"/>
      <c r="X312" s="287"/>
      <c r="Y312" s="288"/>
      <c r="Z312" s="288"/>
      <c r="AA312" s="288"/>
      <c r="AB312" s="288"/>
      <c r="AC312" s="288"/>
      <c r="AD312" s="288"/>
      <c r="AE312" s="288"/>
      <c r="AF312" s="288"/>
      <c r="AG312" s="288"/>
      <c r="AH312" s="288"/>
      <c r="AI312" s="288"/>
      <c r="AJ312" s="288"/>
      <c r="AK312" s="288"/>
      <c r="AL312" s="287"/>
      <c r="AM312" s="287"/>
      <c r="AN312" s="288"/>
      <c r="AO312" s="288"/>
      <c r="AP312" s="288"/>
      <c r="AQ312" s="288"/>
      <c r="AR312" s="194"/>
      <c r="AS312" s="291"/>
      <c r="AT312" s="171"/>
      <c r="AU312" s="286"/>
      <c r="AV312" s="171"/>
      <c r="AW312" s="171"/>
      <c r="AX312" s="171"/>
      <c r="AY312" s="171"/>
      <c r="AZ312" s="171"/>
      <c r="BA312" s="171"/>
      <c r="BB312" s="171"/>
      <c r="BC312" s="171"/>
      <c r="BD312" s="171"/>
      <c r="BE312" s="171"/>
      <c r="BF312" s="171"/>
      <c r="BG312" s="288"/>
      <c r="BH312" s="288"/>
      <c r="BI312" s="288"/>
      <c r="BJ312" s="288"/>
      <c r="BK312" s="288"/>
      <c r="BL312" s="288"/>
      <c r="BM312" s="288"/>
      <c r="BN312" s="288"/>
      <c r="BO312" s="288"/>
      <c r="BP312" s="288"/>
      <c r="BQ312" s="288"/>
      <c r="BR312" s="288"/>
      <c r="BS312" s="288"/>
      <c r="BT312" s="288"/>
      <c r="BU312" s="288"/>
      <c r="BV312" s="288"/>
      <c r="BW312" s="288"/>
      <c r="BX312" s="288"/>
    </row>
    <row r="313" spans="1:76" x14ac:dyDescent="0.25">
      <c r="A313" s="289"/>
      <c r="B313" s="286"/>
      <c r="C313" s="286"/>
      <c r="D313" s="287"/>
      <c r="E313" s="288"/>
      <c r="F313" s="288"/>
      <c r="G313" s="288"/>
      <c r="H313" s="288"/>
      <c r="I313" s="288"/>
      <c r="J313" s="288"/>
      <c r="K313" s="288"/>
      <c r="L313" s="287"/>
      <c r="M313" s="287"/>
      <c r="N313" s="288" t="s">
        <v>64</v>
      </c>
      <c r="O313" s="288" t="s">
        <v>2</v>
      </c>
      <c r="P313" s="288" t="s">
        <v>64</v>
      </c>
      <c r="Q313" s="288" t="s">
        <v>64</v>
      </c>
      <c r="R313" s="288"/>
      <c r="S313" s="288"/>
      <c r="T313" s="288"/>
      <c r="U313" s="288"/>
      <c r="V313" s="288"/>
      <c r="W313" s="288"/>
      <c r="X313" s="287"/>
      <c r="Y313" s="288"/>
      <c r="Z313" s="288"/>
      <c r="AA313" s="288"/>
      <c r="AB313" s="288"/>
      <c r="AC313" s="288"/>
      <c r="AD313" s="288"/>
      <c r="AE313" s="288"/>
      <c r="AF313" s="288"/>
      <c r="AG313" s="288"/>
      <c r="AH313" s="288"/>
      <c r="AI313" s="288"/>
      <c r="AJ313" s="288"/>
      <c r="AK313" s="288"/>
      <c r="AL313" s="287"/>
      <c r="AM313" s="287"/>
      <c r="AN313" s="288"/>
      <c r="AO313" s="288"/>
      <c r="AP313" s="288"/>
      <c r="AQ313" s="288"/>
      <c r="AR313" s="194"/>
      <c r="AS313" s="291"/>
      <c r="AT313" s="171"/>
      <c r="AU313" s="286"/>
      <c r="AV313" s="171"/>
      <c r="AW313" s="171"/>
      <c r="AX313" s="171"/>
      <c r="AY313" s="171"/>
      <c r="AZ313" s="171"/>
      <c r="BA313" s="171"/>
      <c r="BB313" s="171"/>
      <c r="BC313" s="171"/>
      <c r="BD313" s="171"/>
      <c r="BE313" s="171"/>
      <c r="BF313" s="171"/>
      <c r="BG313" s="288"/>
      <c r="BH313" s="288"/>
      <c r="BI313" s="288"/>
      <c r="BJ313" s="288"/>
      <c r="BK313" s="288"/>
      <c r="BL313" s="288"/>
      <c r="BM313" s="288"/>
      <c r="BN313" s="288"/>
      <c r="BO313" s="288"/>
      <c r="BP313" s="288"/>
      <c r="BQ313" s="288"/>
      <c r="BR313" s="288"/>
      <c r="BS313" s="288"/>
      <c r="BT313" s="288"/>
      <c r="BU313" s="288"/>
      <c r="BV313" s="288"/>
      <c r="BW313" s="288"/>
      <c r="BX313" s="288"/>
    </row>
    <row r="314" spans="1:76" x14ac:dyDescent="0.25">
      <c r="A314" s="289"/>
      <c r="B314" s="286"/>
      <c r="C314" s="286"/>
      <c r="D314" s="287"/>
      <c r="E314" s="288"/>
      <c r="F314" s="288"/>
      <c r="G314" s="288"/>
      <c r="H314" s="288"/>
      <c r="I314" s="288"/>
      <c r="J314" s="288"/>
      <c r="K314" s="288"/>
      <c r="L314" s="287"/>
      <c r="M314" s="287"/>
      <c r="N314" s="288" t="s">
        <v>1</v>
      </c>
      <c r="O314" s="288" t="s">
        <v>2</v>
      </c>
      <c r="P314" s="288" t="s">
        <v>1</v>
      </c>
      <c r="Q314" s="288" t="s">
        <v>1</v>
      </c>
      <c r="R314" s="288"/>
      <c r="S314" s="288"/>
      <c r="T314" s="288"/>
      <c r="U314" s="288"/>
      <c r="V314" s="288"/>
      <c r="W314" s="288"/>
      <c r="X314" s="287"/>
      <c r="Y314" s="288"/>
      <c r="Z314" s="288"/>
      <c r="AA314" s="288"/>
      <c r="AB314" s="288"/>
      <c r="AC314" s="288"/>
      <c r="AD314" s="288"/>
      <c r="AE314" s="288"/>
      <c r="AF314" s="288"/>
      <c r="AG314" s="288"/>
      <c r="AH314" s="288"/>
      <c r="AI314" s="288"/>
      <c r="AJ314" s="288"/>
      <c r="AK314" s="288"/>
      <c r="AL314" s="287"/>
      <c r="AM314" s="287"/>
      <c r="AN314" s="288"/>
      <c r="AO314" s="288"/>
      <c r="AP314" s="288"/>
      <c r="AQ314" s="288"/>
      <c r="AR314" s="194"/>
      <c r="AS314" s="291"/>
      <c r="AT314" s="171"/>
      <c r="AU314" s="286"/>
      <c r="AV314" s="171"/>
      <c r="AW314" s="171"/>
      <c r="AX314" s="171"/>
      <c r="AY314" s="171"/>
      <c r="AZ314" s="171"/>
      <c r="BA314" s="171"/>
      <c r="BB314" s="171"/>
      <c r="BC314" s="171"/>
      <c r="BD314" s="171"/>
      <c r="BE314" s="171"/>
      <c r="BF314" s="171"/>
      <c r="BG314" s="288"/>
      <c r="BH314" s="288"/>
      <c r="BI314" s="288"/>
      <c r="BJ314" s="288"/>
      <c r="BK314" s="288"/>
      <c r="BL314" s="288"/>
      <c r="BM314" s="288"/>
      <c r="BN314" s="288"/>
      <c r="BO314" s="288"/>
      <c r="BP314" s="288"/>
      <c r="BQ314" s="288"/>
      <c r="BR314" s="288"/>
      <c r="BS314" s="288"/>
      <c r="BT314" s="288"/>
      <c r="BU314" s="288"/>
      <c r="BV314" s="288"/>
      <c r="BW314" s="288"/>
      <c r="BX314" s="288"/>
    </row>
    <row r="315" spans="1:76" x14ac:dyDescent="0.25">
      <c r="A315" s="289"/>
      <c r="B315" s="286"/>
      <c r="C315" s="286"/>
      <c r="D315" s="287"/>
      <c r="E315" s="288"/>
      <c r="F315" s="288"/>
      <c r="G315" s="288"/>
      <c r="H315" s="288"/>
      <c r="I315" s="288"/>
      <c r="J315" s="288"/>
      <c r="K315" s="288"/>
      <c r="L315" s="287"/>
      <c r="M315" s="287"/>
      <c r="N315" s="288" t="s">
        <v>63</v>
      </c>
      <c r="O315" s="288" t="s">
        <v>3</v>
      </c>
      <c r="P315" s="288" t="s">
        <v>63</v>
      </c>
      <c r="Q315" s="288" t="s">
        <v>63</v>
      </c>
      <c r="R315" s="288"/>
      <c r="S315" s="288"/>
      <c r="T315" s="288"/>
      <c r="U315" s="288"/>
      <c r="V315" s="288"/>
      <c r="W315" s="288"/>
      <c r="X315" s="287"/>
      <c r="Y315" s="288"/>
      <c r="Z315" s="288"/>
      <c r="AA315" s="288"/>
      <c r="AB315" s="288"/>
      <c r="AC315" s="288"/>
      <c r="AD315" s="288"/>
      <c r="AE315" s="288"/>
      <c r="AF315" s="288"/>
      <c r="AG315" s="288"/>
      <c r="AH315" s="288"/>
      <c r="AI315" s="288"/>
      <c r="AJ315" s="288"/>
      <c r="AK315" s="288"/>
      <c r="AL315" s="287"/>
      <c r="AM315" s="287"/>
      <c r="AN315" s="288"/>
      <c r="AO315" s="288"/>
      <c r="AP315" s="288"/>
      <c r="AQ315" s="288"/>
      <c r="AR315" s="194"/>
      <c r="AS315" s="291"/>
      <c r="AT315" s="171"/>
      <c r="AU315" s="286"/>
      <c r="AV315" s="171"/>
      <c r="AW315" s="171"/>
      <c r="AX315" s="171"/>
      <c r="AY315" s="171"/>
      <c r="AZ315" s="171"/>
      <c r="BA315" s="171"/>
      <c r="BB315" s="171"/>
      <c r="BC315" s="171"/>
      <c r="BD315" s="171"/>
      <c r="BE315" s="171"/>
      <c r="BF315" s="171"/>
      <c r="BG315" s="288"/>
      <c r="BH315" s="288"/>
      <c r="BI315" s="288"/>
      <c r="BJ315" s="288"/>
      <c r="BK315" s="288"/>
      <c r="BL315" s="288"/>
      <c r="BM315" s="288"/>
      <c r="BN315" s="288"/>
      <c r="BO315" s="288"/>
      <c r="BP315" s="288"/>
      <c r="BQ315" s="288"/>
      <c r="BR315" s="288"/>
      <c r="BS315" s="288"/>
      <c r="BT315" s="288"/>
      <c r="BU315" s="288"/>
      <c r="BV315" s="288"/>
      <c r="BW315" s="288"/>
      <c r="BX315" s="288"/>
    </row>
    <row r="316" spans="1:76" x14ac:dyDescent="0.25">
      <c r="A316" s="289"/>
      <c r="B316" s="286"/>
      <c r="C316" s="286"/>
      <c r="D316" s="287"/>
      <c r="E316" s="288"/>
      <c r="F316" s="288"/>
      <c r="G316" s="288"/>
      <c r="H316" s="288"/>
      <c r="I316" s="288"/>
      <c r="J316" s="288"/>
      <c r="K316" s="288"/>
      <c r="L316" s="287"/>
      <c r="M316" s="287"/>
      <c r="N316" s="288"/>
      <c r="O316" s="288"/>
      <c r="P316" s="288"/>
      <c r="Q316" s="288"/>
      <c r="R316" s="288"/>
      <c r="S316" s="288"/>
      <c r="T316" s="288"/>
      <c r="U316" s="288"/>
      <c r="V316" s="288"/>
      <c r="W316" s="288"/>
      <c r="X316" s="287"/>
      <c r="Y316" s="288"/>
      <c r="Z316" s="288"/>
      <c r="AA316" s="288"/>
      <c r="AB316" s="288"/>
      <c r="AC316" s="288"/>
      <c r="AD316" s="288"/>
      <c r="AE316" s="288"/>
      <c r="AF316" s="288"/>
      <c r="AG316" s="288"/>
      <c r="AH316" s="288"/>
      <c r="AI316" s="288"/>
      <c r="AJ316" s="288"/>
      <c r="AK316" s="288"/>
      <c r="AL316" s="287"/>
      <c r="AM316" s="287"/>
      <c r="AN316" s="288"/>
      <c r="AO316" s="288"/>
      <c r="AP316" s="288"/>
      <c r="AQ316" s="288"/>
      <c r="AR316" s="194"/>
      <c r="AS316" s="291"/>
      <c r="AT316" s="171"/>
      <c r="AU316" s="286"/>
      <c r="AV316" s="171"/>
      <c r="AW316" s="171"/>
      <c r="AX316" s="171"/>
      <c r="AY316" s="171"/>
      <c r="AZ316" s="171"/>
      <c r="BA316" s="171"/>
      <c r="BB316" s="171"/>
      <c r="BC316" s="171"/>
      <c r="BD316" s="171"/>
      <c r="BE316" s="171"/>
      <c r="BF316" s="171"/>
      <c r="BG316" s="288"/>
      <c r="BH316" s="288"/>
      <c r="BI316" s="288"/>
      <c r="BJ316" s="288"/>
      <c r="BK316" s="288"/>
      <c r="BL316" s="288"/>
      <c r="BM316" s="288"/>
      <c r="BN316" s="288"/>
      <c r="BO316" s="288"/>
      <c r="BP316" s="288"/>
      <c r="BQ316" s="288"/>
      <c r="BR316" s="288"/>
      <c r="BS316" s="288"/>
      <c r="BT316" s="288"/>
      <c r="BU316" s="288"/>
      <c r="BV316" s="288"/>
      <c r="BW316" s="288"/>
      <c r="BX316" s="288"/>
    </row>
    <row r="317" spans="1:76" x14ac:dyDescent="0.25">
      <c r="A317" s="289"/>
      <c r="B317" s="286"/>
      <c r="C317" s="286"/>
      <c r="D317" s="287"/>
      <c r="E317" s="288"/>
      <c r="F317" s="288"/>
      <c r="G317" s="288"/>
      <c r="H317" s="288"/>
      <c r="I317" s="288"/>
      <c r="J317" s="288"/>
      <c r="K317" s="288"/>
      <c r="L317" s="287"/>
      <c r="M317" s="287"/>
      <c r="N317" s="288"/>
      <c r="O317" s="288"/>
      <c r="P317" s="288"/>
      <c r="Q317" s="288"/>
      <c r="R317" s="288"/>
      <c r="S317" s="288"/>
      <c r="T317" s="288"/>
      <c r="U317" s="288"/>
      <c r="V317" s="288"/>
      <c r="W317" s="288"/>
      <c r="X317" s="287"/>
      <c r="Y317" s="288"/>
      <c r="Z317" s="288"/>
      <c r="AA317" s="288"/>
      <c r="AB317" s="288"/>
      <c r="AC317" s="288"/>
      <c r="AD317" s="288"/>
      <c r="AE317" s="288"/>
      <c r="AF317" s="288"/>
      <c r="AG317" s="288"/>
      <c r="AH317" s="288"/>
      <c r="AI317" s="288"/>
      <c r="AJ317" s="288"/>
      <c r="AK317" s="288"/>
      <c r="AL317" s="287"/>
      <c r="AM317" s="287"/>
      <c r="AN317" s="288"/>
      <c r="AO317" s="288"/>
      <c r="AP317" s="288"/>
      <c r="AQ317" s="288"/>
      <c r="AR317" s="194"/>
      <c r="AS317" s="291"/>
      <c r="AT317" s="171"/>
      <c r="AU317" s="286"/>
      <c r="AV317" s="171"/>
      <c r="AW317" s="171"/>
      <c r="AX317" s="171"/>
      <c r="AY317" s="171"/>
      <c r="AZ317" s="171"/>
      <c r="BA317" s="171"/>
      <c r="BB317" s="171"/>
      <c r="BC317" s="171"/>
      <c r="BD317" s="171"/>
      <c r="BE317" s="171"/>
      <c r="BF317" s="171"/>
      <c r="BG317" s="288"/>
      <c r="BH317" s="288"/>
      <c r="BI317" s="288"/>
      <c r="BJ317" s="288"/>
      <c r="BK317" s="288"/>
      <c r="BL317" s="288"/>
      <c r="BM317" s="288"/>
      <c r="BN317" s="288"/>
      <c r="BO317" s="288"/>
      <c r="BP317" s="288"/>
      <c r="BQ317" s="288"/>
      <c r="BR317" s="288"/>
      <c r="BS317" s="288"/>
      <c r="BT317" s="288"/>
      <c r="BU317" s="288"/>
      <c r="BV317" s="288"/>
      <c r="BW317" s="288"/>
      <c r="BX317" s="288"/>
    </row>
    <row r="318" spans="1:76" x14ac:dyDescent="0.25">
      <c r="A318" s="289"/>
      <c r="B318" s="286"/>
      <c r="C318" s="286"/>
      <c r="D318" s="287"/>
      <c r="E318" s="288"/>
      <c r="F318" s="288"/>
      <c r="G318" s="288"/>
      <c r="H318" s="288"/>
      <c r="I318" s="288"/>
      <c r="J318" s="288"/>
      <c r="K318" s="288"/>
      <c r="L318" s="287"/>
      <c r="M318" s="287"/>
      <c r="N318" s="288"/>
      <c r="O318" s="288"/>
      <c r="P318" s="288"/>
      <c r="Q318" s="288"/>
      <c r="R318" s="288"/>
      <c r="S318" s="288"/>
      <c r="T318" s="288"/>
      <c r="U318" s="288"/>
      <c r="V318" s="288"/>
      <c r="W318" s="288"/>
      <c r="X318" s="287"/>
      <c r="Y318" s="288"/>
      <c r="Z318" s="288"/>
      <c r="AA318" s="288"/>
      <c r="AB318" s="288"/>
      <c r="AC318" s="288"/>
      <c r="AD318" s="288"/>
      <c r="AE318" s="288"/>
      <c r="AF318" s="288"/>
      <c r="AG318" s="288"/>
      <c r="AH318" s="288"/>
      <c r="AI318" s="288"/>
      <c r="AJ318" s="288"/>
      <c r="AK318" s="288"/>
      <c r="AL318" s="287"/>
      <c r="AM318" s="287"/>
      <c r="AN318" s="288"/>
      <c r="AO318" s="288"/>
      <c r="AP318" s="288"/>
      <c r="AQ318" s="288"/>
      <c r="AR318" s="194"/>
      <c r="AS318" s="291"/>
      <c r="AT318" s="171"/>
      <c r="AU318" s="286"/>
      <c r="AV318" s="171"/>
      <c r="AW318" s="171"/>
      <c r="AX318" s="171"/>
      <c r="AY318" s="171"/>
      <c r="AZ318" s="171"/>
      <c r="BA318" s="171"/>
      <c r="BB318" s="171"/>
      <c r="BC318" s="171"/>
      <c r="BD318" s="171"/>
      <c r="BE318" s="171"/>
      <c r="BF318" s="171"/>
      <c r="BG318" s="288"/>
      <c r="BH318" s="288"/>
      <c r="BI318" s="288"/>
      <c r="BJ318" s="288"/>
      <c r="BK318" s="288"/>
      <c r="BL318" s="288"/>
      <c r="BM318" s="288"/>
      <c r="BN318" s="288"/>
      <c r="BO318" s="288"/>
      <c r="BP318" s="288"/>
      <c r="BQ318" s="288"/>
      <c r="BR318" s="288"/>
      <c r="BS318" s="288"/>
      <c r="BT318" s="288"/>
      <c r="BU318" s="288"/>
      <c r="BV318" s="288"/>
      <c r="BW318" s="288"/>
      <c r="BX318" s="288"/>
    </row>
    <row r="319" spans="1:76" x14ac:dyDescent="0.25">
      <c r="A319" s="289"/>
      <c r="B319" s="286"/>
      <c r="C319" s="286"/>
      <c r="D319" s="287"/>
      <c r="E319" s="288"/>
      <c r="F319" s="288"/>
      <c r="G319" s="288"/>
      <c r="H319" s="288"/>
      <c r="I319" s="288"/>
      <c r="J319" s="288"/>
      <c r="K319" s="288"/>
      <c r="L319" s="287"/>
      <c r="M319" s="287"/>
      <c r="N319" s="288"/>
      <c r="O319" s="288"/>
      <c r="P319" s="288"/>
      <c r="Q319" s="288"/>
      <c r="R319" s="288"/>
      <c r="S319" s="288"/>
      <c r="T319" s="288"/>
      <c r="U319" s="288"/>
      <c r="V319" s="288"/>
      <c r="W319" s="288"/>
      <c r="X319" s="287"/>
      <c r="Y319" s="288"/>
      <c r="Z319" s="288"/>
      <c r="AA319" s="288"/>
      <c r="AB319" s="288"/>
      <c r="AC319" s="288"/>
      <c r="AD319" s="288"/>
      <c r="AE319" s="288"/>
      <c r="AF319" s="288"/>
      <c r="AG319" s="288"/>
      <c r="AH319" s="288"/>
      <c r="AI319" s="288"/>
      <c r="AJ319" s="288"/>
      <c r="AK319" s="288"/>
      <c r="AL319" s="287"/>
      <c r="AM319" s="287"/>
      <c r="AN319" s="288"/>
      <c r="AO319" s="288"/>
      <c r="AP319" s="288"/>
      <c r="AQ319" s="288"/>
      <c r="AR319" s="194"/>
      <c r="AS319" s="291"/>
      <c r="AT319" s="171"/>
      <c r="AU319" s="286"/>
      <c r="AV319" s="171"/>
      <c r="AW319" s="171"/>
      <c r="AX319" s="171"/>
      <c r="AY319" s="171"/>
      <c r="AZ319" s="171"/>
      <c r="BA319" s="171"/>
      <c r="BB319" s="171"/>
      <c r="BC319" s="171"/>
      <c r="BD319" s="171"/>
      <c r="BE319" s="171"/>
      <c r="BF319" s="171"/>
      <c r="BG319" s="288"/>
      <c r="BH319" s="288"/>
      <c r="BI319" s="288"/>
      <c r="BJ319" s="288"/>
      <c r="BK319" s="288"/>
      <c r="BL319" s="288"/>
      <c r="BM319" s="288"/>
      <c r="BN319" s="288"/>
      <c r="BO319" s="288"/>
      <c r="BP319" s="288"/>
      <c r="BQ319" s="288"/>
      <c r="BR319" s="288"/>
      <c r="BS319" s="288"/>
      <c r="BT319" s="288"/>
      <c r="BU319" s="288"/>
      <c r="BV319" s="288"/>
      <c r="BW319" s="288"/>
      <c r="BX319" s="288"/>
    </row>
    <row r="320" spans="1:76" x14ac:dyDescent="0.25">
      <c r="A320" s="289"/>
      <c r="B320" s="286"/>
      <c r="C320" s="286"/>
      <c r="D320" s="287"/>
      <c r="E320" s="288"/>
      <c r="F320" s="288"/>
      <c r="G320" s="288"/>
      <c r="H320" s="288"/>
      <c r="I320" s="288"/>
      <c r="J320" s="288"/>
      <c r="K320" s="288"/>
      <c r="L320" s="287"/>
      <c r="M320" s="287"/>
      <c r="N320" s="288"/>
      <c r="O320" s="288"/>
      <c r="P320" s="288"/>
      <c r="Q320" s="288"/>
      <c r="R320" s="288"/>
      <c r="S320" s="288"/>
      <c r="T320" s="288"/>
      <c r="U320" s="288"/>
      <c r="V320" s="288"/>
      <c r="W320" s="288"/>
      <c r="X320" s="287"/>
      <c r="Y320" s="288"/>
      <c r="Z320" s="288"/>
      <c r="AA320" s="288"/>
      <c r="AB320" s="288"/>
      <c r="AC320" s="288"/>
      <c r="AD320" s="288"/>
      <c r="AE320" s="288"/>
      <c r="AF320" s="288"/>
      <c r="AG320" s="288"/>
      <c r="AH320" s="288"/>
      <c r="AI320" s="288"/>
      <c r="AJ320" s="288"/>
      <c r="AK320" s="288"/>
      <c r="AL320" s="287"/>
      <c r="AM320" s="287"/>
      <c r="AN320" s="288"/>
      <c r="AO320" s="288"/>
      <c r="AP320" s="288"/>
      <c r="AQ320" s="288"/>
      <c r="AR320" s="194"/>
      <c r="AS320" s="291"/>
      <c r="AT320" s="171"/>
      <c r="AU320" s="286"/>
      <c r="AV320" s="171"/>
      <c r="AW320" s="171"/>
      <c r="AX320" s="171"/>
      <c r="AY320" s="171"/>
      <c r="AZ320" s="171"/>
      <c r="BA320" s="171"/>
      <c r="BB320" s="171"/>
      <c r="BC320" s="171"/>
      <c r="BD320" s="171"/>
      <c r="BE320" s="171"/>
      <c r="BF320" s="171"/>
      <c r="BG320" s="288"/>
      <c r="BH320" s="288"/>
      <c r="BI320" s="288"/>
      <c r="BJ320" s="288"/>
      <c r="BK320" s="288"/>
      <c r="BL320" s="288"/>
      <c r="BM320" s="288"/>
      <c r="BN320" s="288"/>
      <c r="BO320" s="288"/>
      <c r="BP320" s="288"/>
      <c r="BQ320" s="288"/>
      <c r="BR320" s="288"/>
      <c r="BS320" s="288"/>
      <c r="BT320" s="288"/>
      <c r="BU320" s="288"/>
      <c r="BV320" s="288"/>
      <c r="BW320" s="288"/>
      <c r="BX320" s="288"/>
    </row>
    <row r="321" spans="1:76" x14ac:dyDescent="0.25">
      <c r="A321" s="289"/>
      <c r="B321" s="286"/>
      <c r="C321" s="286"/>
      <c r="D321" s="287"/>
      <c r="E321" s="288"/>
      <c r="F321" s="288"/>
      <c r="G321" s="288"/>
      <c r="H321" s="288"/>
      <c r="I321" s="288"/>
      <c r="J321" s="288"/>
      <c r="K321" s="288"/>
      <c r="L321" s="287"/>
      <c r="M321" s="287"/>
      <c r="N321" s="288"/>
      <c r="O321" s="288"/>
      <c r="P321" s="288"/>
      <c r="Q321" s="288"/>
      <c r="R321" s="288"/>
      <c r="S321" s="288"/>
      <c r="T321" s="288"/>
      <c r="U321" s="288"/>
      <c r="V321" s="288"/>
      <c r="W321" s="288"/>
      <c r="X321" s="287"/>
      <c r="Y321" s="288"/>
      <c r="Z321" s="288"/>
      <c r="AA321" s="288"/>
      <c r="AB321" s="288"/>
      <c r="AC321" s="288"/>
      <c r="AD321" s="288"/>
      <c r="AE321" s="288"/>
      <c r="AF321" s="288"/>
      <c r="AG321" s="288"/>
      <c r="AH321" s="288"/>
      <c r="AI321" s="288"/>
      <c r="AJ321" s="288"/>
      <c r="AK321" s="288"/>
      <c r="AL321" s="287"/>
      <c r="AM321" s="287"/>
      <c r="AN321" s="288"/>
      <c r="AO321" s="288"/>
      <c r="AP321" s="288"/>
      <c r="AQ321" s="288"/>
      <c r="AR321" s="194"/>
      <c r="AS321" s="291"/>
      <c r="AT321" s="171"/>
      <c r="AU321" s="286"/>
      <c r="AV321" s="171"/>
      <c r="AW321" s="171"/>
      <c r="AX321" s="171"/>
      <c r="AY321" s="171"/>
      <c r="AZ321" s="171"/>
      <c r="BA321" s="171"/>
      <c r="BB321" s="171"/>
      <c r="BC321" s="171"/>
      <c r="BD321" s="171"/>
      <c r="BE321" s="171"/>
      <c r="BF321" s="171"/>
      <c r="BG321" s="288"/>
      <c r="BH321" s="288"/>
      <c r="BI321" s="288"/>
      <c r="BJ321" s="288"/>
      <c r="BK321" s="288"/>
      <c r="BL321" s="288"/>
      <c r="BM321" s="288"/>
      <c r="BN321" s="288"/>
      <c r="BO321" s="288"/>
      <c r="BP321" s="288"/>
      <c r="BQ321" s="288"/>
      <c r="BR321" s="288"/>
      <c r="BS321" s="288"/>
      <c r="BT321" s="288"/>
      <c r="BU321" s="288"/>
      <c r="BV321" s="288"/>
      <c r="BW321" s="288"/>
      <c r="BX321" s="288"/>
    </row>
    <row r="322" spans="1:76" x14ac:dyDescent="0.25">
      <c r="A322" s="289"/>
      <c r="B322" s="286"/>
      <c r="C322" s="286"/>
      <c r="D322" s="287"/>
      <c r="E322" s="288"/>
      <c r="F322" s="288"/>
      <c r="G322" s="288"/>
      <c r="H322" s="288"/>
      <c r="I322" s="288"/>
      <c r="J322" s="288"/>
      <c r="K322" s="288"/>
      <c r="L322" s="287"/>
      <c r="M322" s="287"/>
      <c r="N322" s="288"/>
      <c r="O322" s="288"/>
      <c r="P322" s="288"/>
      <c r="Q322" s="288"/>
      <c r="R322" s="288"/>
      <c r="S322" s="288"/>
      <c r="T322" s="288"/>
      <c r="U322" s="288"/>
      <c r="V322" s="288"/>
      <c r="W322" s="288"/>
      <c r="X322" s="287"/>
      <c r="Y322" s="288"/>
      <c r="Z322" s="288"/>
      <c r="AA322" s="288"/>
      <c r="AB322" s="288"/>
      <c r="AC322" s="288"/>
      <c r="AD322" s="288"/>
      <c r="AE322" s="288"/>
      <c r="AF322" s="288"/>
      <c r="AG322" s="288"/>
      <c r="AH322" s="288"/>
      <c r="AI322" s="288"/>
      <c r="AJ322" s="288"/>
      <c r="AK322" s="288"/>
      <c r="AL322" s="287"/>
      <c r="AM322" s="287"/>
      <c r="AN322" s="288"/>
      <c r="AO322" s="288"/>
      <c r="AP322" s="288"/>
      <c r="AQ322" s="288"/>
      <c r="AR322" s="194"/>
      <c r="AS322" s="291"/>
      <c r="AT322" s="171"/>
      <c r="AU322" s="286"/>
      <c r="AV322" s="171"/>
      <c r="AW322" s="171"/>
      <c r="AX322" s="171"/>
      <c r="AY322" s="171"/>
      <c r="AZ322" s="171"/>
      <c r="BA322" s="171"/>
      <c r="BB322" s="171"/>
      <c r="BC322" s="171"/>
      <c r="BD322" s="171"/>
      <c r="BE322" s="171"/>
      <c r="BF322" s="171"/>
      <c r="BG322" s="288"/>
      <c r="BH322" s="288"/>
      <c r="BI322" s="288"/>
      <c r="BJ322" s="288"/>
      <c r="BK322" s="288"/>
      <c r="BL322" s="288"/>
      <c r="BM322" s="288"/>
      <c r="BN322" s="288"/>
      <c r="BO322" s="288"/>
      <c r="BP322" s="288"/>
      <c r="BQ322" s="288"/>
      <c r="BR322" s="288"/>
      <c r="BS322" s="288"/>
      <c r="BT322" s="288"/>
      <c r="BU322" s="288"/>
      <c r="BV322" s="288"/>
      <c r="BW322" s="288"/>
      <c r="BX322" s="288"/>
    </row>
    <row r="323" spans="1:76" x14ac:dyDescent="0.25">
      <c r="A323" s="289"/>
      <c r="B323" s="286"/>
      <c r="C323" s="286"/>
      <c r="D323" s="287"/>
      <c r="E323" s="288"/>
      <c r="F323" s="288"/>
      <c r="G323" s="288"/>
      <c r="H323" s="288"/>
      <c r="I323" s="288"/>
      <c r="J323" s="288"/>
      <c r="K323" s="288"/>
      <c r="L323" s="287"/>
      <c r="M323" s="287"/>
      <c r="N323" s="288"/>
      <c r="O323" s="288"/>
      <c r="P323" s="288"/>
      <c r="Q323" s="288"/>
      <c r="R323" s="288"/>
      <c r="S323" s="288"/>
      <c r="T323" s="288"/>
      <c r="U323" s="288"/>
      <c r="V323" s="288"/>
      <c r="W323" s="288"/>
      <c r="X323" s="287"/>
      <c r="Y323" s="288"/>
      <c r="Z323" s="288"/>
      <c r="AA323" s="288"/>
      <c r="AB323" s="288"/>
      <c r="AC323" s="288"/>
      <c r="AD323" s="288"/>
      <c r="AE323" s="288"/>
      <c r="AF323" s="288"/>
      <c r="AG323" s="288"/>
      <c r="AH323" s="288"/>
      <c r="AI323" s="288"/>
      <c r="AJ323" s="288"/>
      <c r="AK323" s="288"/>
      <c r="AL323" s="287"/>
      <c r="AM323" s="287"/>
      <c r="AN323" s="288"/>
      <c r="AO323" s="288"/>
      <c r="AP323" s="288"/>
      <c r="AQ323" s="288"/>
      <c r="AR323" s="194"/>
      <c r="AS323" s="291"/>
      <c r="AT323" s="171"/>
      <c r="AU323" s="286"/>
      <c r="AV323" s="171"/>
      <c r="AW323" s="171"/>
      <c r="AX323" s="171"/>
      <c r="AY323" s="171"/>
      <c r="AZ323" s="171">
        <f>AZ326</f>
        <v>0</v>
      </c>
      <c r="BA323" s="171"/>
      <c r="BB323" s="171"/>
      <c r="BC323" s="171"/>
      <c r="BD323" s="171"/>
      <c r="BE323" s="171"/>
      <c r="BF323" s="171"/>
      <c r="BG323" s="288"/>
      <c r="BH323" s="288"/>
      <c r="BI323" s="288"/>
      <c r="BJ323" s="288"/>
      <c r="BK323" s="288"/>
      <c r="BL323" s="288"/>
      <c r="BM323" s="288"/>
      <c r="BN323" s="288"/>
      <c r="BO323" s="288"/>
      <c r="BP323" s="288"/>
      <c r="BQ323" s="288"/>
      <c r="BR323" s="288"/>
      <c r="BS323" s="288"/>
      <c r="BT323" s="288"/>
      <c r="BU323" s="288"/>
      <c r="BV323" s="288"/>
      <c r="BW323" s="288"/>
      <c r="BX323" s="288"/>
    </row>
    <row r="324" spans="1:76" x14ac:dyDescent="0.25">
      <c r="A324" s="289"/>
      <c r="B324" s="286"/>
      <c r="C324" s="286"/>
      <c r="D324" s="287"/>
      <c r="E324" s="288"/>
      <c r="F324" s="288"/>
      <c r="G324" s="288"/>
      <c r="H324" s="288"/>
      <c r="I324" s="288"/>
      <c r="J324" s="288"/>
      <c r="K324" s="288"/>
      <c r="L324" s="287"/>
      <c r="M324" s="287"/>
      <c r="N324" s="288"/>
      <c r="O324" s="288"/>
      <c r="P324" s="288"/>
      <c r="Q324" s="288"/>
      <c r="R324" s="288"/>
      <c r="S324" s="288"/>
      <c r="T324" s="288"/>
      <c r="U324" s="288"/>
      <c r="V324" s="288"/>
      <c r="W324" s="288"/>
      <c r="X324" s="287"/>
      <c r="Y324" s="288"/>
      <c r="Z324" s="288"/>
      <c r="AA324" s="288"/>
      <c r="AB324" s="288"/>
      <c r="AC324" s="288"/>
      <c r="AD324" s="288"/>
      <c r="AE324" s="288"/>
      <c r="AF324" s="288"/>
      <c r="AG324" s="288"/>
      <c r="AH324" s="288"/>
      <c r="AI324" s="288"/>
      <c r="AJ324" s="288"/>
      <c r="AK324" s="288"/>
      <c r="AL324" s="287"/>
      <c r="AM324" s="287"/>
      <c r="AN324" s="288"/>
      <c r="AO324" s="288"/>
      <c r="AP324" s="288"/>
      <c r="AQ324" s="288"/>
      <c r="AR324" s="194"/>
      <c r="AS324" s="291"/>
      <c r="AT324" s="171"/>
      <c r="AU324" s="286"/>
      <c r="AV324" s="171"/>
      <c r="AW324" s="171"/>
      <c r="AX324" s="171"/>
      <c r="AY324" s="171"/>
      <c r="AZ324" s="171"/>
      <c r="BA324" s="171"/>
      <c r="BB324" s="171"/>
      <c r="BC324" s="171"/>
      <c r="BD324" s="171"/>
      <c r="BE324" s="171"/>
      <c r="BF324" s="171"/>
      <c r="BG324" s="288"/>
      <c r="BH324" s="288"/>
      <c r="BI324" s="288"/>
      <c r="BJ324" s="288"/>
      <c r="BK324" s="288"/>
      <c r="BL324" s="288"/>
      <c r="BM324" s="288"/>
      <c r="BN324" s="288"/>
      <c r="BO324" s="288"/>
      <c r="BP324" s="288"/>
      <c r="BQ324" s="288"/>
      <c r="BR324" s="288"/>
      <c r="BS324" s="288"/>
      <c r="BT324" s="288"/>
      <c r="BU324" s="288"/>
      <c r="BV324" s="288"/>
      <c r="BW324" s="288"/>
      <c r="BX324" s="288"/>
    </row>
    <row r="325" spans="1:76" x14ac:dyDescent="0.25">
      <c r="A325" s="289"/>
      <c r="B325" s="286"/>
      <c r="C325" s="286"/>
      <c r="D325" s="287"/>
      <c r="E325" s="288"/>
      <c r="F325" s="288"/>
      <c r="G325" s="288"/>
      <c r="H325" s="288"/>
      <c r="I325" s="288"/>
      <c r="J325" s="288"/>
      <c r="K325" s="288"/>
      <c r="L325" s="287"/>
      <c r="M325" s="287"/>
      <c r="N325" s="288"/>
      <c r="O325" s="288"/>
      <c r="P325" s="288"/>
      <c r="Q325" s="288"/>
      <c r="R325" s="288"/>
      <c r="S325" s="288"/>
      <c r="T325" s="288"/>
      <c r="U325" s="288"/>
      <c r="V325" s="288"/>
      <c r="W325" s="288"/>
      <c r="X325" s="287"/>
      <c r="Y325" s="288"/>
      <c r="Z325" s="288"/>
      <c r="AA325" s="288"/>
      <c r="AB325" s="288"/>
      <c r="AC325" s="288"/>
      <c r="AD325" s="288"/>
      <c r="AE325" s="288"/>
      <c r="AF325" s="288"/>
      <c r="AG325" s="288"/>
      <c r="AH325" s="288"/>
      <c r="AI325" s="288"/>
      <c r="AJ325" s="288"/>
      <c r="AK325" s="288"/>
      <c r="AL325" s="287"/>
      <c r="AM325" s="287"/>
      <c r="AN325" s="288"/>
      <c r="AO325" s="288"/>
      <c r="AP325" s="288"/>
      <c r="AQ325" s="288"/>
      <c r="AR325" s="194"/>
      <c r="AS325" s="291"/>
      <c r="AT325" s="171"/>
      <c r="AU325" s="286"/>
      <c r="AV325" s="171"/>
      <c r="AW325" s="171"/>
      <c r="AX325" s="171"/>
      <c r="AY325" s="171"/>
      <c r="AZ325" s="171"/>
      <c r="BA325" s="171"/>
      <c r="BB325" s="171"/>
      <c r="BC325" s="171"/>
      <c r="BD325" s="171"/>
      <c r="BE325" s="171"/>
      <c r="BF325" s="171"/>
      <c r="BG325" s="288"/>
      <c r="BH325" s="288"/>
      <c r="BI325" s="288"/>
      <c r="BJ325" s="288"/>
      <c r="BK325" s="288"/>
      <c r="BL325" s="288"/>
      <c r="BM325" s="288"/>
      <c r="BN325" s="288"/>
      <c r="BO325" s="288"/>
      <c r="BP325" s="288"/>
      <c r="BQ325" s="288"/>
      <c r="BR325" s="288"/>
      <c r="BS325" s="288"/>
      <c r="BT325" s="288"/>
      <c r="BU325" s="288"/>
      <c r="BV325" s="288"/>
      <c r="BW325" s="288"/>
      <c r="BX325" s="288"/>
    </row>
    <row r="326" spans="1:76" x14ac:dyDescent="0.25">
      <c r="A326" s="289"/>
      <c r="B326" s="286"/>
      <c r="C326" s="286"/>
      <c r="D326" s="287"/>
      <c r="E326" s="288"/>
      <c r="F326" s="288"/>
      <c r="G326" s="288"/>
      <c r="H326" s="288"/>
      <c r="I326" s="288"/>
      <c r="J326" s="288"/>
      <c r="K326" s="288"/>
      <c r="L326" s="287"/>
      <c r="M326" s="287"/>
      <c r="N326" s="288"/>
      <c r="O326" s="288"/>
      <c r="P326" s="288"/>
      <c r="Q326" s="288"/>
      <c r="R326" s="288"/>
      <c r="S326" s="288"/>
      <c r="T326" s="288"/>
      <c r="U326" s="288"/>
      <c r="V326" s="288"/>
      <c r="W326" s="288"/>
      <c r="X326" s="287"/>
      <c r="Y326" s="288"/>
      <c r="Z326" s="288"/>
      <c r="AA326" s="288"/>
      <c r="AB326" s="288"/>
      <c r="AC326" s="288"/>
      <c r="AD326" s="288"/>
      <c r="AE326" s="288"/>
      <c r="AF326" s="288"/>
      <c r="AG326" s="288"/>
      <c r="AH326" s="288"/>
      <c r="AI326" s="288"/>
      <c r="AJ326" s="288"/>
      <c r="AK326" s="288"/>
      <c r="AL326" s="287"/>
      <c r="AM326" s="287"/>
      <c r="AN326" s="288"/>
      <c r="AO326" s="288"/>
      <c r="AP326" s="288"/>
      <c r="AQ326" s="288"/>
      <c r="AR326" s="194"/>
      <c r="AS326" s="291"/>
      <c r="AT326" s="171"/>
      <c r="AU326" s="286"/>
      <c r="AV326" s="171"/>
      <c r="AW326" s="171"/>
      <c r="AX326" s="171"/>
      <c r="AY326" s="171"/>
      <c r="AZ326" s="171"/>
      <c r="BA326" s="171"/>
      <c r="BB326" s="171"/>
      <c r="BC326" s="171"/>
      <c r="BD326" s="171"/>
      <c r="BE326" s="171"/>
      <c r="BF326" s="171"/>
      <c r="BG326" s="288"/>
      <c r="BH326" s="288"/>
      <c r="BI326" s="288"/>
      <c r="BJ326" s="288"/>
      <c r="BK326" s="288"/>
      <c r="BL326" s="288"/>
      <c r="BM326" s="288"/>
      <c r="BN326" s="288"/>
      <c r="BO326" s="288"/>
      <c r="BP326" s="288"/>
      <c r="BQ326" s="288"/>
      <c r="BR326" s="288"/>
      <c r="BS326" s="288"/>
      <c r="BT326" s="288"/>
      <c r="BU326" s="288"/>
      <c r="BV326" s="288"/>
      <c r="BW326" s="288"/>
      <c r="BX326" s="288"/>
    </row>
    <row r="327" spans="1:76" x14ac:dyDescent="0.25">
      <c r="A327" s="289"/>
      <c r="B327" s="286"/>
      <c r="C327" s="286"/>
      <c r="D327" s="287"/>
      <c r="E327" s="288"/>
      <c r="F327" s="288"/>
      <c r="G327" s="288"/>
      <c r="H327" s="288"/>
      <c r="I327" s="288"/>
      <c r="J327" s="288"/>
      <c r="K327" s="288"/>
      <c r="L327" s="287"/>
      <c r="M327" s="287"/>
      <c r="N327" s="288"/>
      <c r="O327" s="288"/>
      <c r="P327" s="288"/>
      <c r="Q327" s="288"/>
      <c r="R327" s="288"/>
      <c r="S327" s="288"/>
      <c r="T327" s="288"/>
      <c r="U327" s="288"/>
      <c r="V327" s="288"/>
      <c r="W327" s="288"/>
      <c r="X327" s="287"/>
      <c r="Y327" s="288"/>
      <c r="Z327" s="288"/>
      <c r="AA327" s="288"/>
      <c r="AB327" s="288"/>
      <c r="AC327" s="288"/>
      <c r="AD327" s="288"/>
      <c r="AE327" s="288"/>
      <c r="AF327" s="288"/>
      <c r="AG327" s="288"/>
      <c r="AH327" s="288"/>
      <c r="AI327" s="288"/>
      <c r="AJ327" s="288"/>
      <c r="AK327" s="288"/>
      <c r="AL327" s="287"/>
      <c r="AM327" s="287"/>
      <c r="AN327" s="288"/>
      <c r="AO327" s="288"/>
      <c r="AP327" s="288"/>
      <c r="AQ327" s="288"/>
      <c r="AR327" s="194"/>
      <c r="AS327" s="291"/>
      <c r="AT327" s="171"/>
      <c r="AU327" s="286"/>
      <c r="AV327" s="171"/>
      <c r="AW327" s="171"/>
      <c r="AX327" s="171"/>
      <c r="AY327" s="171"/>
      <c r="AZ327" s="171"/>
      <c r="BA327" s="171"/>
      <c r="BB327" s="171"/>
      <c r="BC327" s="171"/>
      <c r="BD327" s="171"/>
      <c r="BE327" s="171"/>
      <c r="BF327" s="171"/>
      <c r="BG327" s="288"/>
      <c r="BH327" s="288"/>
      <c r="BI327" s="288"/>
      <c r="BJ327" s="288"/>
      <c r="BK327" s="288"/>
      <c r="BL327" s="288"/>
      <c r="BM327" s="288"/>
      <c r="BN327" s="288"/>
      <c r="BO327" s="288"/>
      <c r="BP327" s="288"/>
      <c r="BQ327" s="288"/>
      <c r="BR327" s="288"/>
      <c r="BS327" s="288"/>
      <c r="BT327" s="288"/>
      <c r="BU327" s="288"/>
      <c r="BV327" s="288"/>
      <c r="BW327" s="288"/>
      <c r="BX327" s="288"/>
    </row>
    <row r="328" spans="1:76" x14ac:dyDescent="0.25">
      <c r="A328" s="289"/>
      <c r="B328" s="286"/>
      <c r="C328" s="286"/>
      <c r="D328" s="287"/>
      <c r="E328" s="288"/>
      <c r="F328" s="288"/>
      <c r="G328" s="288"/>
      <c r="H328" s="288"/>
      <c r="I328" s="288"/>
      <c r="J328" s="288"/>
      <c r="K328" s="288"/>
      <c r="L328" s="287"/>
      <c r="M328" s="287"/>
      <c r="N328" s="288"/>
      <c r="O328" s="288"/>
      <c r="P328" s="288"/>
      <c r="Q328" s="288"/>
      <c r="R328" s="288"/>
      <c r="S328" s="288"/>
      <c r="T328" s="288"/>
      <c r="U328" s="288"/>
      <c r="V328" s="288"/>
      <c r="W328" s="288"/>
      <c r="X328" s="287"/>
      <c r="Y328" s="288"/>
      <c r="Z328" s="288"/>
      <c r="AA328" s="288"/>
      <c r="AB328" s="288"/>
      <c r="AC328" s="288"/>
      <c r="AD328" s="288"/>
      <c r="AE328" s="288"/>
      <c r="AF328" s="288"/>
      <c r="AG328" s="288"/>
      <c r="AH328" s="288"/>
      <c r="AI328" s="288"/>
      <c r="AJ328" s="288"/>
      <c r="AK328" s="288"/>
      <c r="AL328" s="287"/>
      <c r="AM328" s="287"/>
      <c r="AN328" s="288"/>
      <c r="AO328" s="288"/>
      <c r="AP328" s="288"/>
      <c r="AQ328" s="288"/>
      <c r="AR328" s="194"/>
      <c r="AS328" s="291"/>
      <c r="AT328" s="171"/>
      <c r="AU328" s="286"/>
      <c r="AV328" s="171"/>
      <c r="AW328" s="171"/>
      <c r="AX328" s="171"/>
      <c r="AY328" s="171"/>
      <c r="AZ328" s="171"/>
      <c r="BA328" s="171"/>
      <c r="BB328" s="171"/>
      <c r="BC328" s="171"/>
      <c r="BD328" s="171"/>
      <c r="BE328" s="171"/>
      <c r="BF328" s="171"/>
      <c r="BG328" s="288"/>
      <c r="BH328" s="288"/>
      <c r="BI328" s="288"/>
      <c r="BJ328" s="288"/>
      <c r="BK328" s="288"/>
      <c r="BL328" s="288"/>
      <c r="BM328" s="288"/>
      <c r="BN328" s="288"/>
      <c r="BO328" s="288"/>
      <c r="BP328" s="288"/>
      <c r="BQ328" s="288"/>
      <c r="BR328" s="288"/>
      <c r="BS328" s="288"/>
      <c r="BT328" s="288"/>
      <c r="BU328" s="288"/>
      <c r="BV328" s="288"/>
      <c r="BW328" s="288"/>
      <c r="BX328" s="288"/>
    </row>
    <row r="329" spans="1:76" x14ac:dyDescent="0.25">
      <c r="A329" s="289"/>
      <c r="B329" s="286"/>
      <c r="C329" s="286"/>
      <c r="D329" s="287"/>
      <c r="E329" s="288"/>
      <c r="F329" s="288"/>
      <c r="G329" s="288"/>
      <c r="H329" s="288"/>
      <c r="I329" s="288"/>
      <c r="J329" s="288"/>
      <c r="K329" s="288"/>
      <c r="L329" s="287"/>
      <c r="M329" s="287"/>
      <c r="N329" s="288"/>
      <c r="O329" s="288"/>
      <c r="P329" s="288"/>
      <c r="Q329" s="288"/>
      <c r="R329" s="288"/>
      <c r="S329" s="288"/>
      <c r="T329" s="288"/>
      <c r="U329" s="288"/>
      <c r="V329" s="288"/>
      <c r="W329" s="288"/>
      <c r="X329" s="287"/>
      <c r="Y329" s="288"/>
      <c r="Z329" s="288"/>
      <c r="AA329" s="288"/>
      <c r="AB329" s="288"/>
      <c r="AC329" s="288"/>
      <c r="AD329" s="288"/>
      <c r="AE329" s="288"/>
      <c r="AF329" s="288"/>
      <c r="AG329" s="288"/>
      <c r="AH329" s="288"/>
      <c r="AI329" s="288"/>
      <c r="AJ329" s="288"/>
      <c r="AK329" s="288"/>
      <c r="AL329" s="287"/>
      <c r="AM329" s="287"/>
      <c r="AN329" s="288"/>
      <c r="AO329" s="288"/>
      <c r="AP329" s="288"/>
      <c r="AQ329" s="288"/>
      <c r="AR329" s="194"/>
      <c r="AS329" s="291"/>
      <c r="AT329" s="171"/>
      <c r="AU329" s="286"/>
      <c r="AV329" s="171"/>
      <c r="AW329" s="171"/>
      <c r="AX329" s="171"/>
      <c r="AY329" s="171"/>
      <c r="AZ329" s="171"/>
      <c r="BA329" s="171"/>
      <c r="BB329" s="171"/>
      <c r="BC329" s="171"/>
      <c r="BD329" s="171"/>
      <c r="BE329" s="171"/>
      <c r="BF329" s="171"/>
      <c r="BG329" s="288"/>
      <c r="BH329" s="288"/>
      <c r="BI329" s="288"/>
      <c r="BJ329" s="288"/>
      <c r="BK329" s="288"/>
      <c r="BL329" s="288"/>
      <c r="BM329" s="288"/>
      <c r="BN329" s="288"/>
      <c r="BO329" s="288"/>
      <c r="BP329" s="288"/>
      <c r="BQ329" s="288"/>
      <c r="BR329" s="288"/>
      <c r="BS329" s="288"/>
      <c r="BT329" s="288"/>
      <c r="BU329" s="288"/>
      <c r="BV329" s="288"/>
      <c r="BW329" s="288"/>
      <c r="BX329" s="288"/>
    </row>
    <row r="330" spans="1:76" x14ac:dyDescent="0.25">
      <c r="A330" s="289"/>
      <c r="B330" s="286"/>
      <c r="C330" s="286"/>
      <c r="D330" s="287"/>
      <c r="E330" s="288"/>
      <c r="F330" s="288"/>
      <c r="G330" s="288"/>
      <c r="H330" s="288"/>
      <c r="I330" s="288"/>
      <c r="J330" s="288"/>
      <c r="K330" s="288"/>
      <c r="L330" s="287"/>
      <c r="M330" s="287"/>
      <c r="N330" s="288"/>
      <c r="O330" s="288"/>
      <c r="P330" s="288"/>
      <c r="Q330" s="288"/>
      <c r="R330" s="288"/>
      <c r="S330" s="288"/>
      <c r="T330" s="288"/>
      <c r="U330" s="288"/>
      <c r="V330" s="288"/>
      <c r="W330" s="288"/>
      <c r="X330" s="287"/>
      <c r="Y330" s="288"/>
      <c r="Z330" s="288"/>
      <c r="AA330" s="288"/>
      <c r="AB330" s="288"/>
      <c r="AC330" s="288"/>
      <c r="AD330" s="288"/>
      <c r="AE330" s="288"/>
      <c r="AF330" s="288"/>
      <c r="AG330" s="288"/>
      <c r="AH330" s="288"/>
      <c r="AI330" s="288"/>
      <c r="AJ330" s="288"/>
      <c r="AK330" s="288"/>
      <c r="AL330" s="287"/>
      <c r="AM330" s="287"/>
      <c r="AN330" s="288"/>
      <c r="AO330" s="288"/>
      <c r="AP330" s="288"/>
      <c r="AQ330" s="288"/>
      <c r="AR330" s="194"/>
      <c r="AS330" s="291"/>
      <c r="AT330" s="171"/>
      <c r="AU330" s="286"/>
      <c r="AV330" s="171"/>
      <c r="AW330" s="171"/>
      <c r="AX330" s="171"/>
      <c r="AY330" s="171"/>
      <c r="AZ330" s="171"/>
      <c r="BA330" s="171"/>
      <c r="BB330" s="171"/>
      <c r="BC330" s="171"/>
      <c r="BD330" s="171"/>
      <c r="BE330" s="171"/>
      <c r="BF330" s="171"/>
      <c r="BG330" s="288"/>
      <c r="BH330" s="288"/>
      <c r="BI330" s="288"/>
      <c r="BJ330" s="288"/>
      <c r="BK330" s="288"/>
      <c r="BL330" s="288"/>
      <c r="BM330" s="288"/>
      <c r="BN330" s="288"/>
      <c r="BO330" s="288"/>
      <c r="BP330" s="288"/>
      <c r="BQ330" s="288"/>
      <c r="BR330" s="288"/>
      <c r="BS330" s="288"/>
      <c r="BT330" s="288"/>
      <c r="BU330" s="288"/>
      <c r="BV330" s="288"/>
      <c r="BW330" s="288"/>
      <c r="BX330" s="288"/>
    </row>
    <row r="331" spans="1:76" x14ac:dyDescent="0.25">
      <c r="A331" s="289"/>
      <c r="B331" s="286"/>
      <c r="C331" s="286"/>
      <c r="D331" s="287"/>
      <c r="E331" s="288"/>
      <c r="F331" s="288"/>
      <c r="G331" s="288"/>
      <c r="H331" s="288"/>
      <c r="I331" s="288"/>
      <c r="J331" s="288"/>
      <c r="K331" s="288"/>
      <c r="L331" s="287"/>
      <c r="M331" s="287"/>
      <c r="N331" s="288"/>
      <c r="O331" s="288"/>
      <c r="P331" s="288"/>
      <c r="Q331" s="288"/>
      <c r="R331" s="288"/>
      <c r="S331" s="288"/>
      <c r="T331" s="288"/>
      <c r="U331" s="288"/>
      <c r="V331" s="288"/>
      <c r="W331" s="288"/>
      <c r="X331" s="287"/>
      <c r="Y331" s="288"/>
      <c r="Z331" s="288"/>
      <c r="AA331" s="288"/>
      <c r="AB331" s="288"/>
      <c r="AC331" s="288"/>
      <c r="AD331" s="288"/>
      <c r="AE331" s="288"/>
      <c r="AF331" s="288"/>
      <c r="AG331" s="288"/>
      <c r="AH331" s="288"/>
      <c r="AI331" s="288"/>
      <c r="AJ331" s="288"/>
      <c r="AK331" s="288"/>
      <c r="AL331" s="287"/>
      <c r="AM331" s="287"/>
      <c r="AN331" s="288"/>
      <c r="AO331" s="288"/>
      <c r="AP331" s="288"/>
      <c r="AQ331" s="288"/>
      <c r="AR331" s="194"/>
      <c r="AS331" s="291"/>
      <c r="AT331" s="171"/>
      <c r="AU331" s="286"/>
      <c r="AV331" s="171"/>
      <c r="AW331" s="171"/>
      <c r="AX331" s="171"/>
      <c r="AY331" s="171"/>
      <c r="AZ331" s="171"/>
      <c r="BA331" s="171"/>
      <c r="BB331" s="171"/>
      <c r="BC331" s="171"/>
      <c r="BD331" s="171"/>
      <c r="BE331" s="171"/>
      <c r="BF331" s="171"/>
      <c r="BG331" s="288"/>
      <c r="BH331" s="288"/>
      <c r="BI331" s="288"/>
      <c r="BJ331" s="288"/>
      <c r="BK331" s="288"/>
      <c r="BL331" s="288"/>
      <c r="BM331" s="288"/>
      <c r="BN331" s="288"/>
      <c r="BO331" s="288"/>
      <c r="BP331" s="288"/>
      <c r="BQ331" s="288"/>
      <c r="BR331" s="288"/>
      <c r="BS331" s="288"/>
      <c r="BT331" s="288"/>
      <c r="BU331" s="288"/>
      <c r="BV331" s="288"/>
      <c r="BW331" s="288"/>
      <c r="BX331" s="288"/>
    </row>
    <row r="332" spans="1:76" x14ac:dyDescent="0.25">
      <c r="A332" s="289"/>
      <c r="B332" s="286"/>
      <c r="C332" s="286"/>
      <c r="D332" s="287"/>
      <c r="E332" s="288"/>
      <c r="F332" s="288"/>
      <c r="G332" s="288"/>
      <c r="H332" s="288"/>
      <c r="I332" s="288"/>
      <c r="J332" s="288"/>
      <c r="K332" s="288"/>
      <c r="L332" s="287"/>
      <c r="M332" s="287"/>
      <c r="N332" s="288"/>
      <c r="O332" s="288"/>
      <c r="P332" s="288"/>
      <c r="Q332" s="288"/>
      <c r="R332" s="288"/>
      <c r="S332" s="288"/>
      <c r="T332" s="288"/>
      <c r="U332" s="288"/>
      <c r="V332" s="288"/>
      <c r="W332" s="288"/>
      <c r="X332" s="287"/>
      <c r="Y332" s="288"/>
      <c r="Z332" s="288"/>
      <c r="AA332" s="288"/>
      <c r="AB332" s="288"/>
      <c r="AC332" s="288"/>
      <c r="AD332" s="288"/>
      <c r="AE332" s="288"/>
      <c r="AF332" s="288"/>
      <c r="AG332" s="288"/>
      <c r="AH332" s="288"/>
      <c r="AI332" s="288"/>
      <c r="AJ332" s="288"/>
      <c r="AK332" s="288"/>
      <c r="AL332" s="287"/>
      <c r="AM332" s="287"/>
      <c r="AN332" s="288"/>
      <c r="AO332" s="288"/>
      <c r="AP332" s="288"/>
      <c r="AQ332" s="288"/>
      <c r="AR332" s="194"/>
      <c r="AS332" s="291"/>
      <c r="AT332" s="171"/>
      <c r="AU332" s="286"/>
      <c r="AV332" s="171"/>
      <c r="AW332" s="171"/>
      <c r="AX332" s="171"/>
      <c r="AY332" s="171"/>
      <c r="AZ332" s="171"/>
      <c r="BA332" s="171"/>
      <c r="BB332" s="171"/>
      <c r="BC332" s="171"/>
      <c r="BD332" s="171"/>
      <c r="BE332" s="171"/>
      <c r="BF332" s="171"/>
      <c r="BG332" s="288"/>
      <c r="BH332" s="288"/>
      <c r="BI332" s="288"/>
      <c r="BJ332" s="288"/>
      <c r="BK332" s="288"/>
      <c r="BL332" s="288"/>
      <c r="BM332" s="288"/>
      <c r="BN332" s="288"/>
      <c r="BO332" s="288"/>
      <c r="BP332" s="288"/>
      <c r="BQ332" s="288"/>
      <c r="BR332" s="288"/>
      <c r="BS332" s="288"/>
      <c r="BT332" s="288"/>
      <c r="BU332" s="288"/>
      <c r="BV332" s="288"/>
      <c r="BW332" s="288"/>
      <c r="BX332" s="288"/>
    </row>
    <row r="333" spans="1:76" x14ac:dyDescent="0.25">
      <c r="A333" s="289"/>
      <c r="B333" s="286"/>
      <c r="C333" s="286"/>
      <c r="D333" s="287"/>
      <c r="E333" s="288"/>
      <c r="F333" s="288"/>
      <c r="G333" s="288"/>
      <c r="H333" s="288"/>
      <c r="I333" s="288"/>
      <c r="J333" s="288"/>
      <c r="K333" s="288"/>
      <c r="L333" s="287"/>
      <c r="M333" s="287"/>
      <c r="N333" s="288"/>
      <c r="O333" s="288"/>
      <c r="P333" s="288"/>
      <c r="Q333" s="288"/>
      <c r="R333" s="288"/>
      <c r="S333" s="288"/>
      <c r="T333" s="288"/>
      <c r="U333" s="288"/>
      <c r="V333" s="288"/>
      <c r="W333" s="288"/>
      <c r="X333" s="287"/>
      <c r="Y333" s="288"/>
      <c r="Z333" s="288"/>
      <c r="AA333" s="288"/>
      <c r="AB333" s="288"/>
      <c r="AC333" s="288"/>
      <c r="AD333" s="288"/>
      <c r="AE333" s="288"/>
      <c r="AF333" s="288"/>
      <c r="AG333" s="288"/>
      <c r="AH333" s="288"/>
      <c r="AI333" s="288"/>
      <c r="AJ333" s="288"/>
      <c r="AK333" s="288" t="s">
        <v>301</v>
      </c>
      <c r="AL333" s="287"/>
      <c r="AM333" s="287"/>
      <c r="AN333" s="288"/>
      <c r="AO333" s="288"/>
      <c r="AP333" s="288"/>
      <c r="AQ333" s="288"/>
      <c r="AR333" s="194"/>
      <c r="AS333" s="291"/>
      <c r="AT333" s="171"/>
      <c r="AU333" s="286"/>
      <c r="AV333" s="171"/>
      <c r="AW333" s="171"/>
      <c r="AX333" s="171"/>
      <c r="AY333" s="171"/>
      <c r="AZ333" s="171"/>
      <c r="BA333" s="171"/>
      <c r="BB333" s="171"/>
      <c r="BC333" s="171"/>
      <c r="BD333" s="171"/>
      <c r="BE333" s="171"/>
      <c r="BF333" s="171"/>
      <c r="BG333" s="288"/>
      <c r="BH333" s="288"/>
      <c r="BI333" s="288"/>
      <c r="BJ333" s="288"/>
      <c r="BK333" s="288"/>
      <c r="BL333" s="288"/>
      <c r="BM333" s="288"/>
      <c r="BN333" s="288"/>
      <c r="BO333" s="288"/>
      <c r="BP333" s="288"/>
      <c r="BQ333" s="288"/>
      <c r="BR333" s="288"/>
      <c r="BS333" s="288"/>
      <c r="BT333" s="288"/>
      <c r="BU333" s="288"/>
      <c r="BV333" s="288"/>
      <c r="BW333" s="288"/>
      <c r="BX333" s="288"/>
    </row>
  </sheetData>
  <sortState ref="A2:WXE289">
    <sortCondition ref="L2:L289"/>
  </sortState>
  <conditionalFormatting sqref="H1:I223 H227:I227 H233:I244 H259:I268 H270:I276 H280:I280 H287:I333">
    <cfRule type="containsText" dxfId="175" priority="91" operator="containsText" text="CHWAPI">
      <formula>NOT(ISERROR(SEARCH("CHWAPI",H1)))</formula>
    </cfRule>
    <cfRule type="containsText" dxfId="174" priority="92" operator="containsText" text="ERASME">
      <formula>NOT(ISERROR(SEARCH("ERASME",H1)))</formula>
    </cfRule>
    <cfRule type="containsText" dxfId="173" priority="93" operator="containsText" text="CHR">
      <formula>NOT(ISERROR(SEARCH("CHR",H1)))</formula>
    </cfRule>
    <cfRule type="containsText" dxfId="172" priority="94" operator="containsText" text="ERASME">
      <formula>NOT(ISERROR(SEARCH("ERASME",H1)))</formula>
    </cfRule>
    <cfRule type="containsText" dxfId="171" priority="95" operator="containsText" text="CHIREC">
      <formula>NOT(ISERROR(SEARCH("CHIREC",H1)))</formula>
    </cfRule>
  </conditionalFormatting>
  <conditionalFormatting sqref="H224:I224">
    <cfRule type="containsText" dxfId="170" priority="86" operator="containsText" text="CHWAPI">
      <formula>NOT(ISERROR(SEARCH("CHWAPI",H224)))</formula>
    </cfRule>
    <cfRule type="containsText" dxfId="169" priority="87" operator="containsText" text="ERASME">
      <formula>NOT(ISERROR(SEARCH("ERASME",H224)))</formula>
    </cfRule>
    <cfRule type="containsText" dxfId="168" priority="88" operator="containsText" text="CHR">
      <formula>NOT(ISERROR(SEARCH("CHR",H224)))</formula>
    </cfRule>
    <cfRule type="containsText" dxfId="167" priority="89" operator="containsText" text="ERASME">
      <formula>NOT(ISERROR(SEARCH("ERASME",H224)))</formula>
    </cfRule>
    <cfRule type="containsText" dxfId="166" priority="90" operator="containsText" text="CHIREC">
      <formula>NOT(ISERROR(SEARCH("CHIREC",H224)))</formula>
    </cfRule>
  </conditionalFormatting>
  <conditionalFormatting sqref="H225:I225">
    <cfRule type="containsText" dxfId="165" priority="81" operator="containsText" text="CHWAPI">
      <formula>NOT(ISERROR(SEARCH("CHWAPI",H225)))</formula>
    </cfRule>
    <cfRule type="containsText" dxfId="164" priority="82" operator="containsText" text="ERASME">
      <formula>NOT(ISERROR(SEARCH("ERASME",H225)))</formula>
    </cfRule>
    <cfRule type="containsText" dxfId="163" priority="83" operator="containsText" text="CHR">
      <formula>NOT(ISERROR(SEARCH("CHR",H225)))</formula>
    </cfRule>
    <cfRule type="containsText" dxfId="162" priority="84" operator="containsText" text="ERASME">
      <formula>NOT(ISERROR(SEARCH("ERASME",H225)))</formula>
    </cfRule>
    <cfRule type="containsText" dxfId="161" priority="85" operator="containsText" text="CHIREC">
      <formula>NOT(ISERROR(SEARCH("CHIREC",H225)))</formula>
    </cfRule>
  </conditionalFormatting>
  <conditionalFormatting sqref="H226:I226">
    <cfRule type="containsText" dxfId="160" priority="76" operator="containsText" text="CHWAPI">
      <formula>NOT(ISERROR(SEARCH("CHWAPI",H226)))</formula>
    </cfRule>
    <cfRule type="containsText" dxfId="159" priority="77" operator="containsText" text="ERASME">
      <formula>NOT(ISERROR(SEARCH("ERASME",H226)))</formula>
    </cfRule>
    <cfRule type="containsText" dxfId="158" priority="78" operator="containsText" text="CHR">
      <formula>NOT(ISERROR(SEARCH("CHR",H226)))</formula>
    </cfRule>
    <cfRule type="containsText" dxfId="157" priority="79" operator="containsText" text="ERASME">
      <formula>NOT(ISERROR(SEARCH("ERASME",H226)))</formula>
    </cfRule>
    <cfRule type="containsText" dxfId="156" priority="80" operator="containsText" text="CHIREC">
      <formula>NOT(ISERROR(SEARCH("CHIREC",H226)))</formula>
    </cfRule>
  </conditionalFormatting>
  <conditionalFormatting sqref="H228:I228">
    <cfRule type="containsText" dxfId="155" priority="71" operator="containsText" text="CHWAPI">
      <formula>NOT(ISERROR(SEARCH("CHWAPI",H228)))</formula>
    </cfRule>
    <cfRule type="containsText" dxfId="154" priority="72" operator="containsText" text="ERASME">
      <formula>NOT(ISERROR(SEARCH("ERASME",H228)))</formula>
    </cfRule>
    <cfRule type="containsText" dxfId="153" priority="73" operator="containsText" text="CHR">
      <formula>NOT(ISERROR(SEARCH("CHR",H228)))</formula>
    </cfRule>
    <cfRule type="containsText" dxfId="152" priority="74" operator="containsText" text="ERASME">
      <formula>NOT(ISERROR(SEARCH("ERASME",H228)))</formula>
    </cfRule>
    <cfRule type="containsText" dxfId="151" priority="75" operator="containsText" text="CHIREC">
      <formula>NOT(ISERROR(SEARCH("CHIREC",H228)))</formula>
    </cfRule>
  </conditionalFormatting>
  <conditionalFormatting sqref="H229:I229">
    <cfRule type="containsText" dxfId="150" priority="66" operator="containsText" text="CHWAPI">
      <formula>NOT(ISERROR(SEARCH("CHWAPI",H229)))</formula>
    </cfRule>
    <cfRule type="containsText" dxfId="149" priority="67" operator="containsText" text="ERASME">
      <formula>NOT(ISERROR(SEARCH("ERASME",H229)))</formula>
    </cfRule>
    <cfRule type="containsText" dxfId="148" priority="68" operator="containsText" text="CHR">
      <formula>NOT(ISERROR(SEARCH("CHR",H229)))</formula>
    </cfRule>
    <cfRule type="containsText" dxfId="147" priority="69" operator="containsText" text="ERASME">
      <formula>NOT(ISERROR(SEARCH("ERASME",H229)))</formula>
    </cfRule>
    <cfRule type="containsText" dxfId="146" priority="70" operator="containsText" text="CHIREC">
      <formula>NOT(ISERROR(SEARCH("CHIREC",H229)))</formula>
    </cfRule>
  </conditionalFormatting>
  <conditionalFormatting sqref="H230:I232">
    <cfRule type="containsText" dxfId="145" priority="61" operator="containsText" text="CHWAPI">
      <formula>NOT(ISERROR(SEARCH("CHWAPI",H230)))</formula>
    </cfRule>
    <cfRule type="containsText" dxfId="144" priority="62" operator="containsText" text="ERASME">
      <formula>NOT(ISERROR(SEARCH("ERASME",H230)))</formula>
    </cfRule>
    <cfRule type="containsText" dxfId="143" priority="63" operator="containsText" text="CHR">
      <formula>NOT(ISERROR(SEARCH("CHR",H230)))</formula>
    </cfRule>
    <cfRule type="containsText" dxfId="142" priority="64" operator="containsText" text="ERASME">
      <formula>NOT(ISERROR(SEARCH("ERASME",H230)))</formula>
    </cfRule>
    <cfRule type="containsText" dxfId="141" priority="65" operator="containsText" text="CHIREC">
      <formula>NOT(ISERROR(SEARCH("CHIREC",H230)))</formula>
    </cfRule>
  </conditionalFormatting>
  <conditionalFormatting sqref="H251:I258">
    <cfRule type="containsText" dxfId="140" priority="56" operator="containsText" text="CHWAPI">
      <formula>NOT(ISERROR(SEARCH("CHWAPI",H251)))</formula>
    </cfRule>
    <cfRule type="containsText" dxfId="139" priority="57" operator="containsText" text="ERASME">
      <formula>NOT(ISERROR(SEARCH("ERASME",H251)))</formula>
    </cfRule>
    <cfRule type="containsText" dxfId="138" priority="58" operator="containsText" text="CHR">
      <formula>NOT(ISERROR(SEARCH("CHR",H251)))</formula>
    </cfRule>
    <cfRule type="containsText" dxfId="137" priority="59" operator="containsText" text="ERASME">
      <formula>NOT(ISERROR(SEARCH("ERASME",H251)))</formula>
    </cfRule>
    <cfRule type="containsText" dxfId="136" priority="60" operator="containsText" text="CHIREC">
      <formula>NOT(ISERROR(SEARCH("CHIREC",H251)))</formula>
    </cfRule>
  </conditionalFormatting>
  <conditionalFormatting sqref="H250:I250">
    <cfRule type="containsText" dxfId="135" priority="51" operator="containsText" text="CHWAPI">
      <formula>NOT(ISERROR(SEARCH("CHWAPI",H250)))</formula>
    </cfRule>
    <cfRule type="containsText" dxfId="134" priority="52" operator="containsText" text="ERASME">
      <formula>NOT(ISERROR(SEARCH("ERASME",H250)))</formula>
    </cfRule>
    <cfRule type="containsText" dxfId="133" priority="53" operator="containsText" text="CHR">
      <formula>NOT(ISERROR(SEARCH("CHR",H250)))</formula>
    </cfRule>
    <cfRule type="containsText" dxfId="132" priority="54" operator="containsText" text="ERASME">
      <formula>NOT(ISERROR(SEARCH("ERASME",H250)))</formula>
    </cfRule>
    <cfRule type="containsText" dxfId="131" priority="55" operator="containsText" text="CHIREC">
      <formula>NOT(ISERROR(SEARCH("CHIREC",H250)))</formula>
    </cfRule>
  </conditionalFormatting>
  <conditionalFormatting sqref="H249:I249">
    <cfRule type="containsText" dxfId="130" priority="46" operator="containsText" text="CHWAPI">
      <formula>NOT(ISERROR(SEARCH("CHWAPI",H249)))</formula>
    </cfRule>
    <cfRule type="containsText" dxfId="129" priority="47" operator="containsText" text="ERASME">
      <formula>NOT(ISERROR(SEARCH("ERASME",H249)))</formula>
    </cfRule>
    <cfRule type="containsText" dxfId="128" priority="48" operator="containsText" text="CHR">
      <formula>NOT(ISERROR(SEARCH("CHR",H249)))</formula>
    </cfRule>
    <cfRule type="containsText" dxfId="127" priority="49" operator="containsText" text="ERASME">
      <formula>NOT(ISERROR(SEARCH("ERASME",H249)))</formula>
    </cfRule>
    <cfRule type="containsText" dxfId="126" priority="50" operator="containsText" text="CHIREC">
      <formula>NOT(ISERROR(SEARCH("CHIREC",H249)))</formula>
    </cfRule>
  </conditionalFormatting>
  <conditionalFormatting sqref="H248:I248">
    <cfRule type="containsText" dxfId="125" priority="41" operator="containsText" text="CHWAPI">
      <formula>NOT(ISERROR(SEARCH("CHWAPI",H248)))</formula>
    </cfRule>
    <cfRule type="containsText" dxfId="124" priority="42" operator="containsText" text="ERASME">
      <formula>NOT(ISERROR(SEARCH("ERASME",H248)))</formula>
    </cfRule>
    <cfRule type="containsText" dxfId="123" priority="43" operator="containsText" text="CHR">
      <formula>NOT(ISERROR(SEARCH("CHR",H248)))</formula>
    </cfRule>
    <cfRule type="containsText" dxfId="122" priority="44" operator="containsText" text="ERASME">
      <formula>NOT(ISERROR(SEARCH("ERASME",H248)))</formula>
    </cfRule>
    <cfRule type="containsText" dxfId="121" priority="45" operator="containsText" text="CHIREC">
      <formula>NOT(ISERROR(SEARCH("CHIREC",H248)))</formula>
    </cfRule>
  </conditionalFormatting>
  <conditionalFormatting sqref="H247:I247">
    <cfRule type="containsText" dxfId="120" priority="36" operator="containsText" text="CHWAPI">
      <formula>NOT(ISERROR(SEARCH("CHWAPI",H247)))</formula>
    </cfRule>
    <cfRule type="containsText" dxfId="119" priority="37" operator="containsText" text="ERASME">
      <formula>NOT(ISERROR(SEARCH("ERASME",H247)))</formula>
    </cfRule>
    <cfRule type="containsText" dxfId="118" priority="38" operator="containsText" text="CHR">
      <formula>NOT(ISERROR(SEARCH("CHR",H247)))</formula>
    </cfRule>
    <cfRule type="containsText" dxfId="117" priority="39" operator="containsText" text="ERASME">
      <formula>NOT(ISERROR(SEARCH("ERASME",H247)))</formula>
    </cfRule>
    <cfRule type="containsText" dxfId="116" priority="40" operator="containsText" text="CHIREC">
      <formula>NOT(ISERROR(SEARCH("CHIREC",H247)))</formula>
    </cfRule>
  </conditionalFormatting>
  <conditionalFormatting sqref="H246:I246">
    <cfRule type="containsText" dxfId="115" priority="31" operator="containsText" text="CHWAPI">
      <formula>NOT(ISERROR(SEARCH("CHWAPI",H246)))</formula>
    </cfRule>
    <cfRule type="containsText" dxfId="114" priority="32" operator="containsText" text="ERASME">
      <formula>NOT(ISERROR(SEARCH("ERASME",H246)))</formula>
    </cfRule>
    <cfRule type="containsText" dxfId="113" priority="33" operator="containsText" text="CHR">
      <formula>NOT(ISERROR(SEARCH("CHR",H246)))</formula>
    </cfRule>
    <cfRule type="containsText" dxfId="112" priority="34" operator="containsText" text="ERASME">
      <formula>NOT(ISERROR(SEARCH("ERASME",H246)))</formula>
    </cfRule>
    <cfRule type="containsText" dxfId="111" priority="35" operator="containsText" text="CHIREC">
      <formula>NOT(ISERROR(SEARCH("CHIREC",H246)))</formula>
    </cfRule>
  </conditionalFormatting>
  <conditionalFormatting sqref="H245:I245">
    <cfRule type="containsText" dxfId="110" priority="26" operator="containsText" text="CHWAPI">
      <formula>NOT(ISERROR(SEARCH("CHWAPI",H245)))</formula>
    </cfRule>
    <cfRule type="containsText" dxfId="109" priority="27" operator="containsText" text="ERASME">
      <formula>NOT(ISERROR(SEARCH("ERASME",H245)))</formula>
    </cfRule>
    <cfRule type="containsText" dxfId="108" priority="28" operator="containsText" text="CHR">
      <formula>NOT(ISERROR(SEARCH("CHR",H245)))</formula>
    </cfRule>
    <cfRule type="containsText" dxfId="107" priority="29" operator="containsText" text="ERASME">
      <formula>NOT(ISERROR(SEARCH("ERASME",H245)))</formula>
    </cfRule>
    <cfRule type="containsText" dxfId="106" priority="30" operator="containsText" text="CHIREC">
      <formula>NOT(ISERROR(SEARCH("CHIREC",H245)))</formula>
    </cfRule>
  </conditionalFormatting>
  <conditionalFormatting sqref="H269:I269">
    <cfRule type="containsText" dxfId="105" priority="21" operator="containsText" text="CHWAPI">
      <formula>NOT(ISERROR(SEARCH("CHWAPI",H269)))</formula>
    </cfRule>
    <cfRule type="containsText" dxfId="104" priority="22" operator="containsText" text="ERASME">
      <formula>NOT(ISERROR(SEARCH("ERASME",H269)))</formula>
    </cfRule>
    <cfRule type="containsText" dxfId="103" priority="23" operator="containsText" text="CHR">
      <formula>NOT(ISERROR(SEARCH("CHR",H269)))</formula>
    </cfRule>
    <cfRule type="containsText" dxfId="102" priority="24" operator="containsText" text="ERASME">
      <formula>NOT(ISERROR(SEARCH("ERASME",H269)))</formula>
    </cfRule>
    <cfRule type="containsText" dxfId="101" priority="25" operator="containsText" text="CHIREC">
      <formula>NOT(ISERROR(SEARCH("CHIREC",H269)))</formula>
    </cfRule>
  </conditionalFormatting>
  <conditionalFormatting sqref="H277:I279">
    <cfRule type="containsText" dxfId="100" priority="16" operator="containsText" text="CHWAPI">
      <formula>NOT(ISERROR(SEARCH("CHWAPI",H277)))</formula>
    </cfRule>
    <cfRule type="containsText" dxfId="99" priority="17" operator="containsText" text="ERASME">
      <formula>NOT(ISERROR(SEARCH("ERASME",H277)))</formula>
    </cfRule>
    <cfRule type="containsText" dxfId="98" priority="18" operator="containsText" text="CHR">
      <formula>NOT(ISERROR(SEARCH("CHR",H277)))</formula>
    </cfRule>
    <cfRule type="containsText" dxfId="97" priority="19" operator="containsText" text="ERASME">
      <formula>NOT(ISERROR(SEARCH("ERASME",H277)))</formula>
    </cfRule>
    <cfRule type="containsText" dxfId="96" priority="20" operator="containsText" text="CHIREC">
      <formula>NOT(ISERROR(SEARCH("CHIREC",H277)))</formula>
    </cfRule>
  </conditionalFormatting>
  <conditionalFormatting sqref="H285:I286">
    <cfRule type="containsText" dxfId="95" priority="11" operator="containsText" text="CHWAPI">
      <formula>NOT(ISERROR(SEARCH("CHWAPI",H285)))</formula>
    </cfRule>
    <cfRule type="containsText" dxfId="94" priority="12" operator="containsText" text="ERASME">
      <formula>NOT(ISERROR(SEARCH("ERASME",H285)))</formula>
    </cfRule>
    <cfRule type="containsText" dxfId="93" priority="13" operator="containsText" text="CHR">
      <formula>NOT(ISERROR(SEARCH("CHR",H285)))</formula>
    </cfRule>
    <cfRule type="containsText" dxfId="92" priority="14" operator="containsText" text="ERASME">
      <formula>NOT(ISERROR(SEARCH("ERASME",H285)))</formula>
    </cfRule>
    <cfRule type="containsText" dxfId="91" priority="15" operator="containsText" text="CHIREC">
      <formula>NOT(ISERROR(SEARCH("CHIREC",H285)))</formula>
    </cfRule>
  </conditionalFormatting>
  <conditionalFormatting sqref="H283:I284">
    <cfRule type="containsText" dxfId="90" priority="6" operator="containsText" text="CHWAPI">
      <formula>NOT(ISERROR(SEARCH("CHWAPI",H283)))</formula>
    </cfRule>
    <cfRule type="containsText" dxfId="89" priority="7" operator="containsText" text="ERASME">
      <formula>NOT(ISERROR(SEARCH("ERASME",H283)))</formula>
    </cfRule>
    <cfRule type="containsText" dxfId="88" priority="8" operator="containsText" text="CHR">
      <formula>NOT(ISERROR(SEARCH("CHR",H283)))</formula>
    </cfRule>
    <cfRule type="containsText" dxfId="87" priority="9" operator="containsText" text="ERASME">
      <formula>NOT(ISERROR(SEARCH("ERASME",H283)))</formula>
    </cfRule>
    <cfRule type="containsText" dxfId="86" priority="10" operator="containsText" text="CHIREC">
      <formula>NOT(ISERROR(SEARCH("CHIREC",H283)))</formula>
    </cfRule>
  </conditionalFormatting>
  <conditionalFormatting sqref="H281:I282">
    <cfRule type="containsText" dxfId="85" priority="1" operator="containsText" text="CHWAPI">
      <formula>NOT(ISERROR(SEARCH("CHWAPI",H281)))</formula>
    </cfRule>
    <cfRule type="containsText" dxfId="84" priority="2" operator="containsText" text="ERASME">
      <formula>NOT(ISERROR(SEARCH("ERASME",H281)))</formula>
    </cfRule>
    <cfRule type="containsText" dxfId="83" priority="3" operator="containsText" text="CHR">
      <formula>NOT(ISERROR(SEARCH("CHR",H281)))</formula>
    </cfRule>
    <cfRule type="containsText" dxfId="82" priority="4" operator="containsText" text="ERASME">
      <formula>NOT(ISERROR(SEARCH("ERASME",H281)))</formula>
    </cfRule>
    <cfRule type="containsText" dxfId="81" priority="5" operator="containsText" text="CHIREC">
      <formula>NOT(ISERROR(SEARCH("CHIREC",H281)))</formula>
    </cfRule>
  </conditionalFormatting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26.85546875" bestFit="1" customWidth="1"/>
    <col min="2" max="2" width="13.42578125" customWidth="1"/>
    <col min="3" max="3" width="11" bestFit="1" customWidth="1"/>
    <col min="4" max="4" width="21.5703125" bestFit="1" customWidth="1"/>
    <col min="257" max="257" width="26.85546875" bestFit="1" customWidth="1"/>
    <col min="258" max="258" width="13.42578125" customWidth="1"/>
    <col min="259" max="259" width="11" bestFit="1" customWidth="1"/>
    <col min="260" max="260" width="21.5703125" bestFit="1" customWidth="1"/>
    <col min="513" max="513" width="26.85546875" bestFit="1" customWidth="1"/>
    <col min="514" max="514" width="13.42578125" customWidth="1"/>
    <col min="515" max="515" width="11" bestFit="1" customWidth="1"/>
    <col min="516" max="516" width="21.5703125" bestFit="1" customWidth="1"/>
    <col min="769" max="769" width="26.85546875" bestFit="1" customWidth="1"/>
    <col min="770" max="770" width="13.42578125" customWidth="1"/>
    <col min="771" max="771" width="11" bestFit="1" customWidth="1"/>
    <col min="772" max="772" width="21.5703125" bestFit="1" customWidth="1"/>
    <col min="1025" max="1025" width="26.85546875" bestFit="1" customWidth="1"/>
    <col min="1026" max="1026" width="13.42578125" customWidth="1"/>
    <col min="1027" max="1027" width="11" bestFit="1" customWidth="1"/>
    <col min="1028" max="1028" width="21.5703125" bestFit="1" customWidth="1"/>
    <col min="1281" max="1281" width="26.85546875" bestFit="1" customWidth="1"/>
    <col min="1282" max="1282" width="13.42578125" customWidth="1"/>
    <col min="1283" max="1283" width="11" bestFit="1" customWidth="1"/>
    <col min="1284" max="1284" width="21.5703125" bestFit="1" customWidth="1"/>
    <col min="1537" max="1537" width="26.85546875" bestFit="1" customWidth="1"/>
    <col min="1538" max="1538" width="13.42578125" customWidth="1"/>
    <col min="1539" max="1539" width="11" bestFit="1" customWidth="1"/>
    <col min="1540" max="1540" width="21.5703125" bestFit="1" customWidth="1"/>
    <col min="1793" max="1793" width="26.85546875" bestFit="1" customWidth="1"/>
    <col min="1794" max="1794" width="13.42578125" customWidth="1"/>
    <col min="1795" max="1795" width="11" bestFit="1" customWidth="1"/>
    <col min="1796" max="1796" width="21.5703125" bestFit="1" customWidth="1"/>
    <col min="2049" max="2049" width="26.85546875" bestFit="1" customWidth="1"/>
    <col min="2050" max="2050" width="13.42578125" customWidth="1"/>
    <col min="2051" max="2051" width="11" bestFit="1" customWidth="1"/>
    <col min="2052" max="2052" width="21.5703125" bestFit="1" customWidth="1"/>
    <col min="2305" max="2305" width="26.85546875" bestFit="1" customWidth="1"/>
    <col min="2306" max="2306" width="13.42578125" customWidth="1"/>
    <col min="2307" max="2307" width="11" bestFit="1" customWidth="1"/>
    <col min="2308" max="2308" width="21.5703125" bestFit="1" customWidth="1"/>
    <col min="2561" max="2561" width="26.85546875" bestFit="1" customWidth="1"/>
    <col min="2562" max="2562" width="13.42578125" customWidth="1"/>
    <col min="2563" max="2563" width="11" bestFit="1" customWidth="1"/>
    <col min="2564" max="2564" width="21.5703125" bestFit="1" customWidth="1"/>
    <col min="2817" max="2817" width="26.85546875" bestFit="1" customWidth="1"/>
    <col min="2818" max="2818" width="13.42578125" customWidth="1"/>
    <col min="2819" max="2819" width="11" bestFit="1" customWidth="1"/>
    <col min="2820" max="2820" width="21.5703125" bestFit="1" customWidth="1"/>
    <col min="3073" max="3073" width="26.85546875" bestFit="1" customWidth="1"/>
    <col min="3074" max="3074" width="13.42578125" customWidth="1"/>
    <col min="3075" max="3075" width="11" bestFit="1" customWidth="1"/>
    <col min="3076" max="3076" width="21.5703125" bestFit="1" customWidth="1"/>
    <col min="3329" max="3329" width="26.85546875" bestFit="1" customWidth="1"/>
    <col min="3330" max="3330" width="13.42578125" customWidth="1"/>
    <col min="3331" max="3331" width="11" bestFit="1" customWidth="1"/>
    <col min="3332" max="3332" width="21.5703125" bestFit="1" customWidth="1"/>
    <col min="3585" max="3585" width="26.85546875" bestFit="1" customWidth="1"/>
    <col min="3586" max="3586" width="13.42578125" customWidth="1"/>
    <col min="3587" max="3587" width="11" bestFit="1" customWidth="1"/>
    <col min="3588" max="3588" width="21.5703125" bestFit="1" customWidth="1"/>
    <col min="3841" max="3841" width="26.85546875" bestFit="1" customWidth="1"/>
    <col min="3842" max="3842" width="13.42578125" customWidth="1"/>
    <col min="3843" max="3843" width="11" bestFit="1" customWidth="1"/>
    <col min="3844" max="3844" width="21.5703125" bestFit="1" customWidth="1"/>
    <col min="4097" max="4097" width="26.85546875" bestFit="1" customWidth="1"/>
    <col min="4098" max="4098" width="13.42578125" customWidth="1"/>
    <col min="4099" max="4099" width="11" bestFit="1" customWidth="1"/>
    <col min="4100" max="4100" width="21.5703125" bestFit="1" customWidth="1"/>
    <col min="4353" max="4353" width="26.85546875" bestFit="1" customWidth="1"/>
    <col min="4354" max="4354" width="13.42578125" customWidth="1"/>
    <col min="4355" max="4355" width="11" bestFit="1" customWidth="1"/>
    <col min="4356" max="4356" width="21.5703125" bestFit="1" customWidth="1"/>
    <col min="4609" max="4609" width="26.85546875" bestFit="1" customWidth="1"/>
    <col min="4610" max="4610" width="13.42578125" customWidth="1"/>
    <col min="4611" max="4611" width="11" bestFit="1" customWidth="1"/>
    <col min="4612" max="4612" width="21.5703125" bestFit="1" customWidth="1"/>
    <col min="4865" max="4865" width="26.85546875" bestFit="1" customWidth="1"/>
    <col min="4866" max="4866" width="13.42578125" customWidth="1"/>
    <col min="4867" max="4867" width="11" bestFit="1" customWidth="1"/>
    <col min="4868" max="4868" width="21.5703125" bestFit="1" customWidth="1"/>
    <col min="5121" max="5121" width="26.85546875" bestFit="1" customWidth="1"/>
    <col min="5122" max="5122" width="13.42578125" customWidth="1"/>
    <col min="5123" max="5123" width="11" bestFit="1" customWidth="1"/>
    <col min="5124" max="5124" width="21.5703125" bestFit="1" customWidth="1"/>
    <col min="5377" max="5377" width="26.85546875" bestFit="1" customWidth="1"/>
    <col min="5378" max="5378" width="13.42578125" customWidth="1"/>
    <col min="5379" max="5379" width="11" bestFit="1" customWidth="1"/>
    <col min="5380" max="5380" width="21.5703125" bestFit="1" customWidth="1"/>
    <col min="5633" max="5633" width="26.85546875" bestFit="1" customWidth="1"/>
    <col min="5634" max="5634" width="13.42578125" customWidth="1"/>
    <col min="5635" max="5635" width="11" bestFit="1" customWidth="1"/>
    <col min="5636" max="5636" width="21.5703125" bestFit="1" customWidth="1"/>
    <col min="5889" max="5889" width="26.85546875" bestFit="1" customWidth="1"/>
    <col min="5890" max="5890" width="13.42578125" customWidth="1"/>
    <col min="5891" max="5891" width="11" bestFit="1" customWidth="1"/>
    <col min="5892" max="5892" width="21.5703125" bestFit="1" customWidth="1"/>
    <col min="6145" max="6145" width="26.85546875" bestFit="1" customWidth="1"/>
    <col min="6146" max="6146" width="13.42578125" customWidth="1"/>
    <col min="6147" max="6147" width="11" bestFit="1" customWidth="1"/>
    <col min="6148" max="6148" width="21.5703125" bestFit="1" customWidth="1"/>
    <col min="6401" max="6401" width="26.85546875" bestFit="1" customWidth="1"/>
    <col min="6402" max="6402" width="13.42578125" customWidth="1"/>
    <col min="6403" max="6403" width="11" bestFit="1" customWidth="1"/>
    <col min="6404" max="6404" width="21.5703125" bestFit="1" customWidth="1"/>
    <col min="6657" max="6657" width="26.85546875" bestFit="1" customWidth="1"/>
    <col min="6658" max="6658" width="13.42578125" customWidth="1"/>
    <col min="6659" max="6659" width="11" bestFit="1" customWidth="1"/>
    <col min="6660" max="6660" width="21.5703125" bestFit="1" customWidth="1"/>
    <col min="6913" max="6913" width="26.85546875" bestFit="1" customWidth="1"/>
    <col min="6914" max="6914" width="13.42578125" customWidth="1"/>
    <col min="6915" max="6915" width="11" bestFit="1" customWidth="1"/>
    <col min="6916" max="6916" width="21.5703125" bestFit="1" customWidth="1"/>
    <col min="7169" max="7169" width="26.85546875" bestFit="1" customWidth="1"/>
    <col min="7170" max="7170" width="13.42578125" customWidth="1"/>
    <col min="7171" max="7171" width="11" bestFit="1" customWidth="1"/>
    <col min="7172" max="7172" width="21.5703125" bestFit="1" customWidth="1"/>
    <col min="7425" max="7425" width="26.85546875" bestFit="1" customWidth="1"/>
    <col min="7426" max="7426" width="13.42578125" customWidth="1"/>
    <col min="7427" max="7427" width="11" bestFit="1" customWidth="1"/>
    <col min="7428" max="7428" width="21.5703125" bestFit="1" customWidth="1"/>
    <col min="7681" max="7681" width="26.85546875" bestFit="1" customWidth="1"/>
    <col min="7682" max="7682" width="13.42578125" customWidth="1"/>
    <col min="7683" max="7683" width="11" bestFit="1" customWidth="1"/>
    <col min="7684" max="7684" width="21.5703125" bestFit="1" customWidth="1"/>
    <col min="7937" max="7937" width="26.85546875" bestFit="1" customWidth="1"/>
    <col min="7938" max="7938" width="13.42578125" customWidth="1"/>
    <col min="7939" max="7939" width="11" bestFit="1" customWidth="1"/>
    <col min="7940" max="7940" width="21.5703125" bestFit="1" customWidth="1"/>
    <col min="8193" max="8193" width="26.85546875" bestFit="1" customWidth="1"/>
    <col min="8194" max="8194" width="13.42578125" customWidth="1"/>
    <col min="8195" max="8195" width="11" bestFit="1" customWidth="1"/>
    <col min="8196" max="8196" width="21.5703125" bestFit="1" customWidth="1"/>
    <col min="8449" max="8449" width="26.85546875" bestFit="1" customWidth="1"/>
    <col min="8450" max="8450" width="13.42578125" customWidth="1"/>
    <col min="8451" max="8451" width="11" bestFit="1" customWidth="1"/>
    <col min="8452" max="8452" width="21.5703125" bestFit="1" customWidth="1"/>
    <col min="8705" max="8705" width="26.85546875" bestFit="1" customWidth="1"/>
    <col min="8706" max="8706" width="13.42578125" customWidth="1"/>
    <col min="8707" max="8707" width="11" bestFit="1" customWidth="1"/>
    <col min="8708" max="8708" width="21.5703125" bestFit="1" customWidth="1"/>
    <col min="8961" max="8961" width="26.85546875" bestFit="1" customWidth="1"/>
    <col min="8962" max="8962" width="13.42578125" customWidth="1"/>
    <col min="8963" max="8963" width="11" bestFit="1" customWidth="1"/>
    <col min="8964" max="8964" width="21.5703125" bestFit="1" customWidth="1"/>
    <col min="9217" max="9217" width="26.85546875" bestFit="1" customWidth="1"/>
    <col min="9218" max="9218" width="13.42578125" customWidth="1"/>
    <col min="9219" max="9219" width="11" bestFit="1" customWidth="1"/>
    <col min="9220" max="9220" width="21.5703125" bestFit="1" customWidth="1"/>
    <col min="9473" max="9473" width="26.85546875" bestFit="1" customWidth="1"/>
    <col min="9474" max="9474" width="13.42578125" customWidth="1"/>
    <col min="9475" max="9475" width="11" bestFit="1" customWidth="1"/>
    <col min="9476" max="9476" width="21.5703125" bestFit="1" customWidth="1"/>
    <col min="9729" max="9729" width="26.85546875" bestFit="1" customWidth="1"/>
    <col min="9730" max="9730" width="13.42578125" customWidth="1"/>
    <col min="9731" max="9731" width="11" bestFit="1" customWidth="1"/>
    <col min="9732" max="9732" width="21.5703125" bestFit="1" customWidth="1"/>
    <col min="9985" max="9985" width="26.85546875" bestFit="1" customWidth="1"/>
    <col min="9986" max="9986" width="13.42578125" customWidth="1"/>
    <col min="9987" max="9987" width="11" bestFit="1" customWidth="1"/>
    <col min="9988" max="9988" width="21.5703125" bestFit="1" customWidth="1"/>
    <col min="10241" max="10241" width="26.85546875" bestFit="1" customWidth="1"/>
    <col min="10242" max="10242" width="13.42578125" customWidth="1"/>
    <col min="10243" max="10243" width="11" bestFit="1" customWidth="1"/>
    <col min="10244" max="10244" width="21.5703125" bestFit="1" customWidth="1"/>
    <col min="10497" max="10497" width="26.85546875" bestFit="1" customWidth="1"/>
    <col min="10498" max="10498" width="13.42578125" customWidth="1"/>
    <col min="10499" max="10499" width="11" bestFit="1" customWidth="1"/>
    <col min="10500" max="10500" width="21.5703125" bestFit="1" customWidth="1"/>
    <col min="10753" max="10753" width="26.85546875" bestFit="1" customWidth="1"/>
    <col min="10754" max="10754" width="13.42578125" customWidth="1"/>
    <col min="10755" max="10755" width="11" bestFit="1" customWidth="1"/>
    <col min="10756" max="10756" width="21.5703125" bestFit="1" customWidth="1"/>
    <col min="11009" max="11009" width="26.85546875" bestFit="1" customWidth="1"/>
    <col min="11010" max="11010" width="13.42578125" customWidth="1"/>
    <col min="11011" max="11011" width="11" bestFit="1" customWidth="1"/>
    <col min="11012" max="11012" width="21.5703125" bestFit="1" customWidth="1"/>
    <col min="11265" max="11265" width="26.85546875" bestFit="1" customWidth="1"/>
    <col min="11266" max="11266" width="13.42578125" customWidth="1"/>
    <col min="11267" max="11267" width="11" bestFit="1" customWidth="1"/>
    <col min="11268" max="11268" width="21.5703125" bestFit="1" customWidth="1"/>
    <col min="11521" max="11521" width="26.85546875" bestFit="1" customWidth="1"/>
    <col min="11522" max="11522" width="13.42578125" customWidth="1"/>
    <col min="11523" max="11523" width="11" bestFit="1" customWidth="1"/>
    <col min="11524" max="11524" width="21.5703125" bestFit="1" customWidth="1"/>
    <col min="11777" max="11777" width="26.85546875" bestFit="1" customWidth="1"/>
    <col min="11778" max="11778" width="13.42578125" customWidth="1"/>
    <col min="11779" max="11779" width="11" bestFit="1" customWidth="1"/>
    <col min="11780" max="11780" width="21.5703125" bestFit="1" customWidth="1"/>
    <col min="12033" max="12033" width="26.85546875" bestFit="1" customWidth="1"/>
    <col min="12034" max="12034" width="13.42578125" customWidth="1"/>
    <col min="12035" max="12035" width="11" bestFit="1" customWidth="1"/>
    <col min="12036" max="12036" width="21.5703125" bestFit="1" customWidth="1"/>
    <col min="12289" max="12289" width="26.85546875" bestFit="1" customWidth="1"/>
    <col min="12290" max="12290" width="13.42578125" customWidth="1"/>
    <col min="12291" max="12291" width="11" bestFit="1" customWidth="1"/>
    <col min="12292" max="12292" width="21.5703125" bestFit="1" customWidth="1"/>
    <col min="12545" max="12545" width="26.85546875" bestFit="1" customWidth="1"/>
    <col min="12546" max="12546" width="13.42578125" customWidth="1"/>
    <col min="12547" max="12547" width="11" bestFit="1" customWidth="1"/>
    <col min="12548" max="12548" width="21.5703125" bestFit="1" customWidth="1"/>
    <col min="12801" max="12801" width="26.85546875" bestFit="1" customWidth="1"/>
    <col min="12802" max="12802" width="13.42578125" customWidth="1"/>
    <col min="12803" max="12803" width="11" bestFit="1" customWidth="1"/>
    <col min="12804" max="12804" width="21.5703125" bestFit="1" customWidth="1"/>
    <col min="13057" max="13057" width="26.85546875" bestFit="1" customWidth="1"/>
    <col min="13058" max="13058" width="13.42578125" customWidth="1"/>
    <col min="13059" max="13059" width="11" bestFit="1" customWidth="1"/>
    <col min="13060" max="13060" width="21.5703125" bestFit="1" customWidth="1"/>
    <col min="13313" max="13313" width="26.85546875" bestFit="1" customWidth="1"/>
    <col min="13314" max="13314" width="13.42578125" customWidth="1"/>
    <col min="13315" max="13315" width="11" bestFit="1" customWidth="1"/>
    <col min="13316" max="13316" width="21.5703125" bestFit="1" customWidth="1"/>
    <col min="13569" max="13569" width="26.85546875" bestFit="1" customWidth="1"/>
    <col min="13570" max="13570" width="13.42578125" customWidth="1"/>
    <col min="13571" max="13571" width="11" bestFit="1" customWidth="1"/>
    <col min="13572" max="13572" width="21.5703125" bestFit="1" customWidth="1"/>
    <col min="13825" max="13825" width="26.85546875" bestFit="1" customWidth="1"/>
    <col min="13826" max="13826" width="13.42578125" customWidth="1"/>
    <col min="13827" max="13827" width="11" bestFit="1" customWidth="1"/>
    <col min="13828" max="13828" width="21.5703125" bestFit="1" customWidth="1"/>
    <col min="14081" max="14081" width="26.85546875" bestFit="1" customWidth="1"/>
    <col min="14082" max="14082" width="13.42578125" customWidth="1"/>
    <col min="14083" max="14083" width="11" bestFit="1" customWidth="1"/>
    <col min="14084" max="14084" width="21.5703125" bestFit="1" customWidth="1"/>
    <col min="14337" max="14337" width="26.85546875" bestFit="1" customWidth="1"/>
    <col min="14338" max="14338" width="13.42578125" customWidth="1"/>
    <col min="14339" max="14339" width="11" bestFit="1" customWidth="1"/>
    <col min="14340" max="14340" width="21.5703125" bestFit="1" customWidth="1"/>
    <col min="14593" max="14593" width="26.85546875" bestFit="1" customWidth="1"/>
    <col min="14594" max="14594" width="13.42578125" customWidth="1"/>
    <col min="14595" max="14595" width="11" bestFit="1" customWidth="1"/>
    <col min="14596" max="14596" width="21.5703125" bestFit="1" customWidth="1"/>
    <col min="14849" max="14849" width="26.85546875" bestFit="1" customWidth="1"/>
    <col min="14850" max="14850" width="13.42578125" customWidth="1"/>
    <col min="14851" max="14851" width="11" bestFit="1" customWidth="1"/>
    <col min="14852" max="14852" width="21.5703125" bestFit="1" customWidth="1"/>
    <col min="15105" max="15105" width="26.85546875" bestFit="1" customWidth="1"/>
    <col min="15106" max="15106" width="13.42578125" customWidth="1"/>
    <col min="15107" max="15107" width="11" bestFit="1" customWidth="1"/>
    <col min="15108" max="15108" width="21.5703125" bestFit="1" customWidth="1"/>
    <col min="15361" max="15361" width="26.85546875" bestFit="1" customWidth="1"/>
    <col min="15362" max="15362" width="13.42578125" customWidth="1"/>
    <col min="15363" max="15363" width="11" bestFit="1" customWidth="1"/>
    <col min="15364" max="15364" width="21.5703125" bestFit="1" customWidth="1"/>
    <col min="15617" max="15617" width="26.85546875" bestFit="1" customWidth="1"/>
    <col min="15618" max="15618" width="13.42578125" customWidth="1"/>
    <col min="15619" max="15619" width="11" bestFit="1" customWidth="1"/>
    <col min="15620" max="15620" width="21.5703125" bestFit="1" customWidth="1"/>
    <col min="15873" max="15873" width="26.85546875" bestFit="1" customWidth="1"/>
    <col min="15874" max="15874" width="13.42578125" customWidth="1"/>
    <col min="15875" max="15875" width="11" bestFit="1" customWidth="1"/>
    <col min="15876" max="15876" width="21.5703125" bestFit="1" customWidth="1"/>
    <col min="16129" max="16129" width="26.85546875" bestFit="1" customWidth="1"/>
    <col min="16130" max="16130" width="13.42578125" customWidth="1"/>
    <col min="16131" max="16131" width="11" bestFit="1" customWidth="1"/>
    <col min="16132" max="16132" width="21.5703125" bestFit="1" customWidth="1"/>
  </cols>
  <sheetData>
    <row r="1" spans="1:4" x14ac:dyDescent="0.25">
      <c r="A1" s="3" t="s">
        <v>9</v>
      </c>
      <c r="B1" s="3" t="s">
        <v>10</v>
      </c>
      <c r="C1" s="4" t="s">
        <v>17</v>
      </c>
      <c r="D1" s="1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workbookViewId="0">
      <selection activeCell="C34" sqref="C34"/>
    </sheetView>
  </sheetViews>
  <sheetFormatPr baseColWidth="10" defaultColWidth="11.42578125" defaultRowHeight="15" x14ac:dyDescent="0.25"/>
  <cols>
    <col min="1" max="1" width="19.85546875" bestFit="1" customWidth="1"/>
    <col min="2" max="2" width="13.85546875" customWidth="1"/>
    <col min="3" max="3" width="17" bestFit="1" customWidth="1"/>
    <col min="4" max="4" width="12.7109375" customWidth="1"/>
    <col min="5" max="5" width="14.28515625" customWidth="1"/>
    <col min="6" max="6" width="18.28515625" customWidth="1"/>
    <col min="7" max="8" width="14" customWidth="1"/>
    <col min="259" max="259" width="11.85546875" bestFit="1" customWidth="1"/>
    <col min="260" max="260" width="9.28515625" bestFit="1" customWidth="1"/>
    <col min="261" max="261" width="11.5703125" bestFit="1" customWidth="1"/>
    <col min="262" max="262" width="25.140625" customWidth="1"/>
    <col min="515" max="515" width="11.85546875" bestFit="1" customWidth="1"/>
    <col min="516" max="516" width="9.28515625" bestFit="1" customWidth="1"/>
    <col min="517" max="517" width="11.5703125" bestFit="1" customWidth="1"/>
    <col min="518" max="518" width="25.140625" customWidth="1"/>
    <col min="771" max="771" width="11.85546875" bestFit="1" customWidth="1"/>
    <col min="772" max="772" width="9.28515625" bestFit="1" customWidth="1"/>
    <col min="773" max="773" width="11.5703125" bestFit="1" customWidth="1"/>
    <col min="774" max="774" width="25.140625" customWidth="1"/>
    <col min="1027" max="1027" width="11.85546875" bestFit="1" customWidth="1"/>
    <col min="1028" max="1028" width="9.28515625" bestFit="1" customWidth="1"/>
    <col min="1029" max="1029" width="11.5703125" bestFit="1" customWidth="1"/>
    <col min="1030" max="1030" width="25.140625" customWidth="1"/>
    <col min="1283" max="1283" width="11.85546875" bestFit="1" customWidth="1"/>
    <col min="1284" max="1284" width="9.28515625" bestFit="1" customWidth="1"/>
    <col min="1285" max="1285" width="11.5703125" bestFit="1" customWidth="1"/>
    <col min="1286" max="1286" width="25.140625" customWidth="1"/>
    <col min="1539" max="1539" width="11.85546875" bestFit="1" customWidth="1"/>
    <col min="1540" max="1540" width="9.28515625" bestFit="1" customWidth="1"/>
    <col min="1541" max="1541" width="11.5703125" bestFit="1" customWidth="1"/>
    <col min="1542" max="1542" width="25.140625" customWidth="1"/>
    <col min="1795" max="1795" width="11.85546875" bestFit="1" customWidth="1"/>
    <col min="1796" max="1796" width="9.28515625" bestFit="1" customWidth="1"/>
    <col min="1797" max="1797" width="11.5703125" bestFit="1" customWidth="1"/>
    <col min="1798" max="1798" width="25.140625" customWidth="1"/>
    <col min="2051" max="2051" width="11.85546875" bestFit="1" customWidth="1"/>
    <col min="2052" max="2052" width="9.28515625" bestFit="1" customWidth="1"/>
    <col min="2053" max="2053" width="11.5703125" bestFit="1" customWidth="1"/>
    <col min="2054" max="2054" width="25.140625" customWidth="1"/>
    <col min="2307" max="2307" width="11.85546875" bestFit="1" customWidth="1"/>
    <col min="2308" max="2308" width="9.28515625" bestFit="1" customWidth="1"/>
    <col min="2309" max="2309" width="11.5703125" bestFit="1" customWidth="1"/>
    <col min="2310" max="2310" width="25.140625" customWidth="1"/>
    <col min="2563" max="2563" width="11.85546875" bestFit="1" customWidth="1"/>
    <col min="2564" max="2564" width="9.28515625" bestFit="1" customWidth="1"/>
    <col min="2565" max="2565" width="11.5703125" bestFit="1" customWidth="1"/>
    <col min="2566" max="2566" width="25.140625" customWidth="1"/>
    <col min="2819" max="2819" width="11.85546875" bestFit="1" customWidth="1"/>
    <col min="2820" max="2820" width="9.28515625" bestFit="1" customWidth="1"/>
    <col min="2821" max="2821" width="11.5703125" bestFit="1" customWidth="1"/>
    <col min="2822" max="2822" width="25.140625" customWidth="1"/>
    <col min="3075" max="3075" width="11.85546875" bestFit="1" customWidth="1"/>
    <col min="3076" max="3076" width="9.28515625" bestFit="1" customWidth="1"/>
    <col min="3077" max="3077" width="11.5703125" bestFit="1" customWidth="1"/>
    <col min="3078" max="3078" width="25.140625" customWidth="1"/>
    <col min="3331" max="3331" width="11.85546875" bestFit="1" customWidth="1"/>
    <col min="3332" max="3332" width="9.28515625" bestFit="1" customWidth="1"/>
    <col min="3333" max="3333" width="11.5703125" bestFit="1" customWidth="1"/>
    <col min="3334" max="3334" width="25.140625" customWidth="1"/>
    <col min="3587" max="3587" width="11.85546875" bestFit="1" customWidth="1"/>
    <col min="3588" max="3588" width="9.28515625" bestFit="1" customWidth="1"/>
    <col min="3589" max="3589" width="11.5703125" bestFit="1" customWidth="1"/>
    <col min="3590" max="3590" width="25.140625" customWidth="1"/>
    <col min="3843" max="3843" width="11.85546875" bestFit="1" customWidth="1"/>
    <col min="3844" max="3844" width="9.28515625" bestFit="1" customWidth="1"/>
    <col min="3845" max="3845" width="11.5703125" bestFit="1" customWidth="1"/>
    <col min="3846" max="3846" width="25.140625" customWidth="1"/>
    <col min="4099" max="4099" width="11.85546875" bestFit="1" customWidth="1"/>
    <col min="4100" max="4100" width="9.28515625" bestFit="1" customWidth="1"/>
    <col min="4101" max="4101" width="11.5703125" bestFit="1" customWidth="1"/>
    <col min="4102" max="4102" width="25.140625" customWidth="1"/>
    <col min="4355" max="4355" width="11.85546875" bestFit="1" customWidth="1"/>
    <col min="4356" max="4356" width="9.28515625" bestFit="1" customWidth="1"/>
    <col min="4357" max="4357" width="11.5703125" bestFit="1" customWidth="1"/>
    <col min="4358" max="4358" width="25.140625" customWidth="1"/>
    <col min="4611" max="4611" width="11.85546875" bestFit="1" customWidth="1"/>
    <col min="4612" max="4612" width="9.28515625" bestFit="1" customWidth="1"/>
    <col min="4613" max="4613" width="11.5703125" bestFit="1" customWidth="1"/>
    <col min="4614" max="4614" width="25.140625" customWidth="1"/>
    <col min="4867" max="4867" width="11.85546875" bestFit="1" customWidth="1"/>
    <col min="4868" max="4868" width="9.28515625" bestFit="1" customWidth="1"/>
    <col min="4869" max="4869" width="11.5703125" bestFit="1" customWidth="1"/>
    <col min="4870" max="4870" width="25.140625" customWidth="1"/>
    <col min="5123" max="5123" width="11.85546875" bestFit="1" customWidth="1"/>
    <col min="5124" max="5124" width="9.28515625" bestFit="1" customWidth="1"/>
    <col min="5125" max="5125" width="11.5703125" bestFit="1" customWidth="1"/>
    <col min="5126" max="5126" width="25.140625" customWidth="1"/>
    <col min="5379" max="5379" width="11.85546875" bestFit="1" customWidth="1"/>
    <col min="5380" max="5380" width="9.28515625" bestFit="1" customWidth="1"/>
    <col min="5381" max="5381" width="11.5703125" bestFit="1" customWidth="1"/>
    <col min="5382" max="5382" width="25.140625" customWidth="1"/>
    <col min="5635" max="5635" width="11.85546875" bestFit="1" customWidth="1"/>
    <col min="5636" max="5636" width="9.28515625" bestFit="1" customWidth="1"/>
    <col min="5637" max="5637" width="11.5703125" bestFit="1" customWidth="1"/>
    <col min="5638" max="5638" width="25.140625" customWidth="1"/>
    <col min="5891" max="5891" width="11.85546875" bestFit="1" customWidth="1"/>
    <col min="5892" max="5892" width="9.28515625" bestFit="1" customWidth="1"/>
    <col min="5893" max="5893" width="11.5703125" bestFit="1" customWidth="1"/>
    <col min="5894" max="5894" width="25.140625" customWidth="1"/>
    <col min="6147" max="6147" width="11.85546875" bestFit="1" customWidth="1"/>
    <col min="6148" max="6148" width="9.28515625" bestFit="1" customWidth="1"/>
    <col min="6149" max="6149" width="11.5703125" bestFit="1" customWidth="1"/>
    <col min="6150" max="6150" width="25.140625" customWidth="1"/>
    <col min="6403" max="6403" width="11.85546875" bestFit="1" customWidth="1"/>
    <col min="6404" max="6404" width="9.28515625" bestFit="1" customWidth="1"/>
    <col min="6405" max="6405" width="11.5703125" bestFit="1" customWidth="1"/>
    <col min="6406" max="6406" width="25.140625" customWidth="1"/>
    <col min="6659" max="6659" width="11.85546875" bestFit="1" customWidth="1"/>
    <col min="6660" max="6660" width="9.28515625" bestFit="1" customWidth="1"/>
    <col min="6661" max="6661" width="11.5703125" bestFit="1" customWidth="1"/>
    <col min="6662" max="6662" width="25.140625" customWidth="1"/>
    <col min="6915" max="6915" width="11.85546875" bestFit="1" customWidth="1"/>
    <col min="6916" max="6916" width="9.28515625" bestFit="1" customWidth="1"/>
    <col min="6917" max="6917" width="11.5703125" bestFit="1" customWidth="1"/>
    <col min="6918" max="6918" width="25.140625" customWidth="1"/>
    <col min="7171" max="7171" width="11.85546875" bestFit="1" customWidth="1"/>
    <col min="7172" max="7172" width="9.28515625" bestFit="1" customWidth="1"/>
    <col min="7173" max="7173" width="11.5703125" bestFit="1" customWidth="1"/>
    <col min="7174" max="7174" width="25.140625" customWidth="1"/>
    <col min="7427" max="7427" width="11.85546875" bestFit="1" customWidth="1"/>
    <col min="7428" max="7428" width="9.28515625" bestFit="1" customWidth="1"/>
    <col min="7429" max="7429" width="11.5703125" bestFit="1" customWidth="1"/>
    <col min="7430" max="7430" width="25.140625" customWidth="1"/>
    <col min="7683" max="7683" width="11.85546875" bestFit="1" customWidth="1"/>
    <col min="7684" max="7684" width="9.28515625" bestFit="1" customWidth="1"/>
    <col min="7685" max="7685" width="11.5703125" bestFit="1" customWidth="1"/>
    <col min="7686" max="7686" width="25.140625" customWidth="1"/>
    <col min="7939" max="7939" width="11.85546875" bestFit="1" customWidth="1"/>
    <col min="7940" max="7940" width="9.28515625" bestFit="1" customWidth="1"/>
    <col min="7941" max="7941" width="11.5703125" bestFit="1" customWidth="1"/>
    <col min="7942" max="7942" width="25.140625" customWidth="1"/>
    <col min="8195" max="8195" width="11.85546875" bestFit="1" customWidth="1"/>
    <col min="8196" max="8196" width="9.28515625" bestFit="1" customWidth="1"/>
    <col min="8197" max="8197" width="11.5703125" bestFit="1" customWidth="1"/>
    <col min="8198" max="8198" width="25.140625" customWidth="1"/>
    <col min="8451" max="8451" width="11.85546875" bestFit="1" customWidth="1"/>
    <col min="8452" max="8452" width="9.28515625" bestFit="1" customWidth="1"/>
    <col min="8453" max="8453" width="11.5703125" bestFit="1" customWidth="1"/>
    <col min="8454" max="8454" width="25.140625" customWidth="1"/>
    <col min="8707" max="8707" width="11.85546875" bestFit="1" customWidth="1"/>
    <col min="8708" max="8708" width="9.28515625" bestFit="1" customWidth="1"/>
    <col min="8709" max="8709" width="11.5703125" bestFit="1" customWidth="1"/>
    <col min="8710" max="8710" width="25.140625" customWidth="1"/>
    <col min="8963" max="8963" width="11.85546875" bestFit="1" customWidth="1"/>
    <col min="8964" max="8964" width="9.28515625" bestFit="1" customWidth="1"/>
    <col min="8965" max="8965" width="11.5703125" bestFit="1" customWidth="1"/>
    <col min="8966" max="8966" width="25.140625" customWidth="1"/>
    <col min="9219" max="9219" width="11.85546875" bestFit="1" customWidth="1"/>
    <col min="9220" max="9220" width="9.28515625" bestFit="1" customWidth="1"/>
    <col min="9221" max="9221" width="11.5703125" bestFit="1" customWidth="1"/>
    <col min="9222" max="9222" width="25.140625" customWidth="1"/>
    <col min="9475" max="9475" width="11.85546875" bestFit="1" customWidth="1"/>
    <col min="9476" max="9476" width="9.28515625" bestFit="1" customWidth="1"/>
    <col min="9477" max="9477" width="11.5703125" bestFit="1" customWidth="1"/>
    <col min="9478" max="9478" width="25.140625" customWidth="1"/>
    <col min="9731" max="9731" width="11.85546875" bestFit="1" customWidth="1"/>
    <col min="9732" max="9732" width="9.28515625" bestFit="1" customWidth="1"/>
    <col min="9733" max="9733" width="11.5703125" bestFit="1" customWidth="1"/>
    <col min="9734" max="9734" width="25.140625" customWidth="1"/>
    <col min="9987" max="9987" width="11.85546875" bestFit="1" customWidth="1"/>
    <col min="9988" max="9988" width="9.28515625" bestFit="1" customWidth="1"/>
    <col min="9989" max="9989" width="11.5703125" bestFit="1" customWidth="1"/>
    <col min="9990" max="9990" width="25.140625" customWidth="1"/>
    <col min="10243" max="10243" width="11.85546875" bestFit="1" customWidth="1"/>
    <col min="10244" max="10244" width="9.28515625" bestFit="1" customWidth="1"/>
    <col min="10245" max="10245" width="11.5703125" bestFit="1" customWidth="1"/>
    <col min="10246" max="10246" width="25.140625" customWidth="1"/>
    <col min="10499" max="10499" width="11.85546875" bestFit="1" customWidth="1"/>
    <col min="10500" max="10500" width="9.28515625" bestFit="1" customWidth="1"/>
    <col min="10501" max="10501" width="11.5703125" bestFit="1" customWidth="1"/>
    <col min="10502" max="10502" width="25.140625" customWidth="1"/>
    <col min="10755" max="10755" width="11.85546875" bestFit="1" customWidth="1"/>
    <col min="10756" max="10756" width="9.28515625" bestFit="1" customWidth="1"/>
    <col min="10757" max="10757" width="11.5703125" bestFit="1" customWidth="1"/>
    <col min="10758" max="10758" width="25.140625" customWidth="1"/>
    <col min="11011" max="11011" width="11.85546875" bestFit="1" customWidth="1"/>
    <col min="11012" max="11012" width="9.28515625" bestFit="1" customWidth="1"/>
    <col min="11013" max="11013" width="11.5703125" bestFit="1" customWidth="1"/>
    <col min="11014" max="11014" width="25.140625" customWidth="1"/>
    <col min="11267" max="11267" width="11.85546875" bestFit="1" customWidth="1"/>
    <col min="11268" max="11268" width="9.28515625" bestFit="1" customWidth="1"/>
    <col min="11269" max="11269" width="11.5703125" bestFit="1" customWidth="1"/>
    <col min="11270" max="11270" width="25.140625" customWidth="1"/>
    <col min="11523" max="11523" width="11.85546875" bestFit="1" customWidth="1"/>
    <col min="11524" max="11524" width="9.28515625" bestFit="1" customWidth="1"/>
    <col min="11525" max="11525" width="11.5703125" bestFit="1" customWidth="1"/>
    <col min="11526" max="11526" width="25.140625" customWidth="1"/>
    <col min="11779" max="11779" width="11.85546875" bestFit="1" customWidth="1"/>
    <col min="11780" max="11780" width="9.28515625" bestFit="1" customWidth="1"/>
    <col min="11781" max="11781" width="11.5703125" bestFit="1" customWidth="1"/>
    <col min="11782" max="11782" width="25.140625" customWidth="1"/>
    <col min="12035" max="12035" width="11.85546875" bestFit="1" customWidth="1"/>
    <col min="12036" max="12036" width="9.28515625" bestFit="1" customWidth="1"/>
    <col min="12037" max="12037" width="11.5703125" bestFit="1" customWidth="1"/>
    <col min="12038" max="12038" width="25.140625" customWidth="1"/>
    <col min="12291" max="12291" width="11.85546875" bestFit="1" customWidth="1"/>
    <col min="12292" max="12292" width="9.28515625" bestFit="1" customWidth="1"/>
    <col min="12293" max="12293" width="11.5703125" bestFit="1" customWidth="1"/>
    <col min="12294" max="12294" width="25.140625" customWidth="1"/>
    <col min="12547" max="12547" width="11.85546875" bestFit="1" customWidth="1"/>
    <col min="12548" max="12548" width="9.28515625" bestFit="1" customWidth="1"/>
    <col min="12549" max="12549" width="11.5703125" bestFit="1" customWidth="1"/>
    <col min="12550" max="12550" width="25.140625" customWidth="1"/>
    <col min="12803" max="12803" width="11.85546875" bestFit="1" customWidth="1"/>
    <col min="12804" max="12804" width="9.28515625" bestFit="1" customWidth="1"/>
    <col min="12805" max="12805" width="11.5703125" bestFit="1" customWidth="1"/>
    <col min="12806" max="12806" width="25.140625" customWidth="1"/>
    <col min="13059" max="13059" width="11.85546875" bestFit="1" customWidth="1"/>
    <col min="13060" max="13060" width="9.28515625" bestFit="1" customWidth="1"/>
    <col min="13061" max="13061" width="11.5703125" bestFit="1" customWidth="1"/>
    <col min="13062" max="13062" width="25.140625" customWidth="1"/>
    <col min="13315" max="13315" width="11.85546875" bestFit="1" customWidth="1"/>
    <col min="13316" max="13316" width="9.28515625" bestFit="1" customWidth="1"/>
    <col min="13317" max="13317" width="11.5703125" bestFit="1" customWidth="1"/>
    <col min="13318" max="13318" width="25.140625" customWidth="1"/>
    <col min="13571" max="13571" width="11.85546875" bestFit="1" customWidth="1"/>
    <col min="13572" max="13572" width="9.28515625" bestFit="1" customWidth="1"/>
    <col min="13573" max="13573" width="11.5703125" bestFit="1" customWidth="1"/>
    <col min="13574" max="13574" width="25.140625" customWidth="1"/>
    <col min="13827" max="13827" width="11.85546875" bestFit="1" customWidth="1"/>
    <col min="13828" max="13828" width="9.28515625" bestFit="1" customWidth="1"/>
    <col min="13829" max="13829" width="11.5703125" bestFit="1" customWidth="1"/>
    <col min="13830" max="13830" width="25.140625" customWidth="1"/>
    <col min="14083" max="14083" width="11.85546875" bestFit="1" customWidth="1"/>
    <col min="14084" max="14084" width="9.28515625" bestFit="1" customWidth="1"/>
    <col min="14085" max="14085" width="11.5703125" bestFit="1" customWidth="1"/>
    <col min="14086" max="14086" width="25.140625" customWidth="1"/>
    <col min="14339" max="14339" width="11.85546875" bestFit="1" customWidth="1"/>
    <col min="14340" max="14340" width="9.28515625" bestFit="1" customWidth="1"/>
    <col min="14341" max="14341" width="11.5703125" bestFit="1" customWidth="1"/>
    <col min="14342" max="14342" width="25.140625" customWidth="1"/>
    <col min="14595" max="14595" width="11.85546875" bestFit="1" customWidth="1"/>
    <col min="14596" max="14596" width="9.28515625" bestFit="1" customWidth="1"/>
    <col min="14597" max="14597" width="11.5703125" bestFit="1" customWidth="1"/>
    <col min="14598" max="14598" width="25.140625" customWidth="1"/>
    <col min="14851" max="14851" width="11.85546875" bestFit="1" customWidth="1"/>
    <col min="14852" max="14852" width="9.28515625" bestFit="1" customWidth="1"/>
    <col min="14853" max="14853" width="11.5703125" bestFit="1" customWidth="1"/>
    <col min="14854" max="14854" width="25.140625" customWidth="1"/>
    <col min="15107" max="15107" width="11.85546875" bestFit="1" customWidth="1"/>
    <col min="15108" max="15108" width="9.28515625" bestFit="1" customWidth="1"/>
    <col min="15109" max="15109" width="11.5703125" bestFit="1" customWidth="1"/>
    <col min="15110" max="15110" width="25.140625" customWidth="1"/>
    <col min="15363" max="15363" width="11.85546875" bestFit="1" customWidth="1"/>
    <col min="15364" max="15364" width="9.28515625" bestFit="1" customWidth="1"/>
    <col min="15365" max="15365" width="11.5703125" bestFit="1" customWidth="1"/>
    <col min="15366" max="15366" width="25.140625" customWidth="1"/>
    <col min="15619" max="15619" width="11.85546875" bestFit="1" customWidth="1"/>
    <col min="15620" max="15620" width="9.28515625" bestFit="1" customWidth="1"/>
    <col min="15621" max="15621" width="11.5703125" bestFit="1" customWidth="1"/>
    <col min="15622" max="15622" width="25.140625" customWidth="1"/>
    <col min="15875" max="15875" width="11.85546875" bestFit="1" customWidth="1"/>
    <col min="15876" max="15876" width="9.28515625" bestFit="1" customWidth="1"/>
    <col min="15877" max="15877" width="11.5703125" bestFit="1" customWidth="1"/>
    <col min="15878" max="15878" width="25.140625" customWidth="1"/>
    <col min="16131" max="16131" width="11.85546875" bestFit="1" customWidth="1"/>
    <col min="16132" max="16132" width="9.28515625" bestFit="1" customWidth="1"/>
    <col min="16133" max="16133" width="11.5703125" bestFit="1" customWidth="1"/>
    <col min="16134" max="16134" width="25.140625" customWidth="1"/>
  </cols>
  <sheetData>
    <row r="1" spans="1:8" ht="15.75" thickBot="1" x14ac:dyDescent="0.3">
      <c r="A1" s="153" t="s">
        <v>9</v>
      </c>
      <c r="B1" s="154" t="s">
        <v>10</v>
      </c>
      <c r="C1" s="155" t="s">
        <v>262</v>
      </c>
      <c r="D1" s="155" t="s">
        <v>15</v>
      </c>
      <c r="E1" s="156" t="s">
        <v>17</v>
      </c>
      <c r="F1" s="157" t="s">
        <v>18</v>
      </c>
      <c r="G1" s="157" t="s">
        <v>219</v>
      </c>
      <c r="H1" s="157" t="s">
        <v>250</v>
      </c>
    </row>
    <row r="5" spans="1:8" ht="12.95" customHeight="1" x14ac:dyDescent="0.25"/>
    <row r="6" spans="1:8" ht="12.95" customHeight="1" x14ac:dyDescent="0.25"/>
    <row r="7" spans="1:8" ht="12.95" customHeight="1" x14ac:dyDescent="0.25"/>
  </sheetData>
  <autoFilter ref="A1:H14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8"/>
  <sheetViews>
    <sheetView workbookViewId="0">
      <pane ySplit="1" topLeftCell="A2" activePane="bottomLeft" state="frozen"/>
      <selection pane="bottomLeft" activeCell="D27" sqref="D27"/>
    </sheetView>
  </sheetViews>
  <sheetFormatPr baseColWidth="10" defaultColWidth="11.42578125" defaultRowHeight="15" x14ac:dyDescent="0.25"/>
  <cols>
    <col min="1" max="1" width="18.85546875" customWidth="1"/>
    <col min="2" max="2" width="13.85546875" customWidth="1"/>
    <col min="3" max="3" width="12.7109375" customWidth="1"/>
    <col min="4" max="4" width="14.28515625" customWidth="1"/>
    <col min="5" max="5" width="31.5703125" customWidth="1"/>
    <col min="6" max="6" width="29.42578125" bestFit="1" customWidth="1"/>
    <col min="258" max="258" width="11.85546875" bestFit="1" customWidth="1"/>
    <col min="259" max="259" width="9.28515625" bestFit="1" customWidth="1"/>
    <col min="260" max="260" width="11.5703125" bestFit="1" customWidth="1"/>
    <col min="261" max="261" width="25.140625" customWidth="1"/>
    <col min="514" max="514" width="11.85546875" bestFit="1" customWidth="1"/>
    <col min="515" max="515" width="9.28515625" bestFit="1" customWidth="1"/>
    <col min="516" max="516" width="11.5703125" bestFit="1" customWidth="1"/>
    <col min="517" max="517" width="25.140625" customWidth="1"/>
    <col min="770" max="770" width="11.85546875" bestFit="1" customWidth="1"/>
    <col min="771" max="771" width="9.28515625" bestFit="1" customWidth="1"/>
    <col min="772" max="772" width="11.5703125" bestFit="1" customWidth="1"/>
    <col min="773" max="773" width="25.140625" customWidth="1"/>
    <col min="1026" max="1026" width="11.85546875" bestFit="1" customWidth="1"/>
    <col min="1027" max="1027" width="9.28515625" bestFit="1" customWidth="1"/>
    <col min="1028" max="1028" width="11.5703125" bestFit="1" customWidth="1"/>
    <col min="1029" max="1029" width="25.140625" customWidth="1"/>
    <col min="1282" max="1282" width="11.85546875" bestFit="1" customWidth="1"/>
    <col min="1283" max="1283" width="9.28515625" bestFit="1" customWidth="1"/>
    <col min="1284" max="1284" width="11.5703125" bestFit="1" customWidth="1"/>
    <col min="1285" max="1285" width="25.140625" customWidth="1"/>
    <col min="1538" max="1538" width="11.85546875" bestFit="1" customWidth="1"/>
    <col min="1539" max="1539" width="9.28515625" bestFit="1" customWidth="1"/>
    <col min="1540" max="1540" width="11.5703125" bestFit="1" customWidth="1"/>
    <col min="1541" max="1541" width="25.140625" customWidth="1"/>
    <col min="1794" max="1794" width="11.85546875" bestFit="1" customWidth="1"/>
    <col min="1795" max="1795" width="9.28515625" bestFit="1" customWidth="1"/>
    <col min="1796" max="1796" width="11.5703125" bestFit="1" customWidth="1"/>
    <col min="1797" max="1797" width="25.140625" customWidth="1"/>
    <col min="2050" max="2050" width="11.85546875" bestFit="1" customWidth="1"/>
    <col min="2051" max="2051" width="9.28515625" bestFit="1" customWidth="1"/>
    <col min="2052" max="2052" width="11.5703125" bestFit="1" customWidth="1"/>
    <col min="2053" max="2053" width="25.140625" customWidth="1"/>
    <col min="2306" max="2306" width="11.85546875" bestFit="1" customWidth="1"/>
    <col min="2307" max="2307" width="9.28515625" bestFit="1" customWidth="1"/>
    <col min="2308" max="2308" width="11.5703125" bestFit="1" customWidth="1"/>
    <col min="2309" max="2309" width="25.140625" customWidth="1"/>
    <col min="2562" max="2562" width="11.85546875" bestFit="1" customWidth="1"/>
    <col min="2563" max="2563" width="9.28515625" bestFit="1" customWidth="1"/>
    <col min="2564" max="2564" width="11.5703125" bestFit="1" customWidth="1"/>
    <col min="2565" max="2565" width="25.140625" customWidth="1"/>
    <col min="2818" max="2818" width="11.85546875" bestFit="1" customWidth="1"/>
    <col min="2819" max="2819" width="9.28515625" bestFit="1" customWidth="1"/>
    <col min="2820" max="2820" width="11.5703125" bestFit="1" customWidth="1"/>
    <col min="2821" max="2821" width="25.140625" customWidth="1"/>
    <col min="3074" max="3074" width="11.85546875" bestFit="1" customWidth="1"/>
    <col min="3075" max="3075" width="9.28515625" bestFit="1" customWidth="1"/>
    <col min="3076" max="3076" width="11.5703125" bestFit="1" customWidth="1"/>
    <col min="3077" max="3077" width="25.140625" customWidth="1"/>
    <col min="3330" max="3330" width="11.85546875" bestFit="1" customWidth="1"/>
    <col min="3331" max="3331" width="9.28515625" bestFit="1" customWidth="1"/>
    <col min="3332" max="3332" width="11.5703125" bestFit="1" customWidth="1"/>
    <col min="3333" max="3333" width="25.140625" customWidth="1"/>
    <col min="3586" max="3586" width="11.85546875" bestFit="1" customWidth="1"/>
    <col min="3587" max="3587" width="9.28515625" bestFit="1" customWidth="1"/>
    <col min="3588" max="3588" width="11.5703125" bestFit="1" customWidth="1"/>
    <col min="3589" max="3589" width="25.140625" customWidth="1"/>
    <col min="3842" max="3842" width="11.85546875" bestFit="1" customWidth="1"/>
    <col min="3843" max="3843" width="9.28515625" bestFit="1" customWidth="1"/>
    <col min="3844" max="3844" width="11.5703125" bestFit="1" customWidth="1"/>
    <col min="3845" max="3845" width="25.140625" customWidth="1"/>
    <col min="4098" max="4098" width="11.85546875" bestFit="1" customWidth="1"/>
    <col min="4099" max="4099" width="9.28515625" bestFit="1" customWidth="1"/>
    <col min="4100" max="4100" width="11.5703125" bestFit="1" customWidth="1"/>
    <col min="4101" max="4101" width="25.140625" customWidth="1"/>
    <col min="4354" max="4354" width="11.85546875" bestFit="1" customWidth="1"/>
    <col min="4355" max="4355" width="9.28515625" bestFit="1" customWidth="1"/>
    <col min="4356" max="4356" width="11.5703125" bestFit="1" customWidth="1"/>
    <col min="4357" max="4357" width="25.140625" customWidth="1"/>
    <col min="4610" max="4610" width="11.85546875" bestFit="1" customWidth="1"/>
    <col min="4611" max="4611" width="9.28515625" bestFit="1" customWidth="1"/>
    <col min="4612" max="4612" width="11.5703125" bestFit="1" customWidth="1"/>
    <col min="4613" max="4613" width="25.140625" customWidth="1"/>
    <col min="4866" max="4866" width="11.85546875" bestFit="1" customWidth="1"/>
    <col min="4867" max="4867" width="9.28515625" bestFit="1" customWidth="1"/>
    <col min="4868" max="4868" width="11.5703125" bestFit="1" customWidth="1"/>
    <col min="4869" max="4869" width="25.140625" customWidth="1"/>
    <col min="5122" max="5122" width="11.85546875" bestFit="1" customWidth="1"/>
    <col min="5123" max="5123" width="9.28515625" bestFit="1" customWidth="1"/>
    <col min="5124" max="5124" width="11.5703125" bestFit="1" customWidth="1"/>
    <col min="5125" max="5125" width="25.140625" customWidth="1"/>
    <col min="5378" max="5378" width="11.85546875" bestFit="1" customWidth="1"/>
    <col min="5379" max="5379" width="9.28515625" bestFit="1" customWidth="1"/>
    <col min="5380" max="5380" width="11.5703125" bestFit="1" customWidth="1"/>
    <col min="5381" max="5381" width="25.140625" customWidth="1"/>
    <col min="5634" max="5634" width="11.85546875" bestFit="1" customWidth="1"/>
    <col min="5635" max="5635" width="9.28515625" bestFit="1" customWidth="1"/>
    <col min="5636" max="5636" width="11.5703125" bestFit="1" customWidth="1"/>
    <col min="5637" max="5637" width="25.140625" customWidth="1"/>
    <col min="5890" max="5890" width="11.85546875" bestFit="1" customWidth="1"/>
    <col min="5891" max="5891" width="9.28515625" bestFit="1" customWidth="1"/>
    <col min="5892" max="5892" width="11.5703125" bestFit="1" customWidth="1"/>
    <col min="5893" max="5893" width="25.140625" customWidth="1"/>
    <col min="6146" max="6146" width="11.85546875" bestFit="1" customWidth="1"/>
    <col min="6147" max="6147" width="9.28515625" bestFit="1" customWidth="1"/>
    <col min="6148" max="6148" width="11.5703125" bestFit="1" customWidth="1"/>
    <col min="6149" max="6149" width="25.140625" customWidth="1"/>
    <col min="6402" max="6402" width="11.85546875" bestFit="1" customWidth="1"/>
    <col min="6403" max="6403" width="9.28515625" bestFit="1" customWidth="1"/>
    <col min="6404" max="6404" width="11.5703125" bestFit="1" customWidth="1"/>
    <col min="6405" max="6405" width="25.140625" customWidth="1"/>
    <col min="6658" max="6658" width="11.85546875" bestFit="1" customWidth="1"/>
    <col min="6659" max="6659" width="9.28515625" bestFit="1" customWidth="1"/>
    <col min="6660" max="6660" width="11.5703125" bestFit="1" customWidth="1"/>
    <col min="6661" max="6661" width="25.140625" customWidth="1"/>
    <col min="6914" max="6914" width="11.85546875" bestFit="1" customWidth="1"/>
    <col min="6915" max="6915" width="9.28515625" bestFit="1" customWidth="1"/>
    <col min="6916" max="6916" width="11.5703125" bestFit="1" customWidth="1"/>
    <col min="6917" max="6917" width="25.140625" customWidth="1"/>
    <col min="7170" max="7170" width="11.85546875" bestFit="1" customWidth="1"/>
    <col min="7171" max="7171" width="9.28515625" bestFit="1" customWidth="1"/>
    <col min="7172" max="7172" width="11.5703125" bestFit="1" customWidth="1"/>
    <col min="7173" max="7173" width="25.140625" customWidth="1"/>
    <col min="7426" max="7426" width="11.85546875" bestFit="1" customWidth="1"/>
    <col min="7427" max="7427" width="9.28515625" bestFit="1" customWidth="1"/>
    <col min="7428" max="7428" width="11.5703125" bestFit="1" customWidth="1"/>
    <col min="7429" max="7429" width="25.140625" customWidth="1"/>
    <col min="7682" max="7682" width="11.85546875" bestFit="1" customWidth="1"/>
    <col min="7683" max="7683" width="9.28515625" bestFit="1" customWidth="1"/>
    <col min="7684" max="7684" width="11.5703125" bestFit="1" customWidth="1"/>
    <col min="7685" max="7685" width="25.140625" customWidth="1"/>
    <col min="7938" max="7938" width="11.85546875" bestFit="1" customWidth="1"/>
    <col min="7939" max="7939" width="9.28515625" bestFit="1" customWidth="1"/>
    <col min="7940" max="7940" width="11.5703125" bestFit="1" customWidth="1"/>
    <col min="7941" max="7941" width="25.140625" customWidth="1"/>
    <col min="8194" max="8194" width="11.85546875" bestFit="1" customWidth="1"/>
    <col min="8195" max="8195" width="9.28515625" bestFit="1" customWidth="1"/>
    <col min="8196" max="8196" width="11.5703125" bestFit="1" customWidth="1"/>
    <col min="8197" max="8197" width="25.140625" customWidth="1"/>
    <col min="8450" max="8450" width="11.85546875" bestFit="1" customWidth="1"/>
    <col min="8451" max="8451" width="9.28515625" bestFit="1" customWidth="1"/>
    <col min="8452" max="8452" width="11.5703125" bestFit="1" customWidth="1"/>
    <col min="8453" max="8453" width="25.140625" customWidth="1"/>
    <col min="8706" max="8706" width="11.85546875" bestFit="1" customWidth="1"/>
    <col min="8707" max="8707" width="9.28515625" bestFit="1" customWidth="1"/>
    <col min="8708" max="8708" width="11.5703125" bestFit="1" customWidth="1"/>
    <col min="8709" max="8709" width="25.140625" customWidth="1"/>
    <col min="8962" max="8962" width="11.85546875" bestFit="1" customWidth="1"/>
    <col min="8963" max="8963" width="9.28515625" bestFit="1" customWidth="1"/>
    <col min="8964" max="8964" width="11.5703125" bestFit="1" customWidth="1"/>
    <col min="8965" max="8965" width="25.140625" customWidth="1"/>
    <col min="9218" max="9218" width="11.85546875" bestFit="1" customWidth="1"/>
    <col min="9219" max="9219" width="9.28515625" bestFit="1" customWidth="1"/>
    <col min="9220" max="9220" width="11.5703125" bestFit="1" customWidth="1"/>
    <col min="9221" max="9221" width="25.140625" customWidth="1"/>
    <col min="9474" max="9474" width="11.85546875" bestFit="1" customWidth="1"/>
    <col min="9475" max="9475" width="9.28515625" bestFit="1" customWidth="1"/>
    <col min="9476" max="9476" width="11.5703125" bestFit="1" customWidth="1"/>
    <col min="9477" max="9477" width="25.140625" customWidth="1"/>
    <col min="9730" max="9730" width="11.85546875" bestFit="1" customWidth="1"/>
    <col min="9731" max="9731" width="9.28515625" bestFit="1" customWidth="1"/>
    <col min="9732" max="9732" width="11.5703125" bestFit="1" customWidth="1"/>
    <col min="9733" max="9733" width="25.140625" customWidth="1"/>
    <col min="9986" max="9986" width="11.85546875" bestFit="1" customWidth="1"/>
    <col min="9987" max="9987" width="9.28515625" bestFit="1" customWidth="1"/>
    <col min="9988" max="9988" width="11.5703125" bestFit="1" customWidth="1"/>
    <col min="9989" max="9989" width="25.140625" customWidth="1"/>
    <col min="10242" max="10242" width="11.85546875" bestFit="1" customWidth="1"/>
    <col min="10243" max="10243" width="9.28515625" bestFit="1" customWidth="1"/>
    <col min="10244" max="10244" width="11.5703125" bestFit="1" customWidth="1"/>
    <col min="10245" max="10245" width="25.140625" customWidth="1"/>
    <col min="10498" max="10498" width="11.85546875" bestFit="1" customWidth="1"/>
    <col min="10499" max="10499" width="9.28515625" bestFit="1" customWidth="1"/>
    <col min="10500" max="10500" width="11.5703125" bestFit="1" customWidth="1"/>
    <col min="10501" max="10501" width="25.140625" customWidth="1"/>
    <col min="10754" max="10754" width="11.85546875" bestFit="1" customWidth="1"/>
    <col min="10755" max="10755" width="9.28515625" bestFit="1" customWidth="1"/>
    <col min="10756" max="10756" width="11.5703125" bestFit="1" customWidth="1"/>
    <col min="10757" max="10757" width="25.140625" customWidth="1"/>
    <col min="11010" max="11010" width="11.85546875" bestFit="1" customWidth="1"/>
    <col min="11011" max="11011" width="9.28515625" bestFit="1" customWidth="1"/>
    <col min="11012" max="11012" width="11.5703125" bestFit="1" customWidth="1"/>
    <col min="11013" max="11013" width="25.140625" customWidth="1"/>
    <col min="11266" max="11266" width="11.85546875" bestFit="1" customWidth="1"/>
    <col min="11267" max="11267" width="9.28515625" bestFit="1" customWidth="1"/>
    <col min="11268" max="11268" width="11.5703125" bestFit="1" customWidth="1"/>
    <col min="11269" max="11269" width="25.140625" customWidth="1"/>
    <col min="11522" max="11522" width="11.85546875" bestFit="1" customWidth="1"/>
    <col min="11523" max="11523" width="9.28515625" bestFit="1" customWidth="1"/>
    <col min="11524" max="11524" width="11.5703125" bestFit="1" customWidth="1"/>
    <col min="11525" max="11525" width="25.140625" customWidth="1"/>
    <col min="11778" max="11778" width="11.85546875" bestFit="1" customWidth="1"/>
    <col min="11779" max="11779" width="9.28515625" bestFit="1" customWidth="1"/>
    <col min="11780" max="11780" width="11.5703125" bestFit="1" customWidth="1"/>
    <col min="11781" max="11781" width="25.140625" customWidth="1"/>
    <col min="12034" max="12034" width="11.85546875" bestFit="1" customWidth="1"/>
    <col min="12035" max="12035" width="9.28515625" bestFit="1" customWidth="1"/>
    <col min="12036" max="12036" width="11.5703125" bestFit="1" customWidth="1"/>
    <col min="12037" max="12037" width="25.140625" customWidth="1"/>
    <col min="12290" max="12290" width="11.85546875" bestFit="1" customWidth="1"/>
    <col min="12291" max="12291" width="9.28515625" bestFit="1" customWidth="1"/>
    <col min="12292" max="12292" width="11.5703125" bestFit="1" customWidth="1"/>
    <col min="12293" max="12293" width="25.140625" customWidth="1"/>
    <col min="12546" max="12546" width="11.85546875" bestFit="1" customWidth="1"/>
    <col min="12547" max="12547" width="9.28515625" bestFit="1" customWidth="1"/>
    <col min="12548" max="12548" width="11.5703125" bestFit="1" customWidth="1"/>
    <col min="12549" max="12549" width="25.140625" customWidth="1"/>
    <col min="12802" max="12802" width="11.85546875" bestFit="1" customWidth="1"/>
    <col min="12803" max="12803" width="9.28515625" bestFit="1" customWidth="1"/>
    <col min="12804" max="12804" width="11.5703125" bestFit="1" customWidth="1"/>
    <col min="12805" max="12805" width="25.140625" customWidth="1"/>
    <col min="13058" max="13058" width="11.85546875" bestFit="1" customWidth="1"/>
    <col min="13059" max="13059" width="9.28515625" bestFit="1" customWidth="1"/>
    <col min="13060" max="13060" width="11.5703125" bestFit="1" customWidth="1"/>
    <col min="13061" max="13061" width="25.140625" customWidth="1"/>
    <col min="13314" max="13314" width="11.85546875" bestFit="1" customWidth="1"/>
    <col min="13315" max="13315" width="9.28515625" bestFit="1" customWidth="1"/>
    <col min="13316" max="13316" width="11.5703125" bestFit="1" customWidth="1"/>
    <col min="13317" max="13317" width="25.140625" customWidth="1"/>
    <col min="13570" max="13570" width="11.85546875" bestFit="1" customWidth="1"/>
    <col min="13571" max="13571" width="9.28515625" bestFit="1" customWidth="1"/>
    <col min="13572" max="13572" width="11.5703125" bestFit="1" customWidth="1"/>
    <col min="13573" max="13573" width="25.140625" customWidth="1"/>
    <col min="13826" max="13826" width="11.85546875" bestFit="1" customWidth="1"/>
    <col min="13827" max="13827" width="9.28515625" bestFit="1" customWidth="1"/>
    <col min="13828" max="13828" width="11.5703125" bestFit="1" customWidth="1"/>
    <col min="13829" max="13829" width="25.140625" customWidth="1"/>
    <col min="14082" max="14082" width="11.85546875" bestFit="1" customWidth="1"/>
    <col min="14083" max="14083" width="9.28515625" bestFit="1" customWidth="1"/>
    <col min="14084" max="14084" width="11.5703125" bestFit="1" customWidth="1"/>
    <col min="14085" max="14085" width="25.140625" customWidth="1"/>
    <col min="14338" max="14338" width="11.85546875" bestFit="1" customWidth="1"/>
    <col min="14339" max="14339" width="9.28515625" bestFit="1" customWidth="1"/>
    <col min="14340" max="14340" width="11.5703125" bestFit="1" customWidth="1"/>
    <col min="14341" max="14341" width="25.140625" customWidth="1"/>
    <col min="14594" max="14594" width="11.85546875" bestFit="1" customWidth="1"/>
    <col min="14595" max="14595" width="9.28515625" bestFit="1" customWidth="1"/>
    <col min="14596" max="14596" width="11.5703125" bestFit="1" customWidth="1"/>
    <col min="14597" max="14597" width="25.140625" customWidth="1"/>
    <col min="14850" max="14850" width="11.85546875" bestFit="1" customWidth="1"/>
    <col min="14851" max="14851" width="9.28515625" bestFit="1" customWidth="1"/>
    <col min="14852" max="14852" width="11.5703125" bestFit="1" customWidth="1"/>
    <col min="14853" max="14853" width="25.140625" customWidth="1"/>
    <col min="15106" max="15106" width="11.85546875" bestFit="1" customWidth="1"/>
    <col min="15107" max="15107" width="9.28515625" bestFit="1" customWidth="1"/>
    <col min="15108" max="15108" width="11.5703125" bestFit="1" customWidth="1"/>
    <col min="15109" max="15109" width="25.140625" customWidth="1"/>
    <col min="15362" max="15362" width="11.85546875" bestFit="1" customWidth="1"/>
    <col min="15363" max="15363" width="9.28515625" bestFit="1" customWidth="1"/>
    <col min="15364" max="15364" width="11.5703125" bestFit="1" customWidth="1"/>
    <col min="15365" max="15365" width="25.140625" customWidth="1"/>
    <col min="15618" max="15618" width="11.85546875" bestFit="1" customWidth="1"/>
    <col min="15619" max="15619" width="9.28515625" bestFit="1" customWidth="1"/>
    <col min="15620" max="15620" width="11.5703125" bestFit="1" customWidth="1"/>
    <col min="15621" max="15621" width="25.140625" customWidth="1"/>
    <col min="15874" max="15874" width="11.85546875" bestFit="1" customWidth="1"/>
    <col min="15875" max="15875" width="9.28515625" bestFit="1" customWidth="1"/>
    <col min="15876" max="15876" width="11.5703125" bestFit="1" customWidth="1"/>
    <col min="15877" max="15877" width="25.140625" customWidth="1"/>
    <col min="16130" max="16130" width="11.85546875" bestFit="1" customWidth="1"/>
    <col min="16131" max="16131" width="9.28515625" bestFit="1" customWidth="1"/>
    <col min="16132" max="16132" width="11.5703125" bestFit="1" customWidth="1"/>
    <col min="16133" max="16133" width="25.140625" customWidth="1"/>
  </cols>
  <sheetData>
    <row r="1" spans="1:6" ht="15.75" thickBot="1" x14ac:dyDescent="0.3">
      <c r="A1" s="142" t="s">
        <v>9</v>
      </c>
      <c r="B1" s="143" t="s">
        <v>10</v>
      </c>
      <c r="C1" s="144" t="s">
        <v>15</v>
      </c>
      <c r="D1" s="145" t="s">
        <v>17</v>
      </c>
      <c r="E1" s="146" t="s">
        <v>18</v>
      </c>
      <c r="F1" s="146" t="s">
        <v>219</v>
      </c>
    </row>
    <row r="6" spans="1:6" ht="12.95" customHeight="1" x14ac:dyDescent="0.25"/>
    <row r="7" spans="1:6" ht="12.95" customHeight="1" x14ac:dyDescent="0.25"/>
    <row r="8" spans="1:6" ht="12.95" customHeight="1" x14ac:dyDescent="0.25"/>
  </sheetData>
  <autoFilter ref="A1:F1"/>
  <sortState ref="B2:E205">
    <sortCondition ref="D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F293"/>
  <sheetViews>
    <sheetView topLeftCell="A51" zoomScaleNormal="100" workbookViewId="0">
      <selection activeCell="D66" sqref="D66"/>
    </sheetView>
  </sheetViews>
  <sheetFormatPr baseColWidth="10" defaultColWidth="11.42578125" defaultRowHeight="15" x14ac:dyDescent="0.25"/>
  <cols>
    <col min="1" max="1" width="15.5703125" customWidth="1"/>
    <col min="2" max="2" width="11.42578125" customWidth="1"/>
    <col min="3" max="3" width="35.85546875" bestFit="1" customWidth="1"/>
    <col min="4" max="4" width="11.42578125" customWidth="1"/>
    <col min="6" max="6" width="13.140625" customWidth="1"/>
    <col min="8" max="8" width="25.42578125" bestFit="1" customWidth="1"/>
  </cols>
  <sheetData>
    <row r="1" spans="1:6" ht="23.25" x14ac:dyDescent="0.35">
      <c r="A1" s="313" t="s">
        <v>143</v>
      </c>
      <c r="B1" s="314"/>
      <c r="C1" s="314"/>
      <c r="D1" s="314"/>
      <c r="E1" s="315"/>
    </row>
    <row r="2" spans="1:6" ht="23.25" x14ac:dyDescent="0.35">
      <c r="A2" s="316" t="s">
        <v>260</v>
      </c>
      <c r="B2" s="317"/>
      <c r="C2" s="317"/>
      <c r="D2" s="317"/>
      <c r="E2" s="318"/>
    </row>
    <row r="3" spans="1:6" ht="18.75" x14ac:dyDescent="0.3">
      <c r="A3" s="319" t="s">
        <v>215</v>
      </c>
      <c r="B3" s="320"/>
      <c r="C3" s="320"/>
      <c r="D3" s="320"/>
      <c r="E3" s="321"/>
    </row>
    <row r="4" spans="1:6" ht="19.5" thickBot="1" x14ac:dyDescent="0.35">
      <c r="A4" s="150"/>
      <c r="B4" s="151"/>
      <c r="C4" s="151"/>
      <c r="D4" s="151"/>
      <c r="E4" s="152"/>
    </row>
    <row r="5" spans="1:6" ht="18.75" x14ac:dyDescent="0.3">
      <c r="A5" s="139"/>
      <c r="B5" s="139"/>
      <c r="C5" s="139"/>
      <c r="D5" s="139"/>
      <c r="E5" s="139"/>
      <c r="F5" s="47"/>
    </row>
    <row r="6" spans="1:6" ht="19.5" thickBot="1" x14ac:dyDescent="0.35">
      <c r="A6" s="139"/>
      <c r="B6" s="139"/>
      <c r="C6" s="139"/>
      <c r="D6" s="139"/>
      <c r="E6" s="139"/>
      <c r="F6" s="47"/>
    </row>
    <row r="7" spans="1:6" ht="15.75" thickBot="1" x14ac:dyDescent="0.3">
      <c r="A7" s="310">
        <v>42736</v>
      </c>
      <c r="B7" s="311"/>
      <c r="C7" s="312"/>
      <c r="D7" s="162" t="s">
        <v>144</v>
      </c>
      <c r="E7" s="141" t="s">
        <v>145</v>
      </c>
    </row>
    <row r="8" spans="1:6" x14ac:dyDescent="0.25">
      <c r="A8" s="68" t="s">
        <v>184</v>
      </c>
      <c r="B8" s="69"/>
      <c r="C8" s="75"/>
      <c r="D8" s="115">
        <f>COUNTIFS('Données '!$A:$A,"JANVIER")</f>
        <v>27</v>
      </c>
      <c r="E8" s="59"/>
    </row>
    <row r="9" spans="1:6" x14ac:dyDescent="0.25">
      <c r="A9" s="44" t="s">
        <v>202</v>
      </c>
      <c r="B9" s="45"/>
      <c r="C9" s="45"/>
      <c r="D9" s="74">
        <f>COUNTIFS('Données '!$A:$A,"JANVIER",'Données '!$F:$F,1)</f>
        <v>0</v>
      </c>
      <c r="E9" s="46"/>
    </row>
    <row r="10" spans="1:6" x14ac:dyDescent="0.25">
      <c r="A10" s="44" t="s">
        <v>220</v>
      </c>
      <c r="B10" s="45"/>
      <c r="C10" s="45"/>
      <c r="D10" s="74">
        <f>COUNTIFS('Données '!$A:$A,"JANVIER",'Données '!$BW:$BW,"OUI")</f>
        <v>0</v>
      </c>
      <c r="E10" s="112">
        <f>D10/D8</f>
        <v>0</v>
      </c>
      <c r="F10" s="47"/>
    </row>
    <row r="11" spans="1:6" x14ac:dyDescent="0.25">
      <c r="A11" s="70" t="s">
        <v>146</v>
      </c>
      <c r="B11" s="71"/>
      <c r="C11" s="71"/>
      <c r="D11" s="74">
        <f>COUNTIFS('Données '!$A:$A,"JANVIER",'Données '!$O:$O,"CABG")</f>
        <v>0</v>
      </c>
      <c r="E11" s="60">
        <f>D11/D8</f>
        <v>0</v>
      </c>
    </row>
    <row r="12" spans="1:6" x14ac:dyDescent="0.25">
      <c r="A12" s="66" t="s">
        <v>147</v>
      </c>
      <c r="B12" s="67"/>
      <c r="C12" s="67"/>
      <c r="D12" s="74">
        <f>SUM($D$13:$D$18)</f>
        <v>0</v>
      </c>
      <c r="E12" s="60">
        <f>D12/D8</f>
        <v>0</v>
      </c>
    </row>
    <row r="13" spans="1:6" x14ac:dyDescent="0.25">
      <c r="A13" s="51"/>
      <c r="B13" s="52"/>
      <c r="C13" s="52" t="s">
        <v>1</v>
      </c>
      <c r="D13" s="79">
        <f>COUNTIFS('Données '!$A:$A,"JANVIER",'Données '!$R:$R,"AVR")</f>
        <v>0</v>
      </c>
      <c r="E13" s="116" t="str">
        <f>IFERROR(D13/#REF!,"")</f>
        <v/>
      </c>
    </row>
    <row r="14" spans="1:6" x14ac:dyDescent="0.25">
      <c r="A14" s="51"/>
      <c r="B14" s="52"/>
      <c r="C14" s="52" t="s">
        <v>72</v>
      </c>
      <c r="D14" s="79">
        <f>COUNTIFS('Données '!$A:$A,"JANVIER",'Données '!$R:$R,"TVR")</f>
        <v>0</v>
      </c>
      <c r="E14" s="116" t="str">
        <f>IFERROR(D14/#REF!,"")</f>
        <v/>
      </c>
    </row>
    <row r="15" spans="1:6" x14ac:dyDescent="0.25">
      <c r="A15" s="51"/>
      <c r="B15" s="52"/>
      <c r="C15" s="52" t="s">
        <v>62</v>
      </c>
      <c r="D15" s="79">
        <f>COUNTIFS('Données '!$A:$A,"JANVIER",'Données '!$R:$R,"TVP")</f>
        <v>0</v>
      </c>
      <c r="E15" s="116" t="str">
        <f>IFERROR(D15/#REF!,"")</f>
        <v/>
      </c>
    </row>
    <row r="16" spans="1:6" x14ac:dyDescent="0.25">
      <c r="A16" s="51"/>
      <c r="B16" s="52"/>
      <c r="C16" s="52" t="s">
        <v>64</v>
      </c>
      <c r="D16" s="79">
        <f>COUNTIFS('Données '!$A:$A,"JANVIER",'Données '!$R:$R,"MVR")</f>
        <v>0</v>
      </c>
      <c r="E16" s="116" t="str">
        <f>IFERROR(D16/#REF!,"")</f>
        <v/>
      </c>
    </row>
    <row r="17" spans="1:5" x14ac:dyDescent="0.25">
      <c r="A17" s="51"/>
      <c r="B17" s="52"/>
      <c r="C17" s="52" t="s">
        <v>63</v>
      </c>
      <c r="D17" s="79">
        <f>COUNTIFS('Données '!$A:$A,"JANVIER",'Données '!$R:$R,"MVP")</f>
        <v>0</v>
      </c>
      <c r="E17" s="116" t="str">
        <f>IFERROR(D17/#REF!,"")</f>
        <v/>
      </c>
    </row>
    <row r="18" spans="1:5" x14ac:dyDescent="0.25">
      <c r="A18" s="53"/>
      <c r="B18" s="54"/>
      <c r="C18" s="54" t="s">
        <v>148</v>
      </c>
      <c r="D18" s="79">
        <f>COUNTIFS('Données '!$A:$A,"JANVIER",'Données '!$R:$R,"2 V ou plus")</f>
        <v>0</v>
      </c>
      <c r="E18" s="116" t="str">
        <f>IFERROR(D18/#REF!,"")</f>
        <v/>
      </c>
    </row>
    <row r="19" spans="1:5" x14ac:dyDescent="0.25">
      <c r="A19" s="70" t="s">
        <v>180</v>
      </c>
      <c r="B19" s="71"/>
      <c r="C19" s="76"/>
      <c r="D19" s="62">
        <f>COUNTIFS('Données '!$A:$A,"JANVIER",'Données '!$Q:$Q,"CABG + V")</f>
        <v>0</v>
      </c>
      <c r="E19" s="60">
        <f>D19/D8</f>
        <v>0</v>
      </c>
    </row>
    <row r="20" spans="1:5" x14ac:dyDescent="0.25">
      <c r="A20" s="70" t="s">
        <v>181</v>
      </c>
      <c r="B20" s="71"/>
      <c r="C20" s="76"/>
      <c r="D20" s="62">
        <f>COUNTIFS('Données '!$A:$A,"JANVIER",'Données '!$O:$O,"Autre")</f>
        <v>0</v>
      </c>
      <c r="E20" s="60">
        <f>D20/D8</f>
        <v>0</v>
      </c>
    </row>
    <row r="21" spans="1:5" x14ac:dyDescent="0.25">
      <c r="A21" s="70" t="s">
        <v>154</v>
      </c>
      <c r="B21" s="71"/>
      <c r="C21" s="76"/>
      <c r="D21" s="62">
        <f>COUNTIFS('Données '!$A:$A,"JANVIER",'Données '!$O:$O,"Aorte")</f>
        <v>0</v>
      </c>
      <c r="E21" s="60">
        <f>D21/D8</f>
        <v>0</v>
      </c>
    </row>
    <row r="22" spans="1:5" x14ac:dyDescent="0.25">
      <c r="A22" s="72" t="s">
        <v>152</v>
      </c>
      <c r="B22" s="73"/>
      <c r="C22" s="77"/>
      <c r="D22" s="62">
        <f>SUM($D$23:$D$24)</f>
        <v>0</v>
      </c>
      <c r="E22" s="60">
        <f>D22/D8</f>
        <v>0</v>
      </c>
    </row>
    <row r="23" spans="1:5" x14ac:dyDescent="0.25">
      <c r="A23" s="51"/>
      <c r="B23" s="52"/>
      <c r="C23" s="52" t="s">
        <v>45</v>
      </c>
      <c r="D23" s="79">
        <f>COUNTIFS('Données '!$A:$A,"JANVIER",'Données '!$O:$O,"LVAD")</f>
        <v>0</v>
      </c>
      <c r="E23" s="78">
        <f>D23/D8</f>
        <v>0</v>
      </c>
    </row>
    <row r="24" spans="1:5" ht="15.75" thickBot="1" x14ac:dyDescent="0.3">
      <c r="A24" s="55"/>
      <c r="B24" s="56"/>
      <c r="C24" s="56" t="s">
        <v>151</v>
      </c>
      <c r="D24" s="118">
        <f>COUNTIFS('Données '!$A:$A,"JANVIER",'Données '!$O:$O,"HTX")</f>
        <v>0</v>
      </c>
      <c r="E24" s="119">
        <f>D24/D8</f>
        <v>0</v>
      </c>
    </row>
    <row r="25" spans="1:5" x14ac:dyDescent="0.25">
      <c r="A25" s="31" t="s">
        <v>169</v>
      </c>
      <c r="B25" s="32"/>
      <c r="C25" s="33"/>
      <c r="D25" s="28">
        <f>COUNTIFS('Données '!$A:$A,"JANVIER",'Données '!$Y:$Y,1)</f>
        <v>27</v>
      </c>
      <c r="E25" s="123">
        <f>D25/D8</f>
        <v>1</v>
      </c>
    </row>
    <row r="26" spans="1:5" x14ac:dyDescent="0.25">
      <c r="A26" s="53" t="s">
        <v>149</v>
      </c>
      <c r="B26" s="54"/>
      <c r="C26" s="54"/>
      <c r="D26" s="62">
        <f>COUNTIFS('Données '!$A:$A,"JANVIER",'Données '!$AN:$AN,"DECEASED")</f>
        <v>0</v>
      </c>
      <c r="E26" s="60">
        <f>D26/D8</f>
        <v>0</v>
      </c>
    </row>
    <row r="27" spans="1:5" x14ac:dyDescent="0.25">
      <c r="A27" s="49" t="s">
        <v>150</v>
      </c>
      <c r="B27" s="50"/>
      <c r="C27" s="50"/>
      <c r="D27" s="74">
        <v>4.5999999999999996</v>
      </c>
      <c r="E27" s="61"/>
    </row>
    <row r="28" spans="1:5" x14ac:dyDescent="0.25">
      <c r="A28" s="49" t="s">
        <v>167</v>
      </c>
      <c r="B28" s="50"/>
      <c r="C28" s="50"/>
      <c r="D28" s="74">
        <v>17.3</v>
      </c>
      <c r="E28" s="61"/>
    </row>
    <row r="29" spans="1:5" x14ac:dyDescent="0.25">
      <c r="A29" s="49" t="s">
        <v>221</v>
      </c>
      <c r="B29" s="50"/>
      <c r="C29" s="50"/>
      <c r="D29" s="74">
        <f>COUNTIFS('Données '!$A:$A,"JANVIER",'Données '!$AD:$AD,1,'Données '!$O:$O,"&lt;&gt;LVAD",'Données '!$O:$O,"&lt;&gt;HTX")</f>
        <v>0</v>
      </c>
      <c r="E29" s="60">
        <f>D29/26</f>
        <v>0</v>
      </c>
    </row>
    <row r="30" spans="1:5" x14ac:dyDescent="0.25">
      <c r="A30" s="25" t="s">
        <v>222</v>
      </c>
      <c r="B30" s="26"/>
      <c r="C30" s="26"/>
      <c r="D30" s="74">
        <f>COUNTIFS('Données '!$A:$A,"JANVIER",'Données '!$AI:$AI,"&lt;&gt;0",'Données '!$O:$O,"&lt;&gt;LVAD",'Données '!$O:$O,"&lt;&gt;HTX")</f>
        <v>13</v>
      </c>
      <c r="E30" s="60">
        <f>D30/26</f>
        <v>0.5</v>
      </c>
    </row>
    <row r="31" spans="1:5" ht="15.75" thickBot="1" x14ac:dyDescent="0.3">
      <c r="A31" s="57" t="s">
        <v>223</v>
      </c>
      <c r="B31" s="58"/>
      <c r="C31" s="58"/>
      <c r="D31" s="161">
        <v>6.5</v>
      </c>
      <c r="E31" s="27"/>
    </row>
    <row r="35" spans="1:6" ht="15.75" thickBot="1" x14ac:dyDescent="0.3"/>
    <row r="36" spans="1:6" ht="15.75" thickBot="1" x14ac:dyDescent="0.3">
      <c r="A36" s="310">
        <v>42767</v>
      </c>
      <c r="B36" s="311"/>
      <c r="C36" s="312"/>
      <c r="D36" s="63" t="s">
        <v>144</v>
      </c>
      <c r="E36" s="64" t="s">
        <v>145</v>
      </c>
      <c r="F36" s="47"/>
    </row>
    <row r="37" spans="1:6" x14ac:dyDescent="0.25">
      <c r="A37" s="68" t="s">
        <v>184</v>
      </c>
      <c r="B37" s="69"/>
      <c r="C37" s="75"/>
      <c r="D37" s="115">
        <f>COUNTIFS('Données '!$A:$A,"FEVRIER")</f>
        <v>29</v>
      </c>
      <c r="E37" s="59"/>
      <c r="F37" s="47"/>
    </row>
    <row r="38" spans="1:6" x14ac:dyDescent="0.25">
      <c r="A38" s="44" t="s">
        <v>202</v>
      </c>
      <c r="B38" s="45"/>
      <c r="C38" s="45"/>
      <c r="D38" s="74">
        <f>COUNTIFS('Données '!$A:$A,"FEVRIER",'Données '!$F:$F,1)</f>
        <v>0</v>
      </c>
      <c r="E38" s="46"/>
      <c r="F38" s="47"/>
    </row>
    <row r="39" spans="1:6" x14ac:dyDescent="0.25">
      <c r="A39" s="44" t="s">
        <v>220</v>
      </c>
      <c r="B39" s="45"/>
      <c r="C39" s="45"/>
      <c r="D39" s="74">
        <f>COUNTIFS('Données '!$A:$A,"FEVRIER",'Données '!$BW:$BW,"OUI")</f>
        <v>0</v>
      </c>
      <c r="E39" s="112">
        <f>D39/D37</f>
        <v>0</v>
      </c>
      <c r="F39" s="47"/>
    </row>
    <row r="40" spans="1:6" x14ac:dyDescent="0.25">
      <c r="A40" s="70" t="s">
        <v>146</v>
      </c>
      <c r="B40" s="71"/>
      <c r="C40" s="71"/>
      <c r="D40" s="74">
        <f>COUNTIFS('Données '!$A:$A,"FEVRIER",'Données '!$O:$O,"CABG")</f>
        <v>0</v>
      </c>
      <c r="E40" s="60">
        <f>D40/D37</f>
        <v>0</v>
      </c>
      <c r="F40" s="47"/>
    </row>
    <row r="41" spans="1:6" x14ac:dyDescent="0.25">
      <c r="A41" s="66" t="s">
        <v>147</v>
      </c>
      <c r="B41" s="67"/>
      <c r="C41" s="67"/>
      <c r="D41" s="74">
        <f>SUM($D$42:$D$47)</f>
        <v>0</v>
      </c>
      <c r="E41" s="60">
        <f>D41/D37</f>
        <v>0</v>
      </c>
      <c r="F41" s="47"/>
    </row>
    <row r="42" spans="1:6" x14ac:dyDescent="0.25">
      <c r="A42" s="51"/>
      <c r="B42" s="52"/>
      <c r="C42" s="52" t="s">
        <v>1</v>
      </c>
      <c r="D42" s="79">
        <f>COUNTIFS('Données '!$A:$A,"FEVRIER",'Données '!$R:$R,"AVR")</f>
        <v>0</v>
      </c>
      <c r="E42" s="116" t="str">
        <f>IFERROR(D42/#REF!,"")</f>
        <v/>
      </c>
      <c r="F42" s="47"/>
    </row>
    <row r="43" spans="1:6" x14ac:dyDescent="0.25">
      <c r="A43" s="51"/>
      <c r="B43" s="52"/>
      <c r="C43" s="52" t="s">
        <v>72</v>
      </c>
      <c r="D43" s="79">
        <f>COUNTIFS('Données '!$A:$A,"FEVRIER",'Données '!$R:$R,"TVR")</f>
        <v>0</v>
      </c>
      <c r="E43" s="116" t="str">
        <f>IFERROR(D43/#REF!,"")</f>
        <v/>
      </c>
      <c r="F43" s="47"/>
    </row>
    <row r="44" spans="1:6" x14ac:dyDescent="0.25">
      <c r="A44" s="51"/>
      <c r="B44" s="52"/>
      <c r="C44" s="52" t="s">
        <v>62</v>
      </c>
      <c r="D44" s="79">
        <f>COUNTIFS('Données '!$A:$A,"FEVRIER",'Données '!$R:$R,"TVP")</f>
        <v>0</v>
      </c>
      <c r="E44" s="116" t="str">
        <f>IFERROR(D44/#REF!,"")</f>
        <v/>
      </c>
      <c r="F44" s="47"/>
    </row>
    <row r="45" spans="1:6" x14ac:dyDescent="0.25">
      <c r="A45" s="51"/>
      <c r="B45" s="52"/>
      <c r="C45" s="52" t="s">
        <v>64</v>
      </c>
      <c r="D45" s="79">
        <f>COUNTIFS('Données '!$A:$A,"FEVRIER",'Données '!$R:$R,"MVR")</f>
        <v>0</v>
      </c>
      <c r="E45" s="116" t="str">
        <f>IFERROR(D45/#REF!,"")</f>
        <v/>
      </c>
      <c r="F45" s="47"/>
    </row>
    <row r="46" spans="1:6" x14ac:dyDescent="0.25">
      <c r="A46" s="51"/>
      <c r="B46" s="52"/>
      <c r="C46" s="52" t="s">
        <v>63</v>
      </c>
      <c r="D46" s="79">
        <f>COUNTIFS('Données '!$A:$A,"FEVRIER",'Données '!$R:$R,"MVP")</f>
        <v>0</v>
      </c>
      <c r="E46" s="116" t="str">
        <f>IFERROR(D46/#REF!,"")</f>
        <v/>
      </c>
      <c r="F46" s="47"/>
    </row>
    <row r="47" spans="1:6" x14ac:dyDescent="0.25">
      <c r="A47" s="53"/>
      <c r="B47" s="54"/>
      <c r="C47" s="54" t="s">
        <v>148</v>
      </c>
      <c r="D47" s="79">
        <f>COUNTIFS('Données '!$A:$A,"FEVRIER",'Données '!$R:$R,"2 V ou plus")</f>
        <v>0</v>
      </c>
      <c r="E47" s="116" t="str">
        <f>IFERROR(D47/#REF!,"")</f>
        <v/>
      </c>
      <c r="F47" s="47"/>
    </row>
    <row r="48" spans="1:6" x14ac:dyDescent="0.25">
      <c r="A48" s="70" t="s">
        <v>180</v>
      </c>
      <c r="B48" s="71"/>
      <c r="C48" s="76"/>
      <c r="D48" s="62">
        <f>COUNTIFS('Données '!$A:$A,"FEVRIER",'Données '!$Q:$Q,"CABG + V")</f>
        <v>0</v>
      </c>
      <c r="E48" s="60">
        <f>D48/D37</f>
        <v>0</v>
      </c>
      <c r="F48" s="47"/>
    </row>
    <row r="49" spans="1:6" x14ac:dyDescent="0.25">
      <c r="A49" s="70" t="s">
        <v>181</v>
      </c>
      <c r="B49" s="71"/>
      <c r="C49" s="76"/>
      <c r="D49" s="62">
        <f>COUNTIFS('Données '!$A:$A,"FEVRIER",'Données '!$O:$O,"Autre")</f>
        <v>0</v>
      </c>
      <c r="E49" s="60">
        <f>D49/D37</f>
        <v>0</v>
      </c>
      <c r="F49" s="47"/>
    </row>
    <row r="50" spans="1:6" x14ac:dyDescent="0.25">
      <c r="A50" s="70" t="s">
        <v>154</v>
      </c>
      <c r="B50" s="71"/>
      <c r="C50" s="76"/>
      <c r="D50" s="62">
        <f>COUNTIFS('Données '!$A:$A,"FEVRIER",'Données '!$O:$O,"Aorte")</f>
        <v>0</v>
      </c>
      <c r="E50" s="60">
        <f>D50/D37</f>
        <v>0</v>
      </c>
      <c r="F50" s="47"/>
    </row>
    <row r="51" spans="1:6" x14ac:dyDescent="0.25">
      <c r="A51" s="72" t="s">
        <v>152</v>
      </c>
      <c r="B51" s="73"/>
      <c r="C51" s="77"/>
      <c r="D51" s="62">
        <f>SUM($D$52:$D$53)</f>
        <v>0</v>
      </c>
      <c r="E51" s="60">
        <f>D51/D37</f>
        <v>0</v>
      </c>
      <c r="F51" s="47"/>
    </row>
    <row r="52" spans="1:6" x14ac:dyDescent="0.25">
      <c r="A52" s="51"/>
      <c r="B52" s="52"/>
      <c r="C52" s="52" t="s">
        <v>45</v>
      </c>
      <c r="D52" s="79">
        <f>COUNTIFS('Données '!$A:$A,"FEVRIER",'Données '!$O:$O,"LVAD")</f>
        <v>0</v>
      </c>
      <c r="E52" s="78">
        <f>D52/D37</f>
        <v>0</v>
      </c>
      <c r="F52" s="47"/>
    </row>
    <row r="53" spans="1:6" ht="15.75" thickBot="1" x14ac:dyDescent="0.3">
      <c r="A53" s="55"/>
      <c r="B53" s="56"/>
      <c r="C53" s="56" t="s">
        <v>151</v>
      </c>
      <c r="D53" s="118">
        <f>COUNTIFS('Données '!$A:$A,"FEVRIER",'Données '!$O:$O,"HTX")</f>
        <v>0</v>
      </c>
      <c r="E53" s="119">
        <f>D53/D37</f>
        <v>0</v>
      </c>
      <c r="F53" s="47"/>
    </row>
    <row r="54" spans="1:6" x14ac:dyDescent="0.25">
      <c r="A54" s="31" t="s">
        <v>169</v>
      </c>
      <c r="B54" s="32"/>
      <c r="C54" s="33"/>
      <c r="D54" s="28">
        <f>COUNTIFS('Données '!$A:$A,"FEVRIER",'Données '!$Y:$Y,1)</f>
        <v>17</v>
      </c>
      <c r="E54" s="123">
        <f>D54/D37</f>
        <v>0.58620689655172409</v>
      </c>
      <c r="F54" s="47"/>
    </row>
    <row r="55" spans="1:6" x14ac:dyDescent="0.25">
      <c r="A55" s="53" t="s">
        <v>149</v>
      </c>
      <c r="B55" s="54"/>
      <c r="C55" s="54"/>
      <c r="D55" s="62">
        <f>COUNTIFS('Données '!$A:$A,"FEVRIER",'Données '!$AN:$AN,"DECEASED")</f>
        <v>0</v>
      </c>
      <c r="E55" s="60">
        <f>D55/D37</f>
        <v>0</v>
      </c>
      <c r="F55" s="47"/>
    </row>
    <row r="56" spans="1:6" x14ac:dyDescent="0.25">
      <c r="A56" s="49" t="s">
        <v>150</v>
      </c>
      <c r="B56" s="50"/>
      <c r="C56" s="50"/>
      <c r="D56" s="74">
        <v>2.6</v>
      </c>
      <c r="E56" s="61"/>
      <c r="F56" s="47"/>
    </row>
    <row r="57" spans="1:6" x14ac:dyDescent="0.25">
      <c r="A57" s="49" t="s">
        <v>167</v>
      </c>
      <c r="B57" s="50"/>
      <c r="C57" s="50"/>
      <c r="D57" s="74">
        <v>9.4</v>
      </c>
      <c r="E57" s="61"/>
      <c r="F57" s="47"/>
    </row>
    <row r="58" spans="1:6" x14ac:dyDescent="0.25">
      <c r="A58" s="49" t="s">
        <v>221</v>
      </c>
      <c r="B58" s="50"/>
      <c r="C58" s="50"/>
      <c r="D58" s="74">
        <f>COUNTIFS('Données '!$A:$A,"FEVRIER",'Données '!$AD:$AD,1,'Données '!$O:$O,"&lt;&gt;LVAD",'Données '!$O:$O,"&lt;&gt;HTX")</f>
        <v>0</v>
      </c>
      <c r="E58" s="60">
        <f>D58/27</f>
        <v>0</v>
      </c>
      <c r="F58" s="47"/>
    </row>
    <row r="59" spans="1:6" x14ac:dyDescent="0.25">
      <c r="A59" s="25" t="s">
        <v>222</v>
      </c>
      <c r="B59" s="26"/>
      <c r="C59" s="26"/>
      <c r="D59" s="74">
        <f>COUNTIFS('Données '!$A:$A,"FEVRIER",'Données '!$AI:$AI,"&lt;&gt;0",'Données '!$O:$O,"&lt;&gt;LVAD",'Données '!$O:$O,"&lt;&gt;HTX")</f>
        <v>0</v>
      </c>
      <c r="E59" s="60">
        <f>D59/27</f>
        <v>0</v>
      </c>
      <c r="F59" s="47"/>
    </row>
    <row r="60" spans="1:6" ht="15.75" thickBot="1" x14ac:dyDescent="0.3">
      <c r="A60" s="57" t="s">
        <v>223</v>
      </c>
      <c r="B60" s="58"/>
      <c r="C60" s="58"/>
      <c r="D60" s="164">
        <v>6.8</v>
      </c>
      <c r="E60" s="27"/>
      <c r="F60" s="47"/>
    </row>
    <row r="64" spans="1:6" ht="15.75" thickBot="1" x14ac:dyDescent="0.3"/>
    <row r="65" spans="1:6" ht="15.75" thickBot="1" x14ac:dyDescent="0.3">
      <c r="A65" s="310">
        <v>42795</v>
      </c>
      <c r="B65" s="311"/>
      <c r="C65" s="312"/>
      <c r="D65" s="63" t="s">
        <v>144</v>
      </c>
      <c r="E65" s="64" t="s">
        <v>145</v>
      </c>
      <c r="F65" s="47"/>
    </row>
    <row r="66" spans="1:6" x14ac:dyDescent="0.25">
      <c r="A66" s="68" t="s">
        <v>184</v>
      </c>
      <c r="B66" s="69"/>
      <c r="C66" s="75"/>
      <c r="D66" s="115">
        <f>COUNTIFS('Données '!$A:$A,"MARS")</f>
        <v>30</v>
      </c>
      <c r="E66" s="59"/>
      <c r="F66" s="47"/>
    </row>
    <row r="67" spans="1:6" x14ac:dyDescent="0.25">
      <c r="A67" s="44" t="s">
        <v>202</v>
      </c>
      <c r="B67" s="45"/>
      <c r="C67" s="45"/>
      <c r="D67" s="74">
        <f>COUNTIFS('Données '!$A:$A,"MARS",'Données '!$F:$F,1)</f>
        <v>0</v>
      </c>
      <c r="E67" s="112">
        <f>D67/D66</f>
        <v>0</v>
      </c>
      <c r="F67" s="47"/>
    </row>
    <row r="68" spans="1:6" x14ac:dyDescent="0.25">
      <c r="A68" s="44" t="s">
        <v>220</v>
      </c>
      <c r="B68" s="45"/>
      <c r="C68" s="45"/>
      <c r="D68" s="74">
        <f>COUNTIFS('Données '!$A:$A,"MARS",'Données '!$BW:$BW,"OUI")</f>
        <v>0</v>
      </c>
      <c r="E68" s="112">
        <f>D68/D66</f>
        <v>0</v>
      </c>
      <c r="F68" s="47"/>
    </row>
    <row r="69" spans="1:6" x14ac:dyDescent="0.25">
      <c r="A69" s="70" t="s">
        <v>146</v>
      </c>
      <c r="B69" s="71"/>
      <c r="C69" s="71"/>
      <c r="D69" s="74">
        <f>COUNTIFS('Données '!$A:$A,"MARS",'Données '!$O:$O,"CABG")</f>
        <v>0</v>
      </c>
      <c r="E69" s="60">
        <f>D69/D66</f>
        <v>0</v>
      </c>
      <c r="F69" s="47"/>
    </row>
    <row r="70" spans="1:6" x14ac:dyDescent="0.25">
      <c r="A70" s="66" t="s">
        <v>147</v>
      </c>
      <c r="B70" s="67"/>
      <c r="C70" s="67"/>
      <c r="D70" s="74">
        <f>SUM($D$71:$D$76)</f>
        <v>0</v>
      </c>
      <c r="E70" s="60">
        <f>D70/D66</f>
        <v>0</v>
      </c>
      <c r="F70" s="47"/>
    </row>
    <row r="71" spans="1:6" x14ac:dyDescent="0.25">
      <c r="A71" s="51"/>
      <c r="B71" s="52"/>
      <c r="C71" s="52" t="s">
        <v>1</v>
      </c>
      <c r="D71" s="79">
        <f>COUNTIFS('Données '!$A:$A,"MARS",'Données '!$R:$R,"AVR")</f>
        <v>0</v>
      </c>
      <c r="E71" s="116" t="str">
        <f>IFERROR(D71/#REF!,"")</f>
        <v/>
      </c>
      <c r="F71" s="47"/>
    </row>
    <row r="72" spans="1:6" x14ac:dyDescent="0.25">
      <c r="A72" s="51"/>
      <c r="B72" s="52"/>
      <c r="C72" s="52" t="s">
        <v>72</v>
      </c>
      <c r="D72" s="79">
        <f>COUNTIFS('Données '!$A:$A,"MARS",'Données '!$R:$R,"TVR")</f>
        <v>0</v>
      </c>
      <c r="E72" s="116" t="str">
        <f>IFERROR(D72/#REF!,"")</f>
        <v/>
      </c>
      <c r="F72" s="47"/>
    </row>
    <row r="73" spans="1:6" x14ac:dyDescent="0.25">
      <c r="A73" s="51"/>
      <c r="B73" s="52"/>
      <c r="C73" s="52" t="s">
        <v>62</v>
      </c>
      <c r="D73" s="79">
        <f>COUNTIFS('Données '!$A:$A,"MARS",'Données '!$R:$R,"TVP")</f>
        <v>0</v>
      </c>
      <c r="E73" s="116" t="str">
        <f>IFERROR(D73/#REF!,"")</f>
        <v/>
      </c>
      <c r="F73" s="47"/>
    </row>
    <row r="74" spans="1:6" x14ac:dyDescent="0.25">
      <c r="A74" s="51"/>
      <c r="B74" s="52"/>
      <c r="C74" s="52" t="s">
        <v>64</v>
      </c>
      <c r="D74" s="79">
        <f>COUNTIFS('Données '!$A:$A,"MARS",'Données '!$R:$R,"MVR")</f>
        <v>0</v>
      </c>
      <c r="E74" s="116" t="str">
        <f>IFERROR(D74/#REF!,"")</f>
        <v/>
      </c>
      <c r="F74" s="47"/>
    </row>
    <row r="75" spans="1:6" x14ac:dyDescent="0.25">
      <c r="A75" s="51"/>
      <c r="B75" s="52"/>
      <c r="C75" s="52" t="s">
        <v>63</v>
      </c>
      <c r="D75" s="79">
        <f>COUNTIFS('Données '!$A:$A,"MARS",'Données '!$R:$R,"MVP")</f>
        <v>0</v>
      </c>
      <c r="E75" s="116" t="str">
        <f>IFERROR(D75/#REF!,"")</f>
        <v/>
      </c>
      <c r="F75" s="47"/>
    </row>
    <row r="76" spans="1:6" x14ac:dyDescent="0.25">
      <c r="A76" s="53"/>
      <c r="B76" s="54"/>
      <c r="C76" s="54" t="s">
        <v>148</v>
      </c>
      <c r="D76" s="79">
        <f>COUNTIFS('Données '!$A:$A,"MARS",'Données '!$R:$R,"2 V ou plus")</f>
        <v>0</v>
      </c>
      <c r="E76" s="116" t="str">
        <f>IFERROR(D76/#REF!,"")</f>
        <v/>
      </c>
      <c r="F76" s="47"/>
    </row>
    <row r="77" spans="1:6" x14ac:dyDescent="0.25">
      <c r="A77" s="70" t="s">
        <v>180</v>
      </c>
      <c r="B77" s="71"/>
      <c r="C77" s="76"/>
      <c r="D77" s="62">
        <f>COUNTIFS('Données '!$A:$A,"MARS",'Données '!$Q:$Q,"CABG + V")</f>
        <v>0</v>
      </c>
      <c r="E77" s="60">
        <f>D77/D66</f>
        <v>0</v>
      </c>
      <c r="F77" s="47"/>
    </row>
    <row r="78" spans="1:6" x14ac:dyDescent="0.25">
      <c r="A78" s="70" t="s">
        <v>181</v>
      </c>
      <c r="B78" s="71"/>
      <c r="C78" s="76"/>
      <c r="D78" s="62">
        <f>COUNTIFS('Données '!$A:$A,"MARS",'Données '!$O:$O,"Autre")</f>
        <v>0</v>
      </c>
      <c r="E78" s="60">
        <f>D78/D66</f>
        <v>0</v>
      </c>
      <c r="F78" s="47"/>
    </row>
    <row r="79" spans="1:6" x14ac:dyDescent="0.25">
      <c r="A79" s="70" t="s">
        <v>154</v>
      </c>
      <c r="B79" s="71"/>
      <c r="C79" s="76"/>
      <c r="D79" s="62">
        <f>COUNTIFS('Données '!$A:$A,"MARS",'Données '!$O:$O,"Aorte")</f>
        <v>0</v>
      </c>
      <c r="E79" s="60">
        <f>D79/D66</f>
        <v>0</v>
      </c>
      <c r="F79" s="47"/>
    </row>
    <row r="80" spans="1:6" x14ac:dyDescent="0.25">
      <c r="A80" s="72" t="s">
        <v>152</v>
      </c>
      <c r="B80" s="73"/>
      <c r="C80" s="77"/>
      <c r="D80" s="62">
        <f>SUM($D$52:$D$53)</f>
        <v>0</v>
      </c>
      <c r="E80" s="60">
        <f>D80/D66</f>
        <v>0</v>
      </c>
      <c r="F80" s="47"/>
    </row>
    <row r="81" spans="1:6" x14ac:dyDescent="0.25">
      <c r="A81" s="51"/>
      <c r="B81" s="52"/>
      <c r="C81" s="52" t="s">
        <v>45</v>
      </c>
      <c r="D81" s="79">
        <f>COUNTIFS('Données '!$A:$A,"MARS",'Données '!$O:$O,"LVAD")</f>
        <v>0</v>
      </c>
      <c r="E81" s="78">
        <f>D81/D66</f>
        <v>0</v>
      </c>
      <c r="F81" s="47"/>
    </row>
    <row r="82" spans="1:6" ht="15.75" thickBot="1" x14ac:dyDescent="0.3">
      <c r="A82" s="55"/>
      <c r="B82" s="56"/>
      <c r="C82" s="56" t="s">
        <v>151</v>
      </c>
      <c r="D82" s="118">
        <f>COUNTIFS('Données '!$A:$A,"MARS",'Données '!$O:$O,"HTX")</f>
        <v>0</v>
      </c>
      <c r="E82" s="119">
        <f>D82/D66</f>
        <v>0</v>
      </c>
      <c r="F82" s="47"/>
    </row>
    <row r="83" spans="1:6" x14ac:dyDescent="0.25">
      <c r="A83" s="31" t="s">
        <v>169</v>
      </c>
      <c r="B83" s="32"/>
      <c r="C83" s="33"/>
      <c r="D83" s="28">
        <f>COUNTIFS('Données '!$A:$A,"MARS",'Données '!$Y:$Y,1)</f>
        <v>0</v>
      </c>
      <c r="E83" s="123">
        <f>D83/D66</f>
        <v>0</v>
      </c>
      <c r="F83" s="47"/>
    </row>
    <row r="84" spans="1:6" x14ac:dyDescent="0.25">
      <c r="A84" s="53" t="s">
        <v>149</v>
      </c>
      <c r="B84" s="54"/>
      <c r="C84" s="54"/>
      <c r="D84" s="62">
        <f>COUNTIFS('Données '!$A:$A,"MARS",'Données '!$AN:$AN,"DECEASED")</f>
        <v>0</v>
      </c>
      <c r="E84" s="60">
        <f>D84/D66</f>
        <v>0</v>
      </c>
      <c r="F84" s="47"/>
    </row>
    <row r="85" spans="1:6" x14ac:dyDescent="0.25">
      <c r="A85" s="49" t="s">
        <v>150</v>
      </c>
      <c r="B85" s="50"/>
      <c r="C85" s="50"/>
      <c r="D85" s="74">
        <v>4.5999999999999996</v>
      </c>
      <c r="E85" s="61"/>
      <c r="F85" s="47"/>
    </row>
    <row r="86" spans="1:6" x14ac:dyDescent="0.25">
      <c r="A86" s="49" t="s">
        <v>167</v>
      </c>
      <c r="B86" s="50"/>
      <c r="C86" s="50"/>
      <c r="D86" s="74">
        <v>12.5</v>
      </c>
      <c r="E86" s="61"/>
      <c r="F86" s="47"/>
    </row>
    <row r="87" spans="1:6" x14ac:dyDescent="0.25">
      <c r="A87" s="49" t="s">
        <v>221</v>
      </c>
      <c r="B87" s="50"/>
      <c r="C87" s="50"/>
      <c r="D87" s="74">
        <f>COUNTIFS('Données '!$A:$A,"MARS",'Données '!$AD:$AD,1,'Données '!$O:$O,"&lt;&gt;LVAD",'Données '!$O:$O,"&lt;&gt;HTX")</f>
        <v>0</v>
      </c>
      <c r="E87" s="60">
        <f>D87/28</f>
        <v>0</v>
      </c>
      <c r="F87" s="47"/>
    </row>
    <row r="88" spans="1:6" x14ac:dyDescent="0.25">
      <c r="A88" s="25" t="s">
        <v>222</v>
      </c>
      <c r="B88" s="26"/>
      <c r="C88" s="26"/>
      <c r="D88" s="74">
        <f>COUNTIFS('Données '!$A:$A,"MARS",'Données '!$AI:$AI,"&lt;&gt;0",'Données '!$O:$O,"&lt;&gt;LVAD",'Données '!$O:$O,"&lt;&gt;HTX")</f>
        <v>0</v>
      </c>
      <c r="E88" s="60">
        <f>D88/28</f>
        <v>0</v>
      </c>
      <c r="F88" s="47"/>
    </row>
    <row r="89" spans="1:6" ht="15.75" thickBot="1" x14ac:dyDescent="0.3">
      <c r="A89" s="57" t="s">
        <v>223</v>
      </c>
      <c r="B89" s="58"/>
      <c r="C89" s="58"/>
      <c r="D89" s="164">
        <v>5.7</v>
      </c>
      <c r="E89" s="27"/>
      <c r="F89" s="47"/>
    </row>
    <row r="93" spans="1:6" ht="15.75" thickBot="1" x14ac:dyDescent="0.3"/>
    <row r="94" spans="1:6" ht="15.75" thickBot="1" x14ac:dyDescent="0.3">
      <c r="A94" s="310">
        <v>42826</v>
      </c>
      <c r="B94" s="311"/>
      <c r="C94" s="312"/>
      <c r="D94" s="63" t="s">
        <v>144</v>
      </c>
      <c r="E94" s="64" t="s">
        <v>145</v>
      </c>
    </row>
    <row r="95" spans="1:6" x14ac:dyDescent="0.25">
      <c r="A95" s="68" t="s">
        <v>184</v>
      </c>
      <c r="B95" s="69"/>
      <c r="C95" s="75"/>
      <c r="D95" s="115">
        <f>COUNTIFS('Données '!$A:$A,"AVRIL")</f>
        <v>29</v>
      </c>
      <c r="E95" s="59"/>
    </row>
    <row r="96" spans="1:6" x14ac:dyDescent="0.25">
      <c r="A96" s="44" t="s">
        <v>202</v>
      </c>
      <c r="B96" s="45"/>
      <c r="C96" s="45"/>
      <c r="D96" s="74">
        <f>COUNTIFS('Données '!$A:$A,"AVRIL",'Données '!$F:$F,1)</f>
        <v>0</v>
      </c>
      <c r="E96" s="112">
        <f>D96/29</f>
        <v>0</v>
      </c>
    </row>
    <row r="97" spans="1:5" x14ac:dyDescent="0.25">
      <c r="A97" s="44" t="s">
        <v>220</v>
      </c>
      <c r="B97" s="45"/>
      <c r="C97" s="45"/>
      <c r="D97" s="74">
        <f>COUNTIFS('Données '!$A:$A,"AVRIL",'Données '!$BW:$BW,"OUI")</f>
        <v>0</v>
      </c>
      <c r="E97" s="112">
        <f>D97/D95</f>
        <v>0</v>
      </c>
    </row>
    <row r="98" spans="1:5" x14ac:dyDescent="0.25">
      <c r="A98" s="70" t="s">
        <v>146</v>
      </c>
      <c r="B98" s="71"/>
      <c r="C98" s="71"/>
      <c r="D98" s="74">
        <f>COUNTIFS('Données '!$A:$A,"AVRIL",'Données '!$O:$O,"CABG")</f>
        <v>0</v>
      </c>
      <c r="E98" s="60">
        <f>D98/D95</f>
        <v>0</v>
      </c>
    </row>
    <row r="99" spans="1:5" x14ac:dyDescent="0.25">
      <c r="A99" s="66" t="s">
        <v>147</v>
      </c>
      <c r="B99" s="67"/>
      <c r="C99" s="67"/>
      <c r="D99" s="74">
        <f>SUM(D100:D105)</f>
        <v>0</v>
      </c>
      <c r="E99" s="60">
        <f>D99/D95</f>
        <v>0</v>
      </c>
    </row>
    <row r="100" spans="1:5" x14ac:dyDescent="0.25">
      <c r="A100" s="51"/>
      <c r="B100" s="52"/>
      <c r="C100" s="52" t="s">
        <v>1</v>
      </c>
      <c r="D100" s="79">
        <f>COUNTIFS('Données '!$A:$A,"AVRIL",'Données '!$R:$R,"AVR")</f>
        <v>0</v>
      </c>
      <c r="E100" s="116" t="e">
        <f>D100/D99</f>
        <v>#DIV/0!</v>
      </c>
    </row>
    <row r="101" spans="1:5" x14ac:dyDescent="0.25">
      <c r="A101" s="51"/>
      <c r="B101" s="52"/>
      <c r="C101" s="52" t="s">
        <v>72</v>
      </c>
      <c r="D101" s="79">
        <f>COUNTIFS('Données '!$A:$A,"AVRIL",'Données '!$R:$R,"TVR")</f>
        <v>0</v>
      </c>
      <c r="E101" s="116" t="str">
        <f>IFERROR(D101/#REF!,"")</f>
        <v/>
      </c>
    </row>
    <row r="102" spans="1:5" x14ac:dyDescent="0.25">
      <c r="A102" s="51"/>
      <c r="B102" s="52"/>
      <c r="C102" s="52" t="s">
        <v>62</v>
      </c>
      <c r="D102" s="79">
        <f>COUNTIFS('Données '!$A:$A,"AVRIL",'Données '!$R:$R,"TVP")</f>
        <v>0</v>
      </c>
      <c r="E102" s="116" t="str">
        <f>IFERROR(D102/#REF!,"")</f>
        <v/>
      </c>
    </row>
    <row r="103" spans="1:5" x14ac:dyDescent="0.25">
      <c r="A103" s="51"/>
      <c r="B103" s="52"/>
      <c r="C103" s="52" t="s">
        <v>64</v>
      </c>
      <c r="D103" s="79">
        <f>COUNTIFS('Données '!$A:$A,"AVRIL",'Données '!$R:$R,"MVR")</f>
        <v>0</v>
      </c>
      <c r="E103" s="116" t="str">
        <f>IFERROR(D103/#REF!,"")</f>
        <v/>
      </c>
    </row>
    <row r="104" spans="1:5" x14ac:dyDescent="0.25">
      <c r="A104" s="51"/>
      <c r="B104" s="52"/>
      <c r="C104" s="52" t="s">
        <v>63</v>
      </c>
      <c r="D104" s="79">
        <f>COUNTIFS('Données '!$A:$A,"AVRIL",'Données '!$R:$R,"MVP")</f>
        <v>0</v>
      </c>
      <c r="E104" s="116" t="e">
        <f>D104/D99</f>
        <v>#DIV/0!</v>
      </c>
    </row>
    <row r="105" spans="1:5" x14ac:dyDescent="0.25">
      <c r="A105" s="53"/>
      <c r="B105" s="54"/>
      <c r="C105" s="54" t="s">
        <v>148</v>
      </c>
      <c r="D105" s="79">
        <f>COUNTIFS('Données '!$A:$A,"AVRIL",'Données '!$R:$R,"2 V ou plus")</f>
        <v>0</v>
      </c>
      <c r="E105" s="116" t="str">
        <f>IFERROR(D105/#REF!,"")</f>
        <v/>
      </c>
    </row>
    <row r="106" spans="1:5" x14ac:dyDescent="0.25">
      <c r="A106" s="70" t="s">
        <v>180</v>
      </c>
      <c r="B106" s="71"/>
      <c r="C106" s="76"/>
      <c r="D106" s="62">
        <f>COUNTIFS('Données '!$A:$A,"AVRIL",'Données '!$Q:$Q,"CABG + V")</f>
        <v>0</v>
      </c>
      <c r="E106" s="60">
        <f>D106/D95</f>
        <v>0</v>
      </c>
    </row>
    <row r="107" spans="1:5" x14ac:dyDescent="0.25">
      <c r="A107" s="70" t="s">
        <v>181</v>
      </c>
      <c r="B107" s="71"/>
      <c r="C107" s="76"/>
      <c r="D107" s="62">
        <f>COUNTIFS('Données '!$A:$A,"AVRIL",'Données '!$O:$O,"Autre")</f>
        <v>0</v>
      </c>
      <c r="E107" s="60">
        <f>D107/D95</f>
        <v>0</v>
      </c>
    </row>
    <row r="108" spans="1:5" x14ac:dyDescent="0.25">
      <c r="A108" s="70" t="s">
        <v>154</v>
      </c>
      <c r="B108" s="71"/>
      <c r="C108" s="76"/>
      <c r="D108" s="62">
        <f>COUNTIFS('Données '!$A:$A,"AVRIL",'Données '!$O:$O,"Aorte")</f>
        <v>0</v>
      </c>
      <c r="E108" s="60">
        <f>D108/D95</f>
        <v>0</v>
      </c>
    </row>
    <row r="109" spans="1:5" x14ac:dyDescent="0.25">
      <c r="A109" s="72" t="s">
        <v>152</v>
      </c>
      <c r="B109" s="73"/>
      <c r="C109" s="77"/>
      <c r="D109" s="62">
        <f>SUM($D$110:$D$111)</f>
        <v>0</v>
      </c>
      <c r="E109" s="60">
        <f>D109/D95</f>
        <v>0</v>
      </c>
    </row>
    <row r="110" spans="1:5" x14ac:dyDescent="0.25">
      <c r="A110" s="51"/>
      <c r="B110" s="52"/>
      <c r="C110" s="52" t="s">
        <v>45</v>
      </c>
      <c r="D110" s="79">
        <f>COUNTIFS('Données '!$A:$A,"AVRIL",'Données '!$O:$O,"LVAD")</f>
        <v>0</v>
      </c>
      <c r="E110" s="78">
        <f>D110/D95</f>
        <v>0</v>
      </c>
    </row>
    <row r="111" spans="1:5" ht="15.75" thickBot="1" x14ac:dyDescent="0.3">
      <c r="A111" s="55"/>
      <c r="B111" s="56"/>
      <c r="C111" s="56" t="s">
        <v>151</v>
      </c>
      <c r="D111" s="118">
        <f>COUNTIFS('Données '!$A:$A,"AVRIL",'Données '!$O:$O,"HTX")</f>
        <v>0</v>
      </c>
      <c r="E111" s="119">
        <f>D111/D95</f>
        <v>0</v>
      </c>
    </row>
    <row r="112" spans="1:5" x14ac:dyDescent="0.25">
      <c r="A112" s="31" t="s">
        <v>169</v>
      </c>
      <c r="B112" s="32"/>
      <c r="C112" s="33"/>
      <c r="D112" s="28">
        <f>COUNTIFS('Données '!$A:$A,"AVRIL",'Données '!$Y:$Y,1)</f>
        <v>0</v>
      </c>
      <c r="E112" s="123">
        <f>D112/D95</f>
        <v>0</v>
      </c>
    </row>
    <row r="113" spans="1:6" x14ac:dyDescent="0.25">
      <c r="A113" s="53" t="s">
        <v>149</v>
      </c>
      <c r="B113" s="54"/>
      <c r="C113" s="54"/>
      <c r="D113" s="62">
        <f>COUNTIFS('Données '!$A:$A,"AVRIL",'Données '!$AN:$AN,"DECEASED")</f>
        <v>0</v>
      </c>
      <c r="E113" s="60">
        <f>D113/D95</f>
        <v>0</v>
      </c>
    </row>
    <row r="114" spans="1:6" x14ac:dyDescent="0.25">
      <c r="A114" s="49" t="s">
        <v>150</v>
      </c>
      <c r="B114" s="50"/>
      <c r="C114" s="50"/>
      <c r="D114" s="74">
        <v>3.1</v>
      </c>
      <c r="E114" s="61"/>
    </row>
    <row r="115" spans="1:6" x14ac:dyDescent="0.25">
      <c r="A115" s="49" t="s">
        <v>167</v>
      </c>
      <c r="B115" s="50"/>
      <c r="C115" s="50"/>
      <c r="D115" s="74">
        <v>11</v>
      </c>
      <c r="E115" s="61"/>
    </row>
    <row r="116" spans="1:6" x14ac:dyDescent="0.25">
      <c r="A116" s="49" t="s">
        <v>221</v>
      </c>
      <c r="B116" s="50"/>
      <c r="C116" s="50"/>
      <c r="D116" s="74">
        <f>COUNTIFS('Données '!$A:$A,"AVRIL",'Données '!$AD:$AD,1,'Données '!$O:$O,"&lt;&gt;LVAD",'Données '!$O:$O,"&lt;&gt;HTX")</f>
        <v>0</v>
      </c>
      <c r="E116" s="60">
        <f>D116/28</f>
        <v>0</v>
      </c>
      <c r="F116" s="47"/>
    </row>
    <row r="117" spans="1:6" x14ac:dyDescent="0.25">
      <c r="A117" s="25" t="s">
        <v>222</v>
      </c>
      <c r="B117" s="26"/>
      <c r="C117" s="26"/>
      <c r="D117" s="74">
        <f>COUNTIFS('Données '!$A:$A,"AVRIL",'Données '!$AI:$AI,"&lt;&gt;0",'Données '!$O:$O,"&lt;&gt;LVAD",'Données '!$O:$O,"&lt;&gt;HTX")</f>
        <v>0</v>
      </c>
      <c r="E117" s="60"/>
    </row>
    <row r="118" spans="1:6" ht="15.75" thickBot="1" x14ac:dyDescent="0.3">
      <c r="A118" s="57" t="s">
        <v>223</v>
      </c>
      <c r="B118" s="58"/>
      <c r="C118" s="58"/>
      <c r="D118" s="164">
        <v>3.3</v>
      </c>
      <c r="E118" s="27"/>
    </row>
    <row r="122" spans="1:6" ht="15.75" thickBot="1" x14ac:dyDescent="0.3"/>
    <row r="123" spans="1:6" ht="15.75" thickBot="1" x14ac:dyDescent="0.3">
      <c r="A123" s="310">
        <v>42856</v>
      </c>
      <c r="B123" s="311"/>
      <c r="C123" s="312"/>
      <c r="D123" s="63" t="s">
        <v>144</v>
      </c>
      <c r="E123" s="64" t="s">
        <v>145</v>
      </c>
    </row>
    <row r="124" spans="1:6" x14ac:dyDescent="0.25">
      <c r="A124" s="68" t="s">
        <v>184</v>
      </c>
      <c r="B124" s="69"/>
      <c r="C124" s="75"/>
      <c r="D124" s="115">
        <f>COUNTIFS('Données '!$A:$A,"MAI")</f>
        <v>32</v>
      </c>
      <c r="E124" s="59"/>
    </row>
    <row r="125" spans="1:6" x14ac:dyDescent="0.25">
      <c r="A125" s="44" t="s">
        <v>202</v>
      </c>
      <c r="B125" s="45"/>
      <c r="C125" s="45"/>
      <c r="D125" s="74">
        <f>COUNTIFS('Données '!$A:$A,"MAI",'Données '!$F:$F,1)</f>
        <v>0</v>
      </c>
      <c r="E125" s="46"/>
    </row>
    <row r="126" spans="1:6" x14ac:dyDescent="0.25">
      <c r="A126" s="44" t="s">
        <v>220</v>
      </c>
      <c r="B126" s="45"/>
      <c r="C126" s="45"/>
      <c r="D126" s="74">
        <f>COUNTIFS('Données '!$A:$A,"MAI",'Données '!$BW:$BW,"OUI")</f>
        <v>0</v>
      </c>
      <c r="E126" s="112">
        <f>D126/D124</f>
        <v>0</v>
      </c>
    </row>
    <row r="127" spans="1:6" x14ac:dyDescent="0.25">
      <c r="A127" s="70" t="s">
        <v>146</v>
      </c>
      <c r="B127" s="71"/>
      <c r="C127" s="71"/>
      <c r="D127" s="74">
        <f>COUNTIFS('Données '!$A:$A,"MAI",'Données '!$O:$O,"CABG")</f>
        <v>0</v>
      </c>
      <c r="E127" s="60">
        <f>D127/D124</f>
        <v>0</v>
      </c>
    </row>
    <row r="128" spans="1:6" x14ac:dyDescent="0.25">
      <c r="A128" s="66" t="s">
        <v>147</v>
      </c>
      <c r="B128" s="67"/>
      <c r="C128" s="67"/>
      <c r="D128" s="74">
        <f>SUM(D129:D134)</f>
        <v>0</v>
      </c>
      <c r="E128" s="60">
        <f>D128/D124</f>
        <v>0</v>
      </c>
    </row>
    <row r="129" spans="1:5" x14ac:dyDescent="0.25">
      <c r="A129" s="51"/>
      <c r="B129" s="52"/>
      <c r="C129" s="52" t="s">
        <v>1</v>
      </c>
      <c r="D129" s="79">
        <f>COUNTIFS('Données '!$A:$A,"MAI",'Données '!$R:$R,"AVR")</f>
        <v>0</v>
      </c>
      <c r="E129" s="116" t="e">
        <f>D129/D128</f>
        <v>#DIV/0!</v>
      </c>
    </row>
    <row r="130" spans="1:5" x14ac:dyDescent="0.25">
      <c r="A130" s="51"/>
      <c r="B130" s="52"/>
      <c r="C130" s="52" t="s">
        <v>72</v>
      </c>
      <c r="D130" s="79">
        <f>COUNTIFS('Données '!$A:$A,"MAI",'Données '!$R:$R,"TVR")</f>
        <v>0</v>
      </c>
      <c r="E130" s="116" t="e">
        <f>D130/D128</f>
        <v>#DIV/0!</v>
      </c>
    </row>
    <row r="131" spans="1:5" x14ac:dyDescent="0.25">
      <c r="A131" s="51"/>
      <c r="B131" s="52"/>
      <c r="C131" s="52" t="s">
        <v>62</v>
      </c>
      <c r="D131" s="79">
        <f>COUNTIFS('Données '!$A:$A,"MAI",'Données '!$R:$R,"TVP")</f>
        <v>0</v>
      </c>
      <c r="E131" s="116" t="e">
        <f>D131/D128</f>
        <v>#DIV/0!</v>
      </c>
    </row>
    <row r="132" spans="1:5" x14ac:dyDescent="0.25">
      <c r="A132" s="51"/>
      <c r="B132" s="52"/>
      <c r="C132" s="52" t="s">
        <v>64</v>
      </c>
      <c r="D132" s="79">
        <f>COUNTIFS('Données '!$A:$A,"MAI",'Données '!$R:$R,"MVR")</f>
        <v>0</v>
      </c>
      <c r="E132" s="116" t="e">
        <f>D132/D128</f>
        <v>#DIV/0!</v>
      </c>
    </row>
    <row r="133" spans="1:5" x14ac:dyDescent="0.25">
      <c r="A133" s="51"/>
      <c r="B133" s="52"/>
      <c r="C133" s="52" t="s">
        <v>63</v>
      </c>
      <c r="D133" s="79">
        <f>COUNTIFS('Données '!$A:$A,"MAI",'Données '!$R:$R,"MVP")</f>
        <v>0</v>
      </c>
      <c r="E133" s="116" t="e">
        <f>D133/D128</f>
        <v>#DIV/0!</v>
      </c>
    </row>
    <row r="134" spans="1:5" x14ac:dyDescent="0.25">
      <c r="A134" s="53"/>
      <c r="B134" s="54"/>
      <c r="C134" s="54" t="s">
        <v>148</v>
      </c>
      <c r="D134" s="79">
        <f>COUNTIFS('Données '!$A:$A,"MAI",'Données '!$R:$R,"2 V ou plus")</f>
        <v>0</v>
      </c>
      <c r="E134" s="116" t="e">
        <f>D134/D128</f>
        <v>#DIV/0!</v>
      </c>
    </row>
    <row r="135" spans="1:5" x14ac:dyDescent="0.25">
      <c r="A135" s="70" t="s">
        <v>180</v>
      </c>
      <c r="B135" s="71"/>
      <c r="C135" s="76"/>
      <c r="D135" s="62">
        <f>COUNTIFS('Données '!$A:$A,"MAI",'Données '!$Q:$Q,"CABG + V")</f>
        <v>0</v>
      </c>
      <c r="E135" s="60">
        <f>D135/D124</f>
        <v>0</v>
      </c>
    </row>
    <row r="136" spans="1:5" x14ac:dyDescent="0.25">
      <c r="A136" s="70" t="s">
        <v>181</v>
      </c>
      <c r="B136" s="71"/>
      <c r="C136" s="76"/>
      <c r="D136" s="62">
        <f>COUNTIFS('Données '!$A:$A,"MAI",'Données '!$O:$O,"Autre")</f>
        <v>0</v>
      </c>
      <c r="E136" s="60">
        <f>D136/D124</f>
        <v>0</v>
      </c>
    </row>
    <row r="137" spans="1:5" x14ac:dyDescent="0.25">
      <c r="A137" s="70" t="s">
        <v>154</v>
      </c>
      <c r="B137" s="71"/>
      <c r="C137" s="76"/>
      <c r="D137" s="62">
        <f>COUNTIFS('Données '!$A:$A,"MAI",'Données '!$O:$O,"Aorte")</f>
        <v>0</v>
      </c>
      <c r="E137" s="60">
        <f>D137/D124</f>
        <v>0</v>
      </c>
    </row>
    <row r="138" spans="1:5" x14ac:dyDescent="0.25">
      <c r="A138" s="72" t="s">
        <v>152</v>
      </c>
      <c r="B138" s="73"/>
      <c r="C138" s="77"/>
      <c r="D138" s="62">
        <f>SUM($D$139:$D$140)</f>
        <v>0</v>
      </c>
      <c r="E138" s="60">
        <f>D138/D124</f>
        <v>0</v>
      </c>
    </row>
    <row r="139" spans="1:5" x14ac:dyDescent="0.25">
      <c r="A139" s="51"/>
      <c r="B139" s="52"/>
      <c r="C139" s="52" t="s">
        <v>45</v>
      </c>
      <c r="D139" s="79">
        <f>COUNTIFS('Données '!$A:$A,"MAI",'Données '!$O:$O,"LVAD")</f>
        <v>0</v>
      </c>
      <c r="E139" s="78">
        <f>D139/D124</f>
        <v>0</v>
      </c>
    </row>
    <row r="140" spans="1:5" ht="15.75" thickBot="1" x14ac:dyDescent="0.3">
      <c r="A140" s="55"/>
      <c r="B140" s="56"/>
      <c r="C140" s="56" t="s">
        <v>151</v>
      </c>
      <c r="D140" s="118">
        <f>COUNTIFS('Données '!$A:$A,"MAI",'Données '!$O:$O,"HTX")</f>
        <v>0</v>
      </c>
      <c r="E140" s="119">
        <f>D140/D124</f>
        <v>0</v>
      </c>
    </row>
    <row r="141" spans="1:5" x14ac:dyDescent="0.25">
      <c r="A141" s="31" t="s">
        <v>169</v>
      </c>
      <c r="B141" s="32"/>
      <c r="C141" s="33"/>
      <c r="D141" s="28">
        <f>COUNTIFS('Données '!$A:$A,"MAI",'Données '!$Y:$Y,1)</f>
        <v>0</v>
      </c>
      <c r="E141" s="123">
        <f>D141/D124</f>
        <v>0</v>
      </c>
    </row>
    <row r="142" spans="1:5" x14ac:dyDescent="0.25">
      <c r="A142" s="53" t="s">
        <v>149</v>
      </c>
      <c r="B142" s="54"/>
      <c r="C142" s="54"/>
      <c r="D142" s="62">
        <f>COUNTIFS('Données '!$A:$A,"MAI",'Données '!$AN:$AN,"DECEASED")</f>
        <v>0</v>
      </c>
      <c r="E142" s="60">
        <f>D142/D124</f>
        <v>0</v>
      </c>
    </row>
    <row r="143" spans="1:5" x14ac:dyDescent="0.25">
      <c r="A143" s="49" t="s">
        <v>150</v>
      </c>
      <c r="B143" s="50"/>
      <c r="C143" s="50"/>
      <c r="D143" s="74">
        <v>3.6</v>
      </c>
      <c r="E143" s="61"/>
    </row>
    <row r="144" spans="1:5" x14ac:dyDescent="0.25">
      <c r="A144" s="49" t="s">
        <v>167</v>
      </c>
      <c r="B144" s="50"/>
      <c r="C144" s="50"/>
      <c r="D144" s="74">
        <v>10.9</v>
      </c>
      <c r="E144" s="61"/>
    </row>
    <row r="145" spans="1:5" x14ac:dyDescent="0.25">
      <c r="A145" s="49" t="s">
        <v>221</v>
      </c>
      <c r="B145" s="50"/>
      <c r="C145" s="50"/>
      <c r="D145" s="74">
        <f>COUNTIFS('Données '!$A:$A,"MAI",'Données '!$AD:$AD,1,'Données '!$O:$O,"&lt;&gt;LVAD",'Données '!$O:$O,"&lt;&gt;HTX")</f>
        <v>0</v>
      </c>
      <c r="E145" s="60">
        <f>D145/32</f>
        <v>0</v>
      </c>
    </row>
    <row r="146" spans="1:5" x14ac:dyDescent="0.25">
      <c r="A146" s="25" t="s">
        <v>222</v>
      </c>
      <c r="B146" s="26"/>
      <c r="C146" s="26"/>
      <c r="D146" s="74">
        <f>COUNTIFS('Données '!$A:$A,"MAI",'Données '!$AI:$AI,"&lt;&gt;0",'Données '!$O:$O,"&lt;&gt;LVAD",'Données '!$O:$O,"&lt;&gt;HTX")</f>
        <v>0</v>
      </c>
      <c r="E146" s="60">
        <f>D146/32</f>
        <v>0</v>
      </c>
    </row>
    <row r="147" spans="1:5" ht="15.75" thickBot="1" x14ac:dyDescent="0.3">
      <c r="A147" s="57" t="s">
        <v>223</v>
      </c>
      <c r="B147" s="58"/>
      <c r="C147" s="58"/>
      <c r="D147" s="164">
        <v>3.6</v>
      </c>
      <c r="E147" s="27"/>
    </row>
    <row r="151" spans="1:5" ht="15.75" thickBot="1" x14ac:dyDescent="0.3"/>
    <row r="152" spans="1:5" ht="15.75" thickBot="1" x14ac:dyDescent="0.3">
      <c r="A152" s="310">
        <v>42887</v>
      </c>
      <c r="B152" s="311"/>
      <c r="C152" s="312"/>
      <c r="D152" s="63" t="s">
        <v>144</v>
      </c>
      <c r="E152" s="64" t="s">
        <v>145</v>
      </c>
    </row>
    <row r="153" spans="1:5" x14ac:dyDescent="0.25">
      <c r="A153" s="68" t="s">
        <v>184</v>
      </c>
      <c r="B153" s="69"/>
      <c r="C153" s="75"/>
      <c r="D153" s="115">
        <f>COUNTIFS('Données '!$A:$A,"JUIN")</f>
        <v>21</v>
      </c>
      <c r="E153" s="59"/>
    </row>
    <row r="154" spans="1:5" x14ac:dyDescent="0.25">
      <c r="A154" s="44" t="s">
        <v>202</v>
      </c>
      <c r="B154" s="45"/>
      <c r="C154" s="45"/>
      <c r="D154" s="74">
        <f>COUNTIFS('Données '!$A:$A,"JUIN",'Données '!$F:$F,1)</f>
        <v>0</v>
      </c>
      <c r="E154" s="46"/>
    </row>
    <row r="155" spans="1:5" x14ac:dyDescent="0.25">
      <c r="A155" s="44" t="s">
        <v>220</v>
      </c>
      <c r="B155" s="45"/>
      <c r="C155" s="45"/>
      <c r="D155" s="74">
        <f>COUNTIFS('Données '!$A:$A,"JUIN",'Données '!$BW:$BW,"OUI")</f>
        <v>0</v>
      </c>
      <c r="E155" s="112">
        <f>D155/D153</f>
        <v>0</v>
      </c>
    </row>
    <row r="156" spans="1:5" x14ac:dyDescent="0.25">
      <c r="A156" s="70" t="s">
        <v>146</v>
      </c>
      <c r="B156" s="71"/>
      <c r="C156" s="71"/>
      <c r="D156" s="74">
        <f>COUNTIFS('Données '!$A:$A,"JUIN",'Données '!$O:$O,"CABG")</f>
        <v>0</v>
      </c>
      <c r="E156" s="60">
        <f>D156/D153</f>
        <v>0</v>
      </c>
    </row>
    <row r="157" spans="1:5" x14ac:dyDescent="0.25">
      <c r="A157" s="66" t="s">
        <v>147</v>
      </c>
      <c r="B157" s="67"/>
      <c r="C157" s="67"/>
      <c r="D157" s="74">
        <f>SUM(D158:D163)</f>
        <v>0</v>
      </c>
      <c r="E157" s="60">
        <f>D157/D153</f>
        <v>0</v>
      </c>
    </row>
    <row r="158" spans="1:5" x14ac:dyDescent="0.25">
      <c r="A158" s="51"/>
      <c r="B158" s="52"/>
      <c r="C158" s="52" t="s">
        <v>1</v>
      </c>
      <c r="D158" s="79">
        <f>COUNTIFS('Données '!$A:$A,"JUIN",'Données '!$R:$R,"AVR")</f>
        <v>0</v>
      </c>
      <c r="E158" s="78" t="str">
        <f t="shared" ref="E158:E163" si="0">IFERROR(D158/D$157,"")</f>
        <v/>
      </c>
    </row>
    <row r="159" spans="1:5" x14ac:dyDescent="0.25">
      <c r="A159" s="51"/>
      <c r="B159" s="52"/>
      <c r="C159" s="52" t="s">
        <v>72</v>
      </c>
      <c r="D159" s="79">
        <f>COUNTIFS('Données '!$A:$A,"JUIN",'Données '!$R:$R,"TVR")</f>
        <v>0</v>
      </c>
      <c r="E159" s="78" t="str">
        <f t="shared" si="0"/>
        <v/>
      </c>
    </row>
    <row r="160" spans="1:5" x14ac:dyDescent="0.25">
      <c r="A160" s="51"/>
      <c r="B160" s="52"/>
      <c r="C160" s="52" t="s">
        <v>62</v>
      </c>
      <c r="D160" s="79">
        <f>COUNTIFS('Données '!$A:$A,"JUIN",'Données '!$R:$R,"TVP")</f>
        <v>0</v>
      </c>
      <c r="E160" s="78" t="str">
        <f t="shared" si="0"/>
        <v/>
      </c>
    </row>
    <row r="161" spans="1:6" x14ac:dyDescent="0.25">
      <c r="A161" s="51"/>
      <c r="B161" s="52"/>
      <c r="C161" s="52" t="s">
        <v>64</v>
      </c>
      <c r="D161" s="79">
        <f>COUNTIFS('Données '!$A:$A,"JUIN",'Données '!$R:$R,"MVR")</f>
        <v>0</v>
      </c>
      <c r="E161" s="78" t="str">
        <f t="shared" si="0"/>
        <v/>
      </c>
    </row>
    <row r="162" spans="1:6" x14ac:dyDescent="0.25">
      <c r="A162" s="51"/>
      <c r="B162" s="52"/>
      <c r="C162" s="52" t="s">
        <v>63</v>
      </c>
      <c r="D162" s="79">
        <f>COUNTIFS('Données '!$A:$A,"JUIN",'Données '!$R:$R,"MVP")</f>
        <v>0</v>
      </c>
      <c r="E162" s="78" t="str">
        <f t="shared" si="0"/>
        <v/>
      </c>
    </row>
    <row r="163" spans="1:6" x14ac:dyDescent="0.25">
      <c r="A163" s="53"/>
      <c r="B163" s="54"/>
      <c r="C163" s="54" t="s">
        <v>148</v>
      </c>
      <c r="D163" s="79">
        <f>COUNTIFS('Données '!$A:$A,"JUIN",'Données '!$R:$R,"2 V ou plus")</f>
        <v>0</v>
      </c>
      <c r="E163" s="78" t="str">
        <f t="shared" si="0"/>
        <v/>
      </c>
    </row>
    <row r="164" spans="1:6" x14ac:dyDescent="0.25">
      <c r="A164" s="70" t="s">
        <v>180</v>
      </c>
      <c r="B164" s="71"/>
      <c r="C164" s="76"/>
      <c r="D164" s="62">
        <f>COUNTIFS('Données '!$A:$A,"JUIN",'Données '!$Q:$Q,"CABG + V")</f>
        <v>0</v>
      </c>
      <c r="E164" s="191">
        <f>D164/D$153</f>
        <v>0</v>
      </c>
    </row>
    <row r="165" spans="1:6" x14ac:dyDescent="0.25">
      <c r="A165" s="70" t="s">
        <v>181</v>
      </c>
      <c r="B165" s="71"/>
      <c r="C165" s="76"/>
      <c r="D165" s="62">
        <f>COUNTIFS('Données '!$A:$A,"JUIN",'Données '!$O:$O,"Autre")</f>
        <v>0</v>
      </c>
      <c r="E165" s="191">
        <f t="shared" ref="E165:E167" si="1">D165/D$153</f>
        <v>0</v>
      </c>
    </row>
    <row r="166" spans="1:6" x14ac:dyDescent="0.25">
      <c r="A166" s="70" t="s">
        <v>154</v>
      </c>
      <c r="B166" s="71"/>
      <c r="C166" s="76"/>
      <c r="D166" s="62">
        <f>COUNTIFS('Données '!$A:$A,"JUIN",'Données '!$O:$O,"Aorte")</f>
        <v>0</v>
      </c>
      <c r="E166" s="191">
        <f t="shared" si="1"/>
        <v>0</v>
      </c>
    </row>
    <row r="167" spans="1:6" x14ac:dyDescent="0.25">
      <c r="A167" s="72" t="s">
        <v>152</v>
      </c>
      <c r="B167" s="73"/>
      <c r="C167" s="77"/>
      <c r="D167" s="62">
        <f>SUM($D$168:$D$169)</f>
        <v>0</v>
      </c>
      <c r="E167" s="191">
        <f t="shared" si="1"/>
        <v>0</v>
      </c>
    </row>
    <row r="168" spans="1:6" x14ac:dyDescent="0.25">
      <c r="A168" s="51"/>
      <c r="B168" s="52"/>
      <c r="C168" s="52" t="s">
        <v>45</v>
      </c>
      <c r="D168" s="79">
        <f>COUNTIFS('Données '!$A:$A,"JUIN",'Données '!$O:$O,"LVAD")</f>
        <v>0</v>
      </c>
      <c r="E168" s="191">
        <f>D168/D153</f>
        <v>0</v>
      </c>
    </row>
    <row r="169" spans="1:6" ht="15.75" thickBot="1" x14ac:dyDescent="0.3">
      <c r="A169" s="55"/>
      <c r="B169" s="56"/>
      <c r="C169" s="56" t="s">
        <v>151</v>
      </c>
      <c r="D169" s="118">
        <f>COUNTIFS('Données '!$A:$A,"JUIN",'Données '!$O:$O,"HTX")</f>
        <v>0</v>
      </c>
      <c r="E169" s="193">
        <f>D169/D153</f>
        <v>0</v>
      </c>
    </row>
    <row r="170" spans="1:6" x14ac:dyDescent="0.25">
      <c r="A170" s="31" t="s">
        <v>169</v>
      </c>
      <c r="B170" s="32"/>
      <c r="C170" s="33"/>
      <c r="D170" s="28">
        <f>COUNTIFS('Données '!$A:$A,"JUIN",'Données '!$Y:$Y,1)</f>
        <v>0</v>
      </c>
      <c r="E170" s="123">
        <f>D170/D153</f>
        <v>0</v>
      </c>
    </row>
    <row r="171" spans="1:6" x14ac:dyDescent="0.25">
      <c r="A171" s="53" t="s">
        <v>149</v>
      </c>
      <c r="B171" s="54"/>
      <c r="C171" s="54"/>
      <c r="D171" s="62">
        <f>COUNTIFS('Données '!$A:$A,"JUIN",'Données '!$AN:$AN,"DECEASED")</f>
        <v>0</v>
      </c>
      <c r="E171" s="60">
        <f>D171/D153</f>
        <v>0</v>
      </c>
    </row>
    <row r="172" spans="1:6" x14ac:dyDescent="0.25">
      <c r="A172" s="49" t="s">
        <v>150</v>
      </c>
      <c r="B172" s="50"/>
      <c r="C172" s="50"/>
      <c r="D172" s="74">
        <v>2.1</v>
      </c>
      <c r="E172" s="61"/>
      <c r="F172" s="47"/>
    </row>
    <row r="173" spans="1:6" x14ac:dyDescent="0.25">
      <c r="A173" s="49" t="s">
        <v>167</v>
      </c>
      <c r="B173" s="50"/>
      <c r="C173" s="50"/>
      <c r="D173" s="74">
        <v>8</v>
      </c>
      <c r="E173" s="61"/>
      <c r="F173" s="47"/>
    </row>
    <row r="174" spans="1:6" x14ac:dyDescent="0.25">
      <c r="A174" s="49" t="s">
        <v>285</v>
      </c>
      <c r="B174" s="50"/>
      <c r="C174" s="50"/>
      <c r="D174" s="74">
        <f>COUNTIFS('Données '!$A:$A,"JUIN",'Données '!$AB:$AB,1,'Données '!$O:$O,"&lt;&gt;LVAD",'Données '!$O:$O,"&lt;&gt;HTX")</f>
        <v>0</v>
      </c>
      <c r="E174" s="60">
        <f>D174/19</f>
        <v>0</v>
      </c>
      <c r="F174" s="47"/>
    </row>
    <row r="175" spans="1:6" x14ac:dyDescent="0.25">
      <c r="A175" s="49" t="s">
        <v>221</v>
      </c>
      <c r="B175" s="50"/>
      <c r="C175" s="50"/>
      <c r="D175" s="74">
        <f>COUNTIFS('Données '!$A:$A,"JUIN",'Données '!$AD:$AD,1,'Données '!$O:$O,"&lt;&gt;LVAD",'Données '!$O:$O,"&lt;&gt;HTX")</f>
        <v>0</v>
      </c>
      <c r="E175" s="60">
        <f>D175/19</f>
        <v>0</v>
      </c>
      <c r="F175" s="47"/>
    </row>
    <row r="176" spans="1:6" x14ac:dyDescent="0.25">
      <c r="A176" s="25" t="s">
        <v>222</v>
      </c>
      <c r="B176" s="26"/>
      <c r="C176" s="26"/>
      <c r="D176" s="74">
        <f>COUNTIFS('Données '!$A:$A,"JUIN",'Données '!$AI:$AI,"&lt;&gt;0",'Données '!$O:$O,"&lt;&gt;LVAD",'Données '!$O:$O,"&lt;&gt;HTX")</f>
        <v>0</v>
      </c>
      <c r="E176" s="60">
        <f>D176/19</f>
        <v>0</v>
      </c>
      <c r="F176" s="47"/>
    </row>
    <row r="177" spans="1:6" ht="15.75" thickBot="1" x14ac:dyDescent="0.3">
      <c r="A177" s="57" t="s">
        <v>223</v>
      </c>
      <c r="B177" s="58"/>
      <c r="C177" s="58"/>
      <c r="D177" s="164">
        <v>2</v>
      </c>
      <c r="E177" s="27"/>
      <c r="F177" s="47"/>
    </row>
    <row r="180" spans="1:6" ht="15.75" thickBot="1" x14ac:dyDescent="0.3"/>
    <row r="181" spans="1:6" ht="15.75" thickBot="1" x14ac:dyDescent="0.3">
      <c r="A181" s="310">
        <v>42917</v>
      </c>
      <c r="B181" s="311"/>
      <c r="C181" s="312"/>
      <c r="D181" s="63" t="s">
        <v>144</v>
      </c>
      <c r="E181" s="64" t="s">
        <v>145</v>
      </c>
    </row>
    <row r="182" spans="1:6" x14ac:dyDescent="0.25">
      <c r="A182" s="68" t="s">
        <v>184</v>
      </c>
      <c r="B182" s="69"/>
      <c r="C182" s="75"/>
      <c r="D182" s="115">
        <f>COUNTIFS('Données '!$A:$A,"JUILLET")</f>
        <v>13</v>
      </c>
      <c r="E182" s="59"/>
    </row>
    <row r="183" spans="1:6" x14ac:dyDescent="0.25">
      <c r="A183" s="44" t="s">
        <v>202</v>
      </c>
      <c r="B183" s="45"/>
      <c r="C183" s="45"/>
      <c r="D183" s="74">
        <f>COUNTIFS('Données '!$A:$A,"JUILLET",'Données '!$F:$F,1)</f>
        <v>0</v>
      </c>
      <c r="E183" s="46"/>
    </row>
    <row r="184" spans="1:6" x14ac:dyDescent="0.25">
      <c r="A184" s="44" t="s">
        <v>220</v>
      </c>
      <c r="B184" s="45"/>
      <c r="C184" s="45"/>
      <c r="D184" s="74">
        <f>COUNTIFS('Données '!$A:$A,"JUILLET",'Données '!$BW:$BW,"OUI")</f>
        <v>0</v>
      </c>
      <c r="E184" s="112">
        <f>D184/D182</f>
        <v>0</v>
      </c>
    </row>
    <row r="185" spans="1:6" x14ac:dyDescent="0.25">
      <c r="A185" s="70" t="s">
        <v>146</v>
      </c>
      <c r="B185" s="71"/>
      <c r="C185" s="71"/>
      <c r="D185" s="74">
        <f>COUNTIFS('Données '!$A:$A,"JUILLET",'Données '!$O:$O,"CABG")</f>
        <v>0</v>
      </c>
      <c r="E185" s="60">
        <f>D185/D182</f>
        <v>0</v>
      </c>
    </row>
    <row r="186" spans="1:6" x14ac:dyDescent="0.25">
      <c r="A186" s="66" t="s">
        <v>147</v>
      </c>
      <c r="B186" s="67"/>
      <c r="C186" s="67"/>
      <c r="D186" s="74">
        <f>SUM(D187:D192)</f>
        <v>0</v>
      </c>
      <c r="E186" s="60">
        <f>D186/D182</f>
        <v>0</v>
      </c>
    </row>
    <row r="187" spans="1:6" x14ac:dyDescent="0.25">
      <c r="A187" s="51"/>
      <c r="B187" s="52"/>
      <c r="C187" s="52" t="s">
        <v>1</v>
      </c>
      <c r="D187" s="79">
        <f>COUNTIFS('Données '!$A:$A,"JUILLET",'Données '!$R:$R,"AVR")</f>
        <v>0</v>
      </c>
      <c r="E187" s="78" t="str">
        <f>IFERROR(D187/D$186,"")</f>
        <v/>
      </c>
    </row>
    <row r="188" spans="1:6" x14ac:dyDescent="0.25">
      <c r="A188" s="51"/>
      <c r="B188" s="52"/>
      <c r="C188" s="52" t="s">
        <v>72</v>
      </c>
      <c r="D188" s="79">
        <f>COUNTIFS('Données '!$A:$A,"JUILLET",'Données '!$R:$R,"TVR")</f>
        <v>0</v>
      </c>
      <c r="E188" s="78" t="str">
        <f t="shared" ref="E188:E192" si="2">IFERROR(D188/D$186,"")</f>
        <v/>
      </c>
    </row>
    <row r="189" spans="1:6" x14ac:dyDescent="0.25">
      <c r="A189" s="51"/>
      <c r="B189" s="52"/>
      <c r="C189" s="52" t="s">
        <v>62</v>
      </c>
      <c r="D189" s="79">
        <f>COUNTIFS('Données '!$A:$A,"JUILLET",'Données '!$R:$R,"TVP")</f>
        <v>0</v>
      </c>
      <c r="E189" s="78" t="str">
        <f t="shared" si="2"/>
        <v/>
      </c>
    </row>
    <row r="190" spans="1:6" x14ac:dyDescent="0.25">
      <c r="A190" s="51"/>
      <c r="B190" s="52"/>
      <c r="C190" s="52" t="s">
        <v>64</v>
      </c>
      <c r="D190" s="79">
        <f>COUNTIFS('Données '!$A:$A,"JUILLET",'Données '!$R:$R,"MVR")</f>
        <v>0</v>
      </c>
      <c r="E190" s="78" t="str">
        <f t="shared" si="2"/>
        <v/>
      </c>
    </row>
    <row r="191" spans="1:6" x14ac:dyDescent="0.25">
      <c r="A191" s="51"/>
      <c r="B191" s="52"/>
      <c r="C191" s="52" t="s">
        <v>63</v>
      </c>
      <c r="D191" s="79">
        <f>COUNTIFS('Données '!$A:$A,"JUILLET",'Données '!$R:$R,"MVP")</f>
        <v>0</v>
      </c>
      <c r="E191" s="78" t="str">
        <f t="shared" si="2"/>
        <v/>
      </c>
    </row>
    <row r="192" spans="1:6" x14ac:dyDescent="0.25">
      <c r="A192" s="53"/>
      <c r="B192" s="54"/>
      <c r="C192" s="54" t="s">
        <v>148</v>
      </c>
      <c r="D192" s="79">
        <f>COUNTIFS('Données '!$A:$A,"JUILLET",'Données '!$R:$R,"2 V ou plus")</f>
        <v>0</v>
      </c>
      <c r="E192" s="78" t="str">
        <f t="shared" si="2"/>
        <v/>
      </c>
    </row>
    <row r="193" spans="1:6" x14ac:dyDescent="0.25">
      <c r="A193" s="70" t="s">
        <v>180</v>
      </c>
      <c r="B193" s="71"/>
      <c r="C193" s="76"/>
      <c r="D193" s="62">
        <f>COUNTIFS('Données '!$A:$A,"JUILLET",'Données '!$Q:$Q,"CABG + V")</f>
        <v>0</v>
      </c>
      <c r="E193" s="191">
        <f>D193/D$182</f>
        <v>0</v>
      </c>
    </row>
    <row r="194" spans="1:6" x14ac:dyDescent="0.25">
      <c r="A194" s="70" t="s">
        <v>181</v>
      </c>
      <c r="B194" s="71"/>
      <c r="C194" s="76"/>
      <c r="D194" s="62">
        <f>COUNTIFS('Données '!$A:$A,"JUILLET",'Données '!$O:$O,"Autre")</f>
        <v>0</v>
      </c>
      <c r="E194" s="191">
        <f t="shared" ref="E194:E196" si="3">D194/D$182</f>
        <v>0</v>
      </c>
    </row>
    <row r="195" spans="1:6" x14ac:dyDescent="0.25">
      <c r="A195" s="70" t="s">
        <v>154</v>
      </c>
      <c r="B195" s="71"/>
      <c r="C195" s="76"/>
      <c r="D195" s="62">
        <f>COUNTIFS('Données '!$A:$A,"JUILLET",'Données '!$O:$O,"Aorte")</f>
        <v>0</v>
      </c>
      <c r="E195" s="191">
        <f t="shared" si="3"/>
        <v>0</v>
      </c>
    </row>
    <row r="196" spans="1:6" x14ac:dyDescent="0.25">
      <c r="A196" s="72" t="s">
        <v>152</v>
      </c>
      <c r="B196" s="73"/>
      <c r="C196" s="77"/>
      <c r="D196" s="62">
        <f>SUM($D$197:$D$198)</f>
        <v>0</v>
      </c>
      <c r="E196" s="191">
        <f t="shared" si="3"/>
        <v>0</v>
      </c>
    </row>
    <row r="197" spans="1:6" x14ac:dyDescent="0.25">
      <c r="A197" s="51"/>
      <c r="B197" s="52"/>
      <c r="C197" s="52" t="s">
        <v>45</v>
      </c>
      <c r="D197" s="79">
        <f>COUNTIFS('Données '!$A:$A,"JUILLET",'Données '!$O:$O,"LVAD")</f>
        <v>0</v>
      </c>
      <c r="E197" s="78">
        <f>D197/D182</f>
        <v>0</v>
      </c>
    </row>
    <row r="198" spans="1:6" ht="15.75" thickBot="1" x14ac:dyDescent="0.3">
      <c r="A198" s="55"/>
      <c r="B198" s="56"/>
      <c r="C198" s="56" t="s">
        <v>151</v>
      </c>
      <c r="D198" s="118">
        <f>COUNTIFS('Données '!$A:$A,"JUILLET",'Données '!$O:$O,"HTX")</f>
        <v>0</v>
      </c>
      <c r="E198" s="119">
        <f>D198/D182</f>
        <v>0</v>
      </c>
    </row>
    <row r="199" spans="1:6" x14ac:dyDescent="0.25">
      <c r="A199" s="31" t="s">
        <v>169</v>
      </c>
      <c r="B199" s="32"/>
      <c r="C199" s="33"/>
      <c r="D199" s="28">
        <f>COUNTIFS('Données '!$A:$A,"JUIN",'Données '!$Y:$Y,1)</f>
        <v>0</v>
      </c>
      <c r="E199" s="123">
        <f>D199/D182</f>
        <v>0</v>
      </c>
    </row>
    <row r="200" spans="1:6" x14ac:dyDescent="0.25">
      <c r="A200" s="53" t="s">
        <v>149</v>
      </c>
      <c r="B200" s="54"/>
      <c r="C200" s="54"/>
      <c r="D200" s="62">
        <f>COUNTIFS('Données '!$A:$A,"JUIN",'Données '!$AN:$AN,"DECEASED")</f>
        <v>0</v>
      </c>
      <c r="E200" s="60">
        <f>D200/D182</f>
        <v>0</v>
      </c>
    </row>
    <row r="201" spans="1:6" x14ac:dyDescent="0.25">
      <c r="A201" s="49" t="s">
        <v>150</v>
      </c>
      <c r="B201" s="50"/>
      <c r="C201" s="50"/>
      <c r="D201" s="74">
        <v>3.2</v>
      </c>
      <c r="E201" s="61"/>
      <c r="F201" s="47"/>
    </row>
    <row r="202" spans="1:6" x14ac:dyDescent="0.25">
      <c r="A202" s="49" t="s">
        <v>167</v>
      </c>
      <c r="B202" s="50"/>
      <c r="C202" s="50"/>
      <c r="D202" s="74">
        <v>12.3</v>
      </c>
      <c r="E202" s="61"/>
      <c r="F202" s="47"/>
    </row>
    <row r="203" spans="1:6" x14ac:dyDescent="0.25">
      <c r="A203" s="49" t="s">
        <v>285</v>
      </c>
      <c r="B203" s="50"/>
      <c r="C203" s="50"/>
      <c r="D203" s="74">
        <f>COUNTIFS('Données '!$A:$A,"JUIN",'Données '!$AB:$AB,1,'Données '!$O:$O,"&lt;&gt;LVAD",'Données '!$O:$O,"&lt;&gt;HTX")</f>
        <v>0</v>
      </c>
      <c r="E203" s="60">
        <f>D203/D182</f>
        <v>0</v>
      </c>
      <c r="F203" s="47"/>
    </row>
    <row r="204" spans="1:6" x14ac:dyDescent="0.25">
      <c r="A204" s="49" t="s">
        <v>221</v>
      </c>
      <c r="B204" s="50"/>
      <c r="C204" s="50"/>
      <c r="D204" s="74">
        <f>COUNTIFS('Données '!$A:$A,"JUIN",'Données '!$AD:$AD,1,'Données '!$O:$O,"&lt;&gt;LVAD",'Données '!$O:$O,"&lt;&gt;HTX")</f>
        <v>0</v>
      </c>
      <c r="E204" s="60">
        <f>D204/D182</f>
        <v>0</v>
      </c>
      <c r="F204" s="47"/>
    </row>
    <row r="205" spans="1:6" x14ac:dyDescent="0.25">
      <c r="A205" s="25" t="s">
        <v>222</v>
      </c>
      <c r="B205" s="26"/>
      <c r="C205" s="26"/>
      <c r="D205" s="74">
        <f>COUNTIFS('Données '!$A:$A,"JUIN",'Données '!$AI:$AI,"&lt;&gt;0",'Données '!$O:$O,"&lt;&gt;LVAD",'Données '!$O:$O,"&lt;&gt;HTX")</f>
        <v>0</v>
      </c>
      <c r="E205" s="60">
        <f>D205/13</f>
        <v>0</v>
      </c>
      <c r="F205" s="47"/>
    </row>
    <row r="206" spans="1:6" ht="15.75" thickBot="1" x14ac:dyDescent="0.3">
      <c r="A206" s="57" t="s">
        <v>223</v>
      </c>
      <c r="B206" s="58"/>
      <c r="C206" s="58"/>
      <c r="D206" s="164">
        <v>4.5999999999999996</v>
      </c>
      <c r="E206" s="27"/>
      <c r="F206" s="47"/>
    </row>
    <row r="209" spans="1:6" ht="15.75" thickBot="1" x14ac:dyDescent="0.3"/>
    <row r="210" spans="1:6" ht="15.75" thickBot="1" x14ac:dyDescent="0.3">
      <c r="A210" s="310">
        <v>42948</v>
      </c>
      <c r="B210" s="311"/>
      <c r="C210" s="312"/>
      <c r="D210" s="63" t="s">
        <v>144</v>
      </c>
      <c r="E210" s="64" t="s">
        <v>145</v>
      </c>
      <c r="F210" s="47"/>
    </row>
    <row r="211" spans="1:6" x14ac:dyDescent="0.25">
      <c r="A211" s="68" t="s">
        <v>184</v>
      </c>
      <c r="B211" s="69"/>
      <c r="C211" s="75"/>
      <c r="D211" s="115">
        <f>COUNTIFS('Données '!$A:$A,"AOUT")</f>
        <v>20</v>
      </c>
      <c r="E211" s="59"/>
      <c r="F211" s="47"/>
    </row>
    <row r="212" spans="1:6" x14ac:dyDescent="0.25">
      <c r="A212" s="44" t="s">
        <v>202</v>
      </c>
      <c r="B212" s="45"/>
      <c r="C212" s="45"/>
      <c r="D212" s="74">
        <f>COUNTIFS('Données '!$A:$A,"AOUT",'Données '!$F:$F,1)</f>
        <v>0</v>
      </c>
      <c r="E212" s="46"/>
      <c r="F212" s="47"/>
    </row>
    <row r="213" spans="1:6" x14ac:dyDescent="0.25">
      <c r="A213" s="44" t="s">
        <v>220</v>
      </c>
      <c r="B213" s="45"/>
      <c r="C213" s="45"/>
      <c r="D213" s="74">
        <f>COUNTIFS('Données '!$A:$A,"AOUT",'Données '!$BW:$BW,"OUI")</f>
        <v>0</v>
      </c>
      <c r="E213" s="112">
        <f>D213/D211</f>
        <v>0</v>
      </c>
      <c r="F213" s="47"/>
    </row>
    <row r="214" spans="1:6" x14ac:dyDescent="0.25">
      <c r="A214" s="70" t="s">
        <v>146</v>
      </c>
      <c r="B214" s="71"/>
      <c r="C214" s="71"/>
      <c r="D214" s="74">
        <f>COUNTIFS('Données '!$A:$A,"AOUT",'Données '!$O:$O,"CABG")</f>
        <v>0</v>
      </c>
      <c r="E214" s="60">
        <f>D214/D211</f>
        <v>0</v>
      </c>
      <c r="F214" s="47"/>
    </row>
    <row r="215" spans="1:6" x14ac:dyDescent="0.25">
      <c r="A215" s="66" t="s">
        <v>147</v>
      </c>
      <c r="B215" s="67"/>
      <c r="C215" s="67"/>
      <c r="D215" s="74">
        <f>SUM(D216:D221)</f>
        <v>0</v>
      </c>
      <c r="E215" s="60">
        <f>D215/D211</f>
        <v>0</v>
      </c>
      <c r="F215" s="47"/>
    </row>
    <row r="216" spans="1:6" x14ac:dyDescent="0.25">
      <c r="A216" s="51"/>
      <c r="B216" s="52"/>
      <c r="C216" s="52" t="s">
        <v>1</v>
      </c>
      <c r="D216" s="79">
        <f>COUNTIFS('Données '!$A:$A,"AOUT",'Données '!$R:$R,"AVR")</f>
        <v>0</v>
      </c>
      <c r="E216" s="78" t="str">
        <f>IFERROR(D216/D$215,"")</f>
        <v/>
      </c>
      <c r="F216" s="47"/>
    </row>
    <row r="217" spans="1:6" x14ac:dyDescent="0.25">
      <c r="A217" s="51"/>
      <c r="B217" s="52"/>
      <c r="C217" s="52" t="s">
        <v>72</v>
      </c>
      <c r="D217" s="79">
        <f>COUNTIFS('Données '!$A:$A,"AOUT",'Données '!$R:$R,"TVR")</f>
        <v>0</v>
      </c>
      <c r="E217" s="78" t="str">
        <f t="shared" ref="E217:E220" si="4">IFERROR(D217/D$215,"")</f>
        <v/>
      </c>
      <c r="F217" s="47"/>
    </row>
    <row r="218" spans="1:6" x14ac:dyDescent="0.25">
      <c r="A218" s="51"/>
      <c r="B218" s="52"/>
      <c r="C218" s="52" t="s">
        <v>62</v>
      </c>
      <c r="D218" s="79">
        <f>COUNTIFS('Données '!$A:$A,"AOUT",'Données '!$R:$R,"TVP")</f>
        <v>0</v>
      </c>
      <c r="E218" s="78" t="str">
        <f t="shared" si="4"/>
        <v/>
      </c>
      <c r="F218" s="47"/>
    </row>
    <row r="219" spans="1:6" x14ac:dyDescent="0.25">
      <c r="A219" s="51"/>
      <c r="B219" s="52"/>
      <c r="C219" s="52" t="s">
        <v>64</v>
      </c>
      <c r="D219" s="79">
        <f>COUNTIFS('Données '!$A:$A,"AOUT",'Données '!$R:$R,"MVR")</f>
        <v>0</v>
      </c>
      <c r="E219" s="78" t="str">
        <f t="shared" si="4"/>
        <v/>
      </c>
      <c r="F219" s="47"/>
    </row>
    <row r="220" spans="1:6" x14ac:dyDescent="0.25">
      <c r="A220" s="51"/>
      <c r="B220" s="52"/>
      <c r="C220" s="52" t="s">
        <v>63</v>
      </c>
      <c r="D220" s="79">
        <f>COUNTIFS('Données '!$A:$A,"AOUT",'Données '!$R:$R,"MVP")</f>
        <v>0</v>
      </c>
      <c r="E220" s="78" t="str">
        <f t="shared" si="4"/>
        <v/>
      </c>
      <c r="F220" s="47"/>
    </row>
    <row r="221" spans="1:6" x14ac:dyDescent="0.25">
      <c r="A221" s="53"/>
      <c r="B221" s="54"/>
      <c r="C221" s="54" t="s">
        <v>148</v>
      </c>
      <c r="D221" s="79">
        <f>COUNTIFS('Données '!$A:$A,"AOUT",'Données '!$R:$R,"2 V ou plus")</f>
        <v>0</v>
      </c>
      <c r="E221" s="78" t="str">
        <f>IFERROR(D221/D$215,"")</f>
        <v/>
      </c>
      <c r="F221" s="47"/>
    </row>
    <row r="222" spans="1:6" x14ac:dyDescent="0.25">
      <c r="A222" s="70" t="s">
        <v>180</v>
      </c>
      <c r="B222" s="71"/>
      <c r="C222" s="76"/>
      <c r="D222" s="62">
        <f>COUNTIFS('Données '!$A:$A,"AOUT",'Données '!$Q:$Q,"CABG + V")</f>
        <v>0</v>
      </c>
      <c r="E222" s="191"/>
      <c r="F222" s="47"/>
    </row>
    <row r="223" spans="1:6" x14ac:dyDescent="0.25">
      <c r="A223" s="70" t="s">
        <v>181</v>
      </c>
      <c r="B223" s="71"/>
      <c r="C223" s="76"/>
      <c r="D223" s="62">
        <f>COUNTIFS('Données '!$A:$A,"AOUT",'Données '!$O:$O,"Autre")</f>
        <v>0</v>
      </c>
      <c r="E223" s="191"/>
      <c r="F223" s="47"/>
    </row>
    <row r="224" spans="1:6" x14ac:dyDescent="0.25">
      <c r="A224" s="70" t="s">
        <v>154</v>
      </c>
      <c r="B224" s="71"/>
      <c r="C224" s="76"/>
      <c r="D224" s="62">
        <f>COUNTIFS('Données '!$A:$A,"AOUT",'Données '!$O:$O,"Aorte")</f>
        <v>0</v>
      </c>
      <c r="E224" s="191"/>
      <c r="F224" s="47"/>
    </row>
    <row r="225" spans="1:6" x14ac:dyDescent="0.25">
      <c r="A225" s="72" t="s">
        <v>152</v>
      </c>
      <c r="B225" s="73"/>
      <c r="C225" s="77"/>
      <c r="D225" s="62">
        <f>SUM($D226:$D227)</f>
        <v>0</v>
      </c>
      <c r="E225" s="191"/>
      <c r="F225" s="47"/>
    </row>
    <row r="226" spans="1:6" x14ac:dyDescent="0.25">
      <c r="A226" s="51"/>
      <c r="B226" s="52"/>
      <c r="C226" s="52" t="s">
        <v>45</v>
      </c>
      <c r="D226" s="79">
        <f>COUNTIFS('Données '!$A:$A,"AOUT",'Données '!$O:$O,"LVAD")</f>
        <v>0</v>
      </c>
      <c r="E226" s="78">
        <f>D226/D211</f>
        <v>0</v>
      </c>
      <c r="F226" s="47"/>
    </row>
    <row r="227" spans="1:6" ht="15.75" thickBot="1" x14ac:dyDescent="0.3">
      <c r="A227" s="55"/>
      <c r="B227" s="56"/>
      <c r="C227" s="56" t="s">
        <v>151</v>
      </c>
      <c r="D227" s="118">
        <f>COUNTIFS('Données '!$A:$A,"AOUT",'Données '!$O:$O,"HTX")</f>
        <v>0</v>
      </c>
      <c r="E227" s="119">
        <f>D227/D211</f>
        <v>0</v>
      </c>
      <c r="F227" s="47"/>
    </row>
    <row r="228" spans="1:6" x14ac:dyDescent="0.25">
      <c r="A228" s="31" t="s">
        <v>169</v>
      </c>
      <c r="B228" s="32"/>
      <c r="C228" s="33"/>
      <c r="D228" s="28">
        <f>COUNTIFS('Données '!$A:$A,"AOUT",'Données '!$Y:$Y,1)</f>
        <v>0</v>
      </c>
      <c r="E228" s="123">
        <f>D228/D211</f>
        <v>0</v>
      </c>
      <c r="F228" s="47"/>
    </row>
    <row r="229" spans="1:6" x14ac:dyDescent="0.25">
      <c r="A229" s="53" t="s">
        <v>149</v>
      </c>
      <c r="B229" s="54"/>
      <c r="C229" s="54"/>
      <c r="D229" s="62">
        <f>COUNTIFS('Données '!$A:$A,"AOUT",'Données '!$AN:$AN,"DECEASED")</f>
        <v>0</v>
      </c>
      <c r="E229" s="60">
        <f>D229/D211</f>
        <v>0</v>
      </c>
      <c r="F229" s="47"/>
    </row>
    <row r="230" spans="1:6" x14ac:dyDescent="0.25">
      <c r="A230" s="49" t="s">
        <v>150</v>
      </c>
      <c r="B230" s="50"/>
      <c r="C230" s="50"/>
      <c r="D230" s="74">
        <v>2.6</v>
      </c>
      <c r="E230" s="61"/>
      <c r="F230" s="47"/>
    </row>
    <row r="231" spans="1:6" x14ac:dyDescent="0.25">
      <c r="A231" s="49" t="s">
        <v>167</v>
      </c>
      <c r="B231" s="50"/>
      <c r="C231" s="50"/>
      <c r="D231" s="74">
        <v>10.4</v>
      </c>
      <c r="E231" s="61"/>
      <c r="F231" s="47"/>
    </row>
    <row r="232" spans="1:6" x14ac:dyDescent="0.25">
      <c r="A232" s="49" t="s">
        <v>285</v>
      </c>
      <c r="B232" s="50"/>
      <c r="C232" s="50"/>
      <c r="D232" s="74">
        <f>COUNTIFS('Données '!$A:$A,"AOUT",'Données '!$AB:$AB,1,'Données '!$O:$O,"&lt;&gt;LVAD",'Données '!$O:$O,"&lt;&gt;HTX")</f>
        <v>0</v>
      </c>
      <c r="E232" s="61"/>
      <c r="F232" s="47"/>
    </row>
    <row r="233" spans="1:6" x14ac:dyDescent="0.25">
      <c r="A233" s="49" t="s">
        <v>221</v>
      </c>
      <c r="B233" s="50"/>
      <c r="C233" s="50"/>
      <c r="D233" s="74">
        <f>COUNTIFS('Données '!$A:$A,"AOUT",'Données '!$AD:$AD,1,'Données '!$O:$O,"&lt;&gt;LVAD",'Données '!$O:$O,"&lt;&gt;HTX")</f>
        <v>0</v>
      </c>
      <c r="E233" s="60">
        <f>D233/17</f>
        <v>0</v>
      </c>
      <c r="F233" s="47"/>
    </row>
    <row r="234" spans="1:6" x14ac:dyDescent="0.25">
      <c r="A234" s="25" t="s">
        <v>222</v>
      </c>
      <c r="B234" s="26"/>
      <c r="C234" s="26"/>
      <c r="D234" s="74">
        <f>COUNTIFS('Données '!$A:$A,"AOUT",'Données '!$AI:$AI,"&lt;&gt;0",'Données '!$O:$O,"&lt;&gt;LVAD",'Données '!$O:$O,"&lt;&gt;HTX")</f>
        <v>0</v>
      </c>
      <c r="E234" s="60">
        <f>D234/17</f>
        <v>0</v>
      </c>
      <c r="F234" s="47"/>
    </row>
    <row r="235" spans="1:6" ht="15.75" thickBot="1" x14ac:dyDescent="0.3">
      <c r="A235" s="57" t="s">
        <v>223</v>
      </c>
      <c r="B235" s="58"/>
      <c r="C235" s="58"/>
      <c r="D235" s="164">
        <v>5.0999999999999996</v>
      </c>
      <c r="E235" s="27"/>
      <c r="F235" s="47"/>
    </row>
    <row r="238" spans="1:6" ht="15.75" thickBot="1" x14ac:dyDescent="0.3"/>
    <row r="239" spans="1:6" ht="15.75" thickBot="1" x14ac:dyDescent="0.3">
      <c r="A239" s="310">
        <v>42979</v>
      </c>
      <c r="B239" s="311"/>
      <c r="C239" s="312"/>
      <c r="D239" s="63" t="s">
        <v>144</v>
      </c>
      <c r="E239" s="64" t="s">
        <v>145</v>
      </c>
      <c r="F239" s="47"/>
    </row>
    <row r="240" spans="1:6" x14ac:dyDescent="0.25">
      <c r="A240" s="68" t="s">
        <v>184</v>
      </c>
      <c r="B240" s="69"/>
      <c r="C240" s="75"/>
      <c r="D240" s="115">
        <f>COUNTIFS('Données '!$A:$A,"SEPTEMBRE")</f>
        <v>25</v>
      </c>
      <c r="E240" s="59"/>
      <c r="F240" s="47"/>
    </row>
    <row r="241" spans="1:6" x14ac:dyDescent="0.25">
      <c r="A241" s="44" t="s">
        <v>202</v>
      </c>
      <c r="B241" s="45"/>
      <c r="C241" s="45"/>
      <c r="D241" s="74">
        <f>COUNTIFS('Données '!$A:$A,"SEPTEMBRE",'Données '!$F:$F,1)</f>
        <v>0</v>
      </c>
      <c r="E241" s="112">
        <f>D241/D240</f>
        <v>0</v>
      </c>
      <c r="F241" s="47"/>
    </row>
    <row r="242" spans="1:6" x14ac:dyDescent="0.25">
      <c r="A242" s="44" t="s">
        <v>220</v>
      </c>
      <c r="B242" s="45"/>
      <c r="C242" s="45"/>
      <c r="D242" s="74">
        <f>COUNTIFS('Données '!$A:$A,"SEPTEMBRE",'Données '!$BW:$BW,"OUI")</f>
        <v>0</v>
      </c>
      <c r="E242" s="112">
        <f>D242/D240</f>
        <v>0</v>
      </c>
      <c r="F242" s="47"/>
    </row>
    <row r="243" spans="1:6" x14ac:dyDescent="0.25">
      <c r="A243" s="70" t="s">
        <v>146</v>
      </c>
      <c r="B243" s="71"/>
      <c r="C243" s="71"/>
      <c r="D243" s="74">
        <f>COUNTIFS('Données '!$A:$A,"SEPTEMBRE",'Données '!$O:$O,"CABG")</f>
        <v>0</v>
      </c>
      <c r="E243" s="60">
        <f>D243/D240</f>
        <v>0</v>
      </c>
      <c r="F243" s="47"/>
    </row>
    <row r="244" spans="1:6" x14ac:dyDescent="0.25">
      <c r="A244" s="66" t="s">
        <v>147</v>
      </c>
      <c r="B244" s="67"/>
      <c r="C244" s="67"/>
      <c r="D244" s="74">
        <f>SUM(D245:D250)</f>
        <v>0</v>
      </c>
      <c r="E244" s="60">
        <f>D244/D240</f>
        <v>0</v>
      </c>
      <c r="F244" s="47"/>
    </row>
    <row r="245" spans="1:6" x14ac:dyDescent="0.25">
      <c r="A245" s="51"/>
      <c r="B245" s="52"/>
      <c r="C245" s="52" t="s">
        <v>1</v>
      </c>
      <c r="D245" s="79">
        <f>COUNTIFS('Données '!$A:$A,"SEPTEMBRE",'Données '!$R:$R,"AVR")</f>
        <v>0</v>
      </c>
      <c r="E245" s="78" t="str">
        <f>IFERROR(D245/D$244,"")</f>
        <v/>
      </c>
      <c r="F245" s="47"/>
    </row>
    <row r="246" spans="1:6" x14ac:dyDescent="0.25">
      <c r="A246" s="51"/>
      <c r="B246" s="52"/>
      <c r="C246" s="52" t="s">
        <v>72</v>
      </c>
      <c r="D246" s="79">
        <f>COUNTIFS('Données '!$A:$A,"SEPTEMBRE",'Données '!$R:$R,"TVR")</f>
        <v>0</v>
      </c>
      <c r="E246" s="78" t="str">
        <f t="shared" ref="E246:E250" si="5">IFERROR(D246/D$244,"")</f>
        <v/>
      </c>
      <c r="F246" s="47"/>
    </row>
    <row r="247" spans="1:6" x14ac:dyDescent="0.25">
      <c r="A247" s="51"/>
      <c r="B247" s="52"/>
      <c r="C247" s="52" t="s">
        <v>62</v>
      </c>
      <c r="D247" s="79">
        <f>COUNTIFS('Données '!$A:$A,"SEPTEMBRE",'Données '!$R:$R,"TVP")</f>
        <v>0</v>
      </c>
      <c r="E247" s="78" t="str">
        <f t="shared" si="5"/>
        <v/>
      </c>
      <c r="F247" s="47"/>
    </row>
    <row r="248" spans="1:6" x14ac:dyDescent="0.25">
      <c r="A248" s="51"/>
      <c r="B248" s="52"/>
      <c r="C248" s="52" t="s">
        <v>64</v>
      </c>
      <c r="D248" s="79">
        <f>COUNTIFS('Données '!$A:$A,"SEPTEMBRE",'Données '!$R:$R,"MVR")</f>
        <v>0</v>
      </c>
      <c r="E248" s="78" t="str">
        <f t="shared" si="5"/>
        <v/>
      </c>
      <c r="F248" s="47"/>
    </row>
    <row r="249" spans="1:6" x14ac:dyDescent="0.25">
      <c r="A249" s="51"/>
      <c r="B249" s="52"/>
      <c r="C249" s="52" t="s">
        <v>63</v>
      </c>
      <c r="D249" s="79">
        <f>COUNTIFS('Données '!$A:$A,"SEPTEMBRE",'Données '!$R:$R,"MVP")</f>
        <v>0</v>
      </c>
      <c r="E249" s="78" t="str">
        <f t="shared" si="5"/>
        <v/>
      </c>
      <c r="F249" s="47"/>
    </row>
    <row r="250" spans="1:6" x14ac:dyDescent="0.25">
      <c r="A250" s="53"/>
      <c r="B250" s="54"/>
      <c r="C250" s="54" t="s">
        <v>148</v>
      </c>
      <c r="D250" s="79">
        <f>COUNTIFS('Données '!$A:$A,"SEPTEMBRE",'Données '!$R:$R,"2 V ou plus")</f>
        <v>0</v>
      </c>
      <c r="E250" s="78" t="str">
        <f t="shared" si="5"/>
        <v/>
      </c>
      <c r="F250" s="47"/>
    </row>
    <row r="251" spans="1:6" x14ac:dyDescent="0.25">
      <c r="A251" s="70" t="s">
        <v>180</v>
      </c>
      <c r="B251" s="71"/>
      <c r="C251" s="76"/>
      <c r="D251" s="62">
        <f>COUNTIFS('Données '!$A:$A,"SEPTEMBRE",'Données '!$Q:$Q,"CABG + V")</f>
        <v>0</v>
      </c>
      <c r="E251" s="191">
        <f>D251/D$240</f>
        <v>0</v>
      </c>
      <c r="F251" s="47"/>
    </row>
    <row r="252" spans="1:6" x14ac:dyDescent="0.25">
      <c r="A252" s="70" t="s">
        <v>181</v>
      </c>
      <c r="B252" s="71"/>
      <c r="C252" s="76"/>
      <c r="D252" s="62">
        <f>COUNTIFS('Données '!$A:$A,"SEPTEMBRE",'Données '!$O:$O,"Autre")</f>
        <v>0</v>
      </c>
      <c r="E252" s="191">
        <f t="shared" ref="E252:E254" si="6">D252/D$240</f>
        <v>0</v>
      </c>
      <c r="F252" s="47"/>
    </row>
    <row r="253" spans="1:6" x14ac:dyDescent="0.25">
      <c r="A253" s="70" t="s">
        <v>154</v>
      </c>
      <c r="B253" s="71"/>
      <c r="C253" s="76"/>
      <c r="D253" s="62">
        <f>COUNTIFS('Données '!$A:$A,"SEPTEMBRE",'Données '!$O:$O,"Aorte")</f>
        <v>0</v>
      </c>
      <c r="E253" s="191">
        <f t="shared" si="6"/>
        <v>0</v>
      </c>
      <c r="F253" s="47"/>
    </row>
    <row r="254" spans="1:6" x14ac:dyDescent="0.25">
      <c r="A254" s="72" t="s">
        <v>152</v>
      </c>
      <c r="B254" s="73"/>
      <c r="C254" s="77"/>
      <c r="D254" s="62">
        <f>SUM($D255:$D256)</f>
        <v>0</v>
      </c>
      <c r="E254" s="191">
        <f t="shared" si="6"/>
        <v>0</v>
      </c>
      <c r="F254" s="47"/>
    </row>
    <row r="255" spans="1:6" x14ac:dyDescent="0.25">
      <c r="A255" s="51"/>
      <c r="B255" s="52"/>
      <c r="C255" s="52" t="s">
        <v>45</v>
      </c>
      <c r="D255" s="79">
        <f>COUNTIFS('Données '!$A:$A,"SEPTEMBRE",'Données '!$O:$O,"LVAD")</f>
        <v>0</v>
      </c>
      <c r="E255" s="191">
        <f>D255/D240</f>
        <v>0</v>
      </c>
      <c r="F255" s="47"/>
    </row>
    <row r="256" spans="1:6" ht="15.75" thickBot="1" x14ac:dyDescent="0.3">
      <c r="A256" s="55"/>
      <c r="B256" s="56"/>
      <c r="C256" s="56" t="s">
        <v>151</v>
      </c>
      <c r="D256" s="118">
        <f>COUNTIFS('Données '!$A:$A,"SEPTEMBRE",'Données '!$O:$O,"HTX")</f>
        <v>0</v>
      </c>
      <c r="E256" s="193">
        <f>D256/D240</f>
        <v>0</v>
      </c>
      <c r="F256" s="47"/>
    </row>
    <row r="257" spans="1:6" x14ac:dyDescent="0.25">
      <c r="A257" s="31" t="s">
        <v>169</v>
      </c>
      <c r="B257" s="32"/>
      <c r="C257" s="33"/>
      <c r="D257" s="28">
        <f>COUNTIFS('Données '!$A:$A,"SEPTEMBRE",'Données '!$Y:$Y,1)</f>
        <v>0</v>
      </c>
      <c r="E257" s="123">
        <f>D257/D240</f>
        <v>0</v>
      </c>
      <c r="F257" s="47"/>
    </row>
    <row r="258" spans="1:6" x14ac:dyDescent="0.25">
      <c r="A258" s="53" t="s">
        <v>149</v>
      </c>
      <c r="B258" s="54"/>
      <c r="C258" s="54"/>
      <c r="D258" s="62">
        <f>COUNTIFS('Données '!$A:$A,"SEPTEMBRE",'Données '!$AN:$AN,"DECEASED")</f>
        <v>0</v>
      </c>
      <c r="E258" s="60">
        <f>D258/D240</f>
        <v>0</v>
      </c>
      <c r="F258" s="47"/>
    </row>
    <row r="259" spans="1:6" x14ac:dyDescent="0.25">
      <c r="A259" s="49" t="s">
        <v>150</v>
      </c>
      <c r="B259" s="50"/>
      <c r="C259" s="50"/>
      <c r="D259" s="74">
        <v>3.1</v>
      </c>
      <c r="E259" s="61"/>
      <c r="F259" s="47" t="s">
        <v>266</v>
      </c>
    </row>
    <row r="260" spans="1:6" x14ac:dyDescent="0.25">
      <c r="A260" s="49" t="s">
        <v>167</v>
      </c>
      <c r="B260" s="50"/>
      <c r="C260" s="50"/>
      <c r="D260" s="74">
        <v>10.9</v>
      </c>
      <c r="E260" s="61"/>
      <c r="F260" s="47" t="s">
        <v>266</v>
      </c>
    </row>
    <row r="261" spans="1:6" x14ac:dyDescent="0.25">
      <c r="A261" s="49" t="s">
        <v>285</v>
      </c>
      <c r="B261" s="50"/>
      <c r="C261" s="50"/>
      <c r="D261" s="74">
        <f>COUNTIFS('Données '!$A:$A,"SEPTEMBRE",'Données '!$AB:$AB,1,'Données '!$O:$O,"&lt;&gt;LVAD",'Données '!$O:$O,"&lt;&gt;HTX")</f>
        <v>0</v>
      </c>
      <c r="E261" s="60">
        <f>D261/22</f>
        <v>0</v>
      </c>
      <c r="F261" s="47" t="s">
        <v>266</v>
      </c>
    </row>
    <row r="262" spans="1:6" x14ac:dyDescent="0.25">
      <c r="A262" s="49" t="s">
        <v>221</v>
      </c>
      <c r="B262" s="50"/>
      <c r="C262" s="50"/>
      <c r="D262" s="74">
        <f>COUNTIFS('Données '!$A:$A,"SEPTEMBRE",'Données '!$AD:$AD,1,'Données '!$O:$O,"&lt;&gt;LVAD",'Données '!$O:$O,"&lt;&gt;HTX")</f>
        <v>0</v>
      </c>
      <c r="E262" s="60">
        <f>D262/22</f>
        <v>0</v>
      </c>
      <c r="F262" s="47" t="s">
        <v>266</v>
      </c>
    </row>
    <row r="263" spans="1:6" x14ac:dyDescent="0.25">
      <c r="A263" s="25" t="s">
        <v>222</v>
      </c>
      <c r="B263" s="26"/>
      <c r="C263" s="26"/>
      <c r="D263" s="74">
        <f>COUNTIFS('Données '!$A:$A,"SEPTEMBRE",'Données '!$AI:$AI,"&lt;&gt;0",'Données '!$O:$O,"&lt;&gt;LVAD",'Données '!$O:$O,"&lt;&gt;HTX")</f>
        <v>0</v>
      </c>
      <c r="E263" s="60">
        <f>D263/22</f>
        <v>0</v>
      </c>
      <c r="F263" s="47" t="s">
        <v>266</v>
      </c>
    </row>
    <row r="264" spans="1:6" ht="15.75" thickBot="1" x14ac:dyDescent="0.3">
      <c r="A264" s="57" t="s">
        <v>223</v>
      </c>
      <c r="B264" s="58"/>
      <c r="C264" s="58"/>
      <c r="D264" s="164">
        <v>5.3</v>
      </c>
      <c r="E264" s="27"/>
      <c r="F264" s="47" t="s">
        <v>266</v>
      </c>
    </row>
    <row r="265" spans="1:6" x14ac:dyDescent="0.25">
      <c r="A265" s="47"/>
      <c r="B265" s="47"/>
      <c r="C265" s="47"/>
      <c r="D265" s="47"/>
      <c r="E265" s="47"/>
      <c r="F265" s="47"/>
    </row>
    <row r="267" spans="1:6" ht="15.75" thickBot="1" x14ac:dyDescent="0.3"/>
    <row r="268" spans="1:6" ht="15.75" thickBot="1" x14ac:dyDescent="0.3">
      <c r="A268" s="310">
        <v>43009</v>
      </c>
      <c r="B268" s="311"/>
      <c r="C268" s="312"/>
      <c r="D268" s="63" t="s">
        <v>144</v>
      </c>
      <c r="E268" s="64" t="s">
        <v>145</v>
      </c>
      <c r="F268" s="47"/>
    </row>
    <row r="269" spans="1:6" x14ac:dyDescent="0.25">
      <c r="A269" s="68" t="s">
        <v>184</v>
      </c>
      <c r="B269" s="69"/>
      <c r="C269" s="75"/>
      <c r="D269" s="115">
        <f>COUNTIFS('Données '!$A:$A,"OCTOBRE")</f>
        <v>32</v>
      </c>
      <c r="E269" s="59"/>
      <c r="F269" s="47"/>
    </row>
    <row r="270" spans="1:6" x14ac:dyDescent="0.25">
      <c r="A270" s="44" t="s">
        <v>202</v>
      </c>
      <c r="B270" s="45"/>
      <c r="C270" s="45"/>
      <c r="D270" s="74">
        <f>COUNTIFS('Données '!$A:$A,"OCTOBRE",'Données '!$F:$F,1)</f>
        <v>0</v>
      </c>
      <c r="E270" s="46"/>
      <c r="F270" s="47"/>
    </row>
    <row r="271" spans="1:6" x14ac:dyDescent="0.25">
      <c r="A271" s="44" t="s">
        <v>220</v>
      </c>
      <c r="B271" s="45"/>
      <c r="C271" s="45"/>
      <c r="D271" s="74">
        <f>COUNTIFS('Données '!$A:$A,"OCTOBRE",'Données '!$BW:$BW,"OUI")</f>
        <v>0</v>
      </c>
      <c r="E271" s="112">
        <f>D271/D269</f>
        <v>0</v>
      </c>
      <c r="F271" s="47"/>
    </row>
    <row r="272" spans="1:6" x14ac:dyDescent="0.25">
      <c r="A272" s="70" t="s">
        <v>146</v>
      </c>
      <c r="B272" s="71"/>
      <c r="C272" s="71"/>
      <c r="D272" s="74">
        <f>COUNTIFS('Données '!$A:$A,"OCTOBRE",'Données '!$O:$O,"CABG")</f>
        <v>0</v>
      </c>
      <c r="E272" s="60">
        <f>D272/D269</f>
        <v>0</v>
      </c>
      <c r="F272" s="47"/>
    </row>
    <row r="273" spans="1:6" x14ac:dyDescent="0.25">
      <c r="A273" s="66" t="s">
        <v>147</v>
      </c>
      <c r="B273" s="67"/>
      <c r="C273" s="67"/>
      <c r="D273" s="74">
        <f>SUM(D274:D279)</f>
        <v>0</v>
      </c>
      <c r="E273" s="60">
        <f>D273/D269</f>
        <v>0</v>
      </c>
      <c r="F273" s="47"/>
    </row>
    <row r="274" spans="1:6" x14ac:dyDescent="0.25">
      <c r="A274" s="51"/>
      <c r="B274" s="52"/>
      <c r="C274" s="52" t="s">
        <v>1</v>
      </c>
      <c r="D274" s="79">
        <f>COUNTIFS('Données '!$A:$A,"OCTOBRE",'Données '!$R:$R,"AVR")</f>
        <v>0</v>
      </c>
      <c r="E274" s="78" t="str">
        <f>IFERROR(D274/D$273,"")</f>
        <v/>
      </c>
      <c r="F274" s="47"/>
    </row>
    <row r="275" spans="1:6" x14ac:dyDescent="0.25">
      <c r="A275" s="51"/>
      <c r="B275" s="52"/>
      <c r="C275" s="52" t="s">
        <v>72</v>
      </c>
      <c r="D275" s="79">
        <f>COUNTIFS('Données '!$A:$A,"OCTOBRE",'Données '!$R:$R,"TVR")</f>
        <v>0</v>
      </c>
      <c r="E275" s="78" t="str">
        <f t="shared" ref="E275:E279" si="7">IFERROR(D275/D$273,"")</f>
        <v/>
      </c>
      <c r="F275" s="47"/>
    </row>
    <row r="276" spans="1:6" x14ac:dyDescent="0.25">
      <c r="A276" s="51"/>
      <c r="B276" s="52"/>
      <c r="C276" s="52" t="s">
        <v>62</v>
      </c>
      <c r="D276" s="79">
        <f>COUNTIFS('Données '!$A:$A,"OCTOBRE",'Données '!$R:$R,"TVP")</f>
        <v>0</v>
      </c>
      <c r="E276" s="78" t="str">
        <f t="shared" si="7"/>
        <v/>
      </c>
      <c r="F276" s="47"/>
    </row>
    <row r="277" spans="1:6" x14ac:dyDescent="0.25">
      <c r="A277" s="51"/>
      <c r="B277" s="52"/>
      <c r="C277" s="52" t="s">
        <v>64</v>
      </c>
      <c r="D277" s="79">
        <f>COUNTIFS('Données '!$A:$A,"OCTOBRE",'Données '!$R:$R,"MVR")</f>
        <v>0</v>
      </c>
      <c r="E277" s="78" t="str">
        <f t="shared" si="7"/>
        <v/>
      </c>
      <c r="F277" s="47"/>
    </row>
    <row r="278" spans="1:6" x14ac:dyDescent="0.25">
      <c r="A278" s="51"/>
      <c r="B278" s="52"/>
      <c r="C278" s="52" t="s">
        <v>63</v>
      </c>
      <c r="D278" s="79">
        <f>COUNTIFS('Données '!$A:$A,"OCTOBRE",'Données '!$R:$R,"MVP")</f>
        <v>0</v>
      </c>
      <c r="E278" s="78" t="str">
        <f t="shared" si="7"/>
        <v/>
      </c>
      <c r="F278" s="47"/>
    </row>
    <row r="279" spans="1:6" x14ac:dyDescent="0.25">
      <c r="A279" s="53"/>
      <c r="B279" s="54"/>
      <c r="C279" s="54" t="s">
        <v>148</v>
      </c>
      <c r="D279" s="79">
        <f>COUNTIFS('Données '!$A:$A,"OCTOBRE",'Données '!$R:$R,"2 V ou plus")</f>
        <v>0</v>
      </c>
      <c r="E279" s="78" t="str">
        <f t="shared" si="7"/>
        <v/>
      </c>
      <c r="F279" s="47"/>
    </row>
    <row r="280" spans="1:6" x14ac:dyDescent="0.25">
      <c r="A280" s="70" t="s">
        <v>180</v>
      </c>
      <c r="B280" s="71"/>
      <c r="C280" s="76"/>
      <c r="D280" s="62">
        <f>COUNTIFS('Données '!$A:$A,"OCTOBRE",'Données '!$Q:$Q,"CABG + V")</f>
        <v>0</v>
      </c>
      <c r="E280" s="191">
        <f>IFERROR(D280/D$269,"")</f>
        <v>0</v>
      </c>
      <c r="F280" s="47"/>
    </row>
    <row r="281" spans="1:6" x14ac:dyDescent="0.25">
      <c r="A281" s="70" t="s">
        <v>181</v>
      </c>
      <c r="B281" s="71"/>
      <c r="C281" s="76"/>
      <c r="D281" s="62">
        <f>COUNTIFS('Données '!$A:$A,"OCTOBRE",'Données '!$O:$O,"Autre")</f>
        <v>0</v>
      </c>
      <c r="E281" s="191">
        <f t="shared" ref="E281:E283" si="8">IFERROR(D281/D$269,"")</f>
        <v>0</v>
      </c>
      <c r="F281" s="47"/>
    </row>
    <row r="282" spans="1:6" x14ac:dyDescent="0.25">
      <c r="A282" s="70" t="s">
        <v>154</v>
      </c>
      <c r="B282" s="71"/>
      <c r="C282" s="76"/>
      <c r="D282" s="62">
        <f>COUNTIFS('Données '!$A:$A,"OCTOBRE",'Données '!$O:$O,"Aorte")</f>
        <v>0</v>
      </c>
      <c r="E282" s="191">
        <f t="shared" si="8"/>
        <v>0</v>
      </c>
      <c r="F282" s="47"/>
    </row>
    <row r="283" spans="1:6" x14ac:dyDescent="0.25">
      <c r="A283" s="72" t="s">
        <v>152</v>
      </c>
      <c r="B283" s="73"/>
      <c r="C283" s="77"/>
      <c r="D283" s="62">
        <f>SUM($D284:$D285)</f>
        <v>0</v>
      </c>
      <c r="E283" s="191">
        <f t="shared" si="8"/>
        <v>0</v>
      </c>
      <c r="F283" s="47"/>
    </row>
    <row r="284" spans="1:6" x14ac:dyDescent="0.25">
      <c r="A284" s="51"/>
      <c r="B284" s="52"/>
      <c r="C284" s="52" t="s">
        <v>45</v>
      </c>
      <c r="D284" s="79">
        <f>COUNTIFS('Données '!$A:$A,"OCTOBRE",'Données '!$O:$O,"LVAD")</f>
        <v>0</v>
      </c>
      <c r="E284" s="78">
        <f>D284/D269</f>
        <v>0</v>
      </c>
      <c r="F284" s="47"/>
    </row>
    <row r="285" spans="1:6" ht="15.75" thickBot="1" x14ac:dyDescent="0.3">
      <c r="A285" s="55"/>
      <c r="B285" s="56"/>
      <c r="C285" s="56" t="s">
        <v>151</v>
      </c>
      <c r="D285" s="118">
        <f>COUNTIFS('Données '!$A:$A,"OCTOBRE",'Données '!$O:$O,"HTX")</f>
        <v>0</v>
      </c>
      <c r="E285" s="119">
        <f>D285/D269</f>
        <v>0</v>
      </c>
      <c r="F285" s="47"/>
    </row>
    <row r="286" spans="1:6" x14ac:dyDescent="0.25">
      <c r="A286" s="31" t="s">
        <v>169</v>
      </c>
      <c r="B286" s="32"/>
      <c r="C286" s="33"/>
      <c r="D286" s="28">
        <f>COUNTIFS('Données '!$A:$A,"OCTOBRE",'Données '!$Y:$Y,1)</f>
        <v>0</v>
      </c>
      <c r="E286" s="123">
        <f>D286/D269</f>
        <v>0</v>
      </c>
      <c r="F286" s="47"/>
    </row>
    <row r="287" spans="1:6" x14ac:dyDescent="0.25">
      <c r="A287" s="53" t="s">
        <v>149</v>
      </c>
      <c r="B287" s="54"/>
      <c r="C287" s="54"/>
      <c r="D287" s="62">
        <f>COUNTIFS('Données '!$A:$A,"OCTOBRE",'Données '!$AN:$AN,"DECEASED")</f>
        <v>0</v>
      </c>
      <c r="E287" s="60">
        <f>D287/D269</f>
        <v>0</v>
      </c>
      <c r="F287" s="47"/>
    </row>
    <row r="288" spans="1:6" x14ac:dyDescent="0.25">
      <c r="A288" s="49" t="s">
        <v>150</v>
      </c>
      <c r="B288" s="50"/>
      <c r="C288" s="50"/>
      <c r="D288" s="74">
        <v>3.3</v>
      </c>
      <c r="E288" s="61"/>
      <c r="F288" s="47" t="s">
        <v>266</v>
      </c>
    </row>
    <row r="289" spans="1:6" x14ac:dyDescent="0.25">
      <c r="A289" s="49" t="s">
        <v>167</v>
      </c>
      <c r="B289" s="50"/>
      <c r="C289" s="50"/>
      <c r="D289" s="74">
        <v>10.199999999999999</v>
      </c>
      <c r="E289" s="61"/>
      <c r="F289" s="47" t="s">
        <v>266</v>
      </c>
    </row>
    <row r="290" spans="1:6" x14ac:dyDescent="0.25">
      <c r="A290" s="49" t="s">
        <v>285</v>
      </c>
      <c r="B290" s="50"/>
      <c r="C290" s="50"/>
      <c r="D290" s="74">
        <f>COUNTIFS('Données '!$A:$A,"OCTOBRE",'Données '!$AB:$AB,1,'Données '!$O:$O,"&lt;&gt;LVAD",'Données '!$O:$O,"&lt;&gt;HTX")</f>
        <v>0</v>
      </c>
      <c r="E290" s="60">
        <f>D290/30</f>
        <v>0</v>
      </c>
      <c r="F290" s="47" t="s">
        <v>266</v>
      </c>
    </row>
    <row r="291" spans="1:6" x14ac:dyDescent="0.25">
      <c r="A291" s="49" t="s">
        <v>221</v>
      </c>
      <c r="B291" s="50"/>
      <c r="C291" s="50"/>
      <c r="D291" s="74">
        <f>COUNTIFS('Données '!$A:$A,"OCTOBRE",'Données '!$AD:$AD,1,'Données '!$O:$O,"&lt;&gt;LVAD",'Données '!$O:$O,"&lt;&gt;HTX")</f>
        <v>0</v>
      </c>
      <c r="E291" s="60">
        <f>D291/30</f>
        <v>0</v>
      </c>
      <c r="F291" s="47" t="s">
        <v>266</v>
      </c>
    </row>
    <row r="292" spans="1:6" x14ac:dyDescent="0.25">
      <c r="A292" s="25" t="s">
        <v>222</v>
      </c>
      <c r="B292" s="26"/>
      <c r="C292" s="26"/>
      <c r="D292" s="74">
        <f>COUNTIFS('Données '!$A:$A,"OCTOBRE",'Données '!$AI:$AI,"&lt;&gt;0",'Données '!$O:$O,"&lt;&gt;LVAD",'Données '!$O:$O,"&lt;&gt;HTX")</f>
        <v>0</v>
      </c>
      <c r="E292" s="60">
        <f>D292/30</f>
        <v>0</v>
      </c>
      <c r="F292" s="47" t="s">
        <v>266</v>
      </c>
    </row>
    <row r="293" spans="1:6" ht="15.75" thickBot="1" x14ac:dyDescent="0.3">
      <c r="A293" s="57" t="s">
        <v>223</v>
      </c>
      <c r="B293" s="58"/>
      <c r="C293" s="58"/>
      <c r="D293" s="164">
        <v>7.3</v>
      </c>
      <c r="E293" s="27"/>
      <c r="F293" s="47" t="s">
        <v>266</v>
      </c>
    </row>
  </sheetData>
  <mergeCells count="13">
    <mergeCell ref="A65:C65"/>
    <mergeCell ref="A94:C94"/>
    <mergeCell ref="A123:C123"/>
    <mergeCell ref="A1:E1"/>
    <mergeCell ref="A2:E2"/>
    <mergeCell ref="A3:E3"/>
    <mergeCell ref="A36:C36"/>
    <mergeCell ref="A7:C7"/>
    <mergeCell ref="A210:C210"/>
    <mergeCell ref="A239:C239"/>
    <mergeCell ref="A268:C268"/>
    <mergeCell ref="A181:C181"/>
    <mergeCell ref="A152:C15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0.39997558519241921"/>
  </sheetPr>
  <dimension ref="A1:F338"/>
  <sheetViews>
    <sheetView topLeftCell="A299" zoomScaleNormal="100" workbookViewId="0">
      <selection activeCell="D313" sqref="D313"/>
    </sheetView>
  </sheetViews>
  <sheetFormatPr baseColWidth="10" defaultColWidth="11.42578125" defaultRowHeight="15" x14ac:dyDescent="0.25"/>
  <cols>
    <col min="1" max="1" width="15.5703125" customWidth="1"/>
    <col min="2" max="2" width="11.42578125" customWidth="1"/>
    <col min="3" max="3" width="35.85546875" bestFit="1" customWidth="1"/>
    <col min="6" max="6" width="13.140625" customWidth="1"/>
    <col min="9" max="9" width="21" customWidth="1"/>
    <col min="10" max="10" width="20.7109375" customWidth="1"/>
    <col min="11" max="11" width="12.5703125" bestFit="1" customWidth="1"/>
    <col min="12" max="13" width="10.5703125" customWidth="1"/>
    <col min="14" max="14" width="9" customWidth="1"/>
    <col min="15" max="15" width="9.42578125" customWidth="1"/>
    <col min="16" max="16" width="8.85546875" customWidth="1"/>
    <col min="17" max="17" width="10.42578125" customWidth="1"/>
    <col min="18" max="18" width="9.5703125" customWidth="1"/>
    <col min="19" max="19" width="9" customWidth="1"/>
    <col min="20" max="20" width="9.5703125" customWidth="1"/>
    <col min="21" max="21" width="8.85546875" customWidth="1"/>
    <col min="22" max="22" width="6.28515625" customWidth="1"/>
    <col min="23" max="23" width="1.42578125" customWidth="1"/>
    <col min="24" max="24" width="12.5703125" bestFit="1" customWidth="1"/>
  </cols>
  <sheetData>
    <row r="1" spans="1:6" ht="23.25" x14ac:dyDescent="0.35">
      <c r="A1" s="313" t="s">
        <v>143</v>
      </c>
      <c r="B1" s="314"/>
      <c r="C1" s="314"/>
      <c r="D1" s="314"/>
      <c r="E1" s="315"/>
      <c r="F1" s="29"/>
    </row>
    <row r="2" spans="1:6" ht="23.25" x14ac:dyDescent="0.35">
      <c r="A2" s="316" t="s">
        <v>177</v>
      </c>
      <c r="B2" s="317"/>
      <c r="C2" s="317"/>
      <c r="D2" s="317"/>
      <c r="E2" s="318"/>
      <c r="F2" s="29"/>
    </row>
    <row r="3" spans="1:6" ht="18.75" x14ac:dyDescent="0.3">
      <c r="A3" s="319" t="s">
        <v>215</v>
      </c>
      <c r="B3" s="320"/>
      <c r="C3" s="320"/>
      <c r="D3" s="320"/>
      <c r="E3" s="321"/>
      <c r="F3" s="30"/>
    </row>
    <row r="4" spans="1:6" ht="19.5" thickBot="1" x14ac:dyDescent="0.35">
      <c r="A4" s="150"/>
      <c r="B4" s="151"/>
      <c r="C4" s="151"/>
      <c r="D4" s="151"/>
      <c r="E4" s="152"/>
      <c r="F4" s="30"/>
    </row>
    <row r="5" spans="1:6" ht="18.75" x14ac:dyDescent="0.3">
      <c r="A5" s="149"/>
      <c r="B5" s="149"/>
      <c r="C5" s="149"/>
      <c r="D5" s="149"/>
      <c r="E5" s="149"/>
      <c r="F5" s="30"/>
    </row>
    <row r="6" spans="1:6" ht="19.5" thickBot="1" x14ac:dyDescent="0.35">
      <c r="A6" s="149"/>
      <c r="B6" s="149"/>
      <c r="C6" s="149"/>
      <c r="D6" s="149"/>
      <c r="E6" s="149"/>
      <c r="F6" s="30"/>
    </row>
    <row r="7" spans="1:6" ht="19.5" thickBot="1" x14ac:dyDescent="0.35">
      <c r="A7" s="310" t="s">
        <v>231</v>
      </c>
      <c r="B7" s="311"/>
      <c r="C7" s="312"/>
      <c r="D7" s="140" t="s">
        <v>144</v>
      </c>
      <c r="E7" s="141" t="s">
        <v>145</v>
      </c>
      <c r="F7" s="30"/>
    </row>
    <row r="8" spans="1:6" ht="18.75" x14ac:dyDescent="0.3">
      <c r="A8" s="68" t="s">
        <v>184</v>
      </c>
      <c r="B8" s="69"/>
      <c r="C8" s="75"/>
      <c r="D8" s="113">
        <f>COUNTIFS('Données '!$A:$A,"JANVIER")+COUNTIFS('Données '!$A:$A,"FEVRIER")</f>
        <v>56</v>
      </c>
      <c r="E8" s="59"/>
      <c r="F8" s="30"/>
    </row>
    <row r="9" spans="1:6" ht="16.5" customHeight="1" x14ac:dyDescent="0.3">
      <c r="A9" s="44" t="s">
        <v>176</v>
      </c>
      <c r="B9" s="45"/>
      <c r="C9" s="45"/>
      <c r="D9" s="135">
        <v>56</v>
      </c>
      <c r="E9" s="46"/>
      <c r="F9" s="30"/>
    </row>
    <row r="10" spans="1:6" ht="18.75" x14ac:dyDescent="0.3">
      <c r="A10" s="44" t="s">
        <v>220</v>
      </c>
      <c r="B10" s="45"/>
      <c r="C10" s="45"/>
      <c r="D10" s="147">
        <f>COUNTIFS('Données '!$A:$A,"JANVIER",'Données '!$BW:$BW,"OUI")+COUNTIFS('Données '!$A:$A,"FEVRIER",'Données '!$BW:$BW,"OUI")</f>
        <v>0</v>
      </c>
      <c r="E10" s="112">
        <f>D10/D9</f>
        <v>0</v>
      </c>
      <c r="F10" s="30"/>
    </row>
    <row r="11" spans="1:6" x14ac:dyDescent="0.25">
      <c r="A11" s="44" t="s">
        <v>203</v>
      </c>
      <c r="B11" s="45"/>
      <c r="C11" s="45"/>
      <c r="D11" s="148">
        <f>COUNTIFS('Données '!$A:$A,"JANVIER",'Données '!$F:$F,1)+COUNTIFS('Données '!$A:$A,"FEVRIER",'Données '!$F:$F,1)</f>
        <v>0</v>
      </c>
      <c r="E11" s="112">
        <f>D11/D9</f>
        <v>0</v>
      </c>
      <c r="F11" s="47"/>
    </row>
    <row r="12" spans="1:6" x14ac:dyDescent="0.25">
      <c r="A12" s="70" t="s">
        <v>146</v>
      </c>
      <c r="B12" s="71"/>
      <c r="C12" s="71"/>
      <c r="D12" s="103">
        <f>COUNTIFS('Données '!$A:$A,"JANVIER",'Données '!$O:$O,"CABG")+COUNTIFS('Données '!$A:$A,"FEVRIER",'Données '!$O:$O,"CABG")</f>
        <v>0</v>
      </c>
      <c r="E12" s="60">
        <f>D12/D8</f>
        <v>0</v>
      </c>
      <c r="F12" s="47"/>
    </row>
    <row r="13" spans="1:6" x14ac:dyDescent="0.25">
      <c r="A13" s="66" t="s">
        <v>147</v>
      </c>
      <c r="B13" s="67"/>
      <c r="C13" s="67"/>
      <c r="D13" s="108">
        <f>SUM(D14:D19)</f>
        <v>0</v>
      </c>
      <c r="E13" s="60">
        <f>D13/D8</f>
        <v>0</v>
      </c>
      <c r="F13" s="47"/>
    </row>
    <row r="14" spans="1:6" x14ac:dyDescent="0.25">
      <c r="A14" s="51"/>
      <c r="B14" s="52"/>
      <c r="C14" s="52" t="s">
        <v>1</v>
      </c>
      <c r="D14" s="117">
        <f>COUNTIFS('Données '!$A:$A,"JANVIER",'Données '!$R:$R,"AVR")+COUNTIFS('Données '!$A:$A,"FEVRIER",'Données '!$R:$R,"AVR")</f>
        <v>0</v>
      </c>
      <c r="E14" s="78" t="str">
        <f>IFERROR(D14/D13,"")</f>
        <v/>
      </c>
      <c r="F14" s="47"/>
    </row>
    <row r="15" spans="1:6" x14ac:dyDescent="0.25">
      <c r="A15" s="51"/>
      <c r="B15" s="52"/>
      <c r="C15" s="52" t="s">
        <v>72</v>
      </c>
      <c r="D15" s="117">
        <f>COUNTIFS('Données '!$A:$A,"JANVIER",'Données '!$R:$R,"TVR")+COUNTIFS('Données '!$A:$A,"FEVRIER",'Données '!$R:$R,"TVR")</f>
        <v>0</v>
      </c>
      <c r="E15" s="78" t="str">
        <f>IFERROR(D15/D13,"")</f>
        <v/>
      </c>
      <c r="F15" s="47"/>
    </row>
    <row r="16" spans="1:6" x14ac:dyDescent="0.25">
      <c r="A16" s="51"/>
      <c r="B16" s="52"/>
      <c r="C16" s="52" t="s">
        <v>62</v>
      </c>
      <c r="D16" s="117">
        <f>COUNTIFS('Données '!$A:$A,"JANVIER",'Données '!$R:$R,"TVP")+COUNTIFS('Données '!$A:$A,"FEVRIER",'Données '!$R:$R,"TVP")</f>
        <v>0</v>
      </c>
      <c r="E16" s="78" t="str">
        <f>IFERROR(D16/D13,"")</f>
        <v/>
      </c>
      <c r="F16" s="47"/>
    </row>
    <row r="17" spans="1:6" x14ac:dyDescent="0.25">
      <c r="A17" s="51"/>
      <c r="B17" s="52"/>
      <c r="C17" s="52" t="s">
        <v>64</v>
      </c>
      <c r="D17" s="117">
        <f>COUNTIFS('Données '!$A:$A,"JANVIER",'Données '!$R:$R,"MVR")+COUNTIFS('Données '!$A:$A,"FEVRIER",'Données '!$R:$R,"MVR")</f>
        <v>0</v>
      </c>
      <c r="E17" s="78" t="str">
        <f>IFERROR(D17/D13,"")</f>
        <v/>
      </c>
      <c r="F17" s="47"/>
    </row>
    <row r="18" spans="1:6" x14ac:dyDescent="0.25">
      <c r="A18" s="51"/>
      <c r="B18" s="52"/>
      <c r="C18" s="52" t="s">
        <v>63</v>
      </c>
      <c r="D18" s="117">
        <f>COUNTIFS('Données '!$A:$A,"JANVIER",'Données '!$R:$R,"MVP")+COUNTIFS('Données '!$A:$A,"FEVRIER",'Données '!$R:$R,"MVP")</f>
        <v>0</v>
      </c>
      <c r="E18" s="78" t="str">
        <f>IFERROR(D18/D13,"")</f>
        <v/>
      </c>
      <c r="F18" s="47"/>
    </row>
    <row r="19" spans="1:6" x14ac:dyDescent="0.25">
      <c r="A19" s="53"/>
      <c r="B19" s="54"/>
      <c r="C19" s="54" t="s">
        <v>148</v>
      </c>
      <c r="D19" s="117">
        <f>COUNTIFS('Données '!$A:$A,"JANVIER",'Données '!$R:$R,"2 V ou plus")+COUNTIFS('Données '!$A:$A,"FEVRIER",'Données '!$R:$R,"2 V ou plus")</f>
        <v>0</v>
      </c>
      <c r="E19" s="78" t="str">
        <f>IFERROR(D19/D13,"")</f>
        <v/>
      </c>
      <c r="F19" s="47"/>
    </row>
    <row r="20" spans="1:6" x14ac:dyDescent="0.25">
      <c r="A20" s="70" t="s">
        <v>180</v>
      </c>
      <c r="B20" s="71"/>
      <c r="C20" s="76"/>
      <c r="D20" s="103">
        <f>COUNTIFS('Données '!$A:$A,"JANVIER",'Données '!$O:$O,"CABG +*")+COUNTIFS('Données '!$A:$A,"FEVRIER",'Données '!$O:$O,"CABG +*")</f>
        <v>0</v>
      </c>
      <c r="E20" s="60">
        <f>D20/D8</f>
        <v>0</v>
      </c>
      <c r="F20" s="47"/>
    </row>
    <row r="21" spans="1:6" x14ac:dyDescent="0.25">
      <c r="A21" s="70" t="s">
        <v>154</v>
      </c>
      <c r="B21" s="71"/>
      <c r="C21" s="76"/>
      <c r="D21" s="103">
        <f>COUNTIFS('Données '!$A:$A,"JANVIER",'Données '!$O:$O,"Aorte")+COUNTIFS('Données '!$A:$A,"FEVRIER",'Données '!$O:$O,"Aorte")</f>
        <v>0</v>
      </c>
      <c r="E21" s="60">
        <f>D21/D8</f>
        <v>0</v>
      </c>
      <c r="F21" s="47"/>
    </row>
    <row r="22" spans="1:6" x14ac:dyDescent="0.25">
      <c r="A22" s="70" t="s">
        <v>181</v>
      </c>
      <c r="B22" s="71"/>
      <c r="C22" s="76"/>
      <c r="D22" s="103">
        <f>COUNTIFS('Données '!$A:$A,"JANVIER",'Données '!$O:$O,"Autre")+COUNTIFS('Données '!$A:$A,"FEVRIER",'Données '!$O:$O,"Autre")</f>
        <v>0</v>
      </c>
      <c r="E22" s="60">
        <f>D22/D8</f>
        <v>0</v>
      </c>
      <c r="F22" s="47"/>
    </row>
    <row r="23" spans="1:6" x14ac:dyDescent="0.25">
      <c r="A23" s="72" t="s">
        <v>152</v>
      </c>
      <c r="B23" s="73"/>
      <c r="C23" s="77"/>
      <c r="D23" s="108">
        <f>SUM(D24:D25)</f>
        <v>0</v>
      </c>
      <c r="E23" s="60">
        <f>D23/D8</f>
        <v>0</v>
      </c>
      <c r="F23" s="47"/>
    </row>
    <row r="24" spans="1:6" x14ac:dyDescent="0.25">
      <c r="A24" s="51"/>
      <c r="B24" s="52"/>
      <c r="C24" s="52" t="s">
        <v>45</v>
      </c>
      <c r="D24" s="117">
        <f>COUNTIFS('Données '!$A:$A,"JANVIER",'Données '!$O:$O,"LVAD")+COUNTIFS('Données '!$A:$A,"FEVRIER",'Données '!$O:$O,"LVAD")</f>
        <v>0</v>
      </c>
      <c r="E24" s="78">
        <f>D24/D8</f>
        <v>0</v>
      </c>
      <c r="F24" s="47"/>
    </row>
    <row r="25" spans="1:6" ht="15.75" thickBot="1" x14ac:dyDescent="0.3">
      <c r="A25" s="55"/>
      <c r="B25" s="56"/>
      <c r="C25" s="56" t="s">
        <v>151</v>
      </c>
      <c r="D25" s="121">
        <f>COUNTIFS('Données '!$A:$A,"JANVIER",'Données '!$O:$O,"HTX")+COUNTIFS('Données '!$A:$A,"FEVRIER",'Données '!$O:$O,"HTX")</f>
        <v>0</v>
      </c>
      <c r="E25" s="119">
        <f>D25/D8</f>
        <v>0</v>
      </c>
      <c r="F25" s="47"/>
    </row>
    <row r="26" spans="1:6" x14ac:dyDescent="0.25">
      <c r="A26" s="24" t="s">
        <v>168</v>
      </c>
      <c r="B26" s="48"/>
      <c r="C26" s="65"/>
      <c r="D26" s="104">
        <f>COUNTIFS('Données '!$A:$A,"JANVIER",'Données '!$Y:$Y,1)+COUNTIFS('Données '!$A:$A,"FEVRIER",'Données '!$Y:$Y,1)</f>
        <v>44</v>
      </c>
      <c r="E26" s="43">
        <f>D26/D9</f>
        <v>0.7857142857142857</v>
      </c>
      <c r="F26" s="47"/>
    </row>
    <row r="27" spans="1:6" x14ac:dyDescent="0.25">
      <c r="A27" s="53" t="s">
        <v>149</v>
      </c>
      <c r="B27" s="54"/>
      <c r="C27" s="54"/>
      <c r="D27" s="103">
        <f>COUNTIFS('Données '!$A:$A,"JANVIER",'Données '!$AN:$AN,"DECEASED")+COUNTIFS('Données '!$A:$A,"FEVRIER",'Données '!$AN:$AN,"DECEASED")</f>
        <v>0</v>
      </c>
      <c r="E27" s="60">
        <f>D27/D9</f>
        <v>0</v>
      </c>
      <c r="F27" s="47"/>
    </row>
    <row r="28" spans="1:6" x14ac:dyDescent="0.25">
      <c r="A28" s="49" t="s">
        <v>150</v>
      </c>
      <c r="B28" s="50"/>
      <c r="C28" s="50"/>
      <c r="D28" s="165" t="e">
        <f>AVERAGEIF('Données '!BP2:BP57,"&lt;&gt;(Inconnu)")</f>
        <v>#DIV/0!</v>
      </c>
      <c r="E28" s="61"/>
      <c r="F28" s="47"/>
    </row>
    <row r="29" spans="1:6" x14ac:dyDescent="0.25">
      <c r="A29" s="49" t="s">
        <v>167</v>
      </c>
      <c r="B29" s="50"/>
      <c r="C29" s="50"/>
      <c r="D29" s="165" t="e">
        <f>AVERAGEIF('Données '!BM2:BM57,"&lt;&gt;(Inconnu)")</f>
        <v>#DIV/0!</v>
      </c>
      <c r="E29" s="61"/>
      <c r="F29" s="47"/>
    </row>
    <row r="30" spans="1:6" x14ac:dyDescent="0.25">
      <c r="A30" s="49" t="s">
        <v>221</v>
      </c>
      <c r="B30" s="50"/>
      <c r="C30" s="50"/>
      <c r="D30" s="166">
        <f>COUNTIFS('Données '!$A:$A,"JANVIER",'Données '!$AD:$AD,1)+COUNTIFS('Données '!$A:$A,"FEVRIER",'Données '!$AD:$AD,1)</f>
        <v>0</v>
      </c>
      <c r="E30" s="60">
        <f>D30/53</f>
        <v>0</v>
      </c>
      <c r="F30" s="47"/>
    </row>
    <row r="31" spans="1:6" x14ac:dyDescent="0.25">
      <c r="A31" s="25" t="s">
        <v>222</v>
      </c>
      <c r="B31" s="26"/>
      <c r="C31" s="26"/>
      <c r="D31" s="166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</f>
        <v>13</v>
      </c>
      <c r="E31" s="60">
        <f>D31/53</f>
        <v>0.24528301886792453</v>
      </c>
      <c r="F31" s="47"/>
    </row>
    <row r="32" spans="1:6" ht="15.75" thickBot="1" x14ac:dyDescent="0.3">
      <c r="A32" s="57" t="s">
        <v>223</v>
      </c>
      <c r="B32" s="58"/>
      <c r="C32" s="58"/>
      <c r="D32" s="167">
        <v>6.5</v>
      </c>
      <c r="E32" s="27"/>
      <c r="F32" s="47"/>
    </row>
    <row r="33" spans="1:6" ht="18.75" x14ac:dyDescent="0.3">
      <c r="A33" s="139"/>
      <c r="B33" s="139"/>
      <c r="C33" s="139"/>
      <c r="D33" s="139"/>
      <c r="E33" s="139"/>
      <c r="F33" s="47"/>
    </row>
    <row r="34" spans="1:6" ht="18.75" x14ac:dyDescent="0.3">
      <c r="A34" s="139"/>
      <c r="B34" s="139"/>
      <c r="C34" s="139"/>
      <c r="D34" s="139"/>
      <c r="E34" s="139"/>
      <c r="F34" s="47"/>
    </row>
    <row r="35" spans="1:6" ht="18.75" x14ac:dyDescent="0.3">
      <c r="A35" s="139"/>
      <c r="B35" s="139"/>
      <c r="C35" s="139"/>
      <c r="D35" s="139"/>
      <c r="E35" s="139"/>
      <c r="F35" s="47"/>
    </row>
    <row r="36" spans="1:6" ht="19.5" thickBot="1" x14ac:dyDescent="0.35">
      <c r="A36" s="139"/>
      <c r="B36" s="139"/>
      <c r="C36" s="139"/>
      <c r="D36" s="139"/>
      <c r="E36" s="139"/>
      <c r="F36" s="47"/>
    </row>
    <row r="37" spans="1:6" ht="19.5" thickBot="1" x14ac:dyDescent="0.35">
      <c r="A37" s="310" t="s">
        <v>230</v>
      </c>
      <c r="B37" s="311"/>
      <c r="C37" s="312"/>
      <c r="D37" s="140" t="s">
        <v>144</v>
      </c>
      <c r="E37" s="141" t="s">
        <v>145</v>
      </c>
      <c r="F37" s="30"/>
    </row>
    <row r="38" spans="1:6" ht="18.75" x14ac:dyDescent="0.3">
      <c r="A38" s="68" t="s">
        <v>184</v>
      </c>
      <c r="B38" s="69"/>
      <c r="C38" s="75"/>
      <c r="D38" s="113">
        <f>COUNTIFS('Données '!$A:$A,"JANVIER")+COUNTIFS('Données '!$A:$A,"FEVRIER")+COUNTIFS('Données '!$A:$A,"MARS")</f>
        <v>86</v>
      </c>
      <c r="E38" s="59"/>
      <c r="F38" s="30"/>
    </row>
    <row r="39" spans="1:6" ht="18.75" x14ac:dyDescent="0.3">
      <c r="A39" s="44" t="s">
        <v>176</v>
      </c>
      <c r="B39" s="45"/>
      <c r="C39" s="45"/>
      <c r="D39" s="135">
        <v>86</v>
      </c>
      <c r="E39" s="46"/>
      <c r="F39" s="30"/>
    </row>
    <row r="40" spans="1:6" ht="18.75" x14ac:dyDescent="0.3">
      <c r="A40" s="44" t="s">
        <v>220</v>
      </c>
      <c r="B40" s="45"/>
      <c r="C40" s="45"/>
      <c r="D40" s="147">
        <f>COUNTIFS('Données '!$A:$A,"JANVIER",'Données '!$BW:$BW,"OUI")+COUNTIFS('Données '!$A:$A,"FEVRIER",'Données '!$BW:$BW,"OUI")+COUNTIFS('Données '!$A:$A,"MARS",'Données '!$BW:$BW,"OUI")</f>
        <v>0</v>
      </c>
      <c r="E40" s="112">
        <f>D40/D39</f>
        <v>0</v>
      </c>
      <c r="F40" s="30"/>
    </row>
    <row r="41" spans="1:6" x14ac:dyDescent="0.25">
      <c r="A41" s="44" t="s">
        <v>203</v>
      </c>
      <c r="B41" s="45"/>
      <c r="C41" s="45"/>
      <c r="D41" s="148">
        <f>COUNTIFS('Données '!$A:$A,"JANVIER",'Données '!$F:$F,1)+COUNTIFS('Données '!$A:$A,"FEVRIER",'Données '!$F:$F,1)+COUNTIFS('Données '!$A:$A,"MARS",'Données '!$F:$F,1)</f>
        <v>0</v>
      </c>
      <c r="E41" s="112">
        <f>D41/D39</f>
        <v>0</v>
      </c>
      <c r="F41" s="47"/>
    </row>
    <row r="42" spans="1:6" x14ac:dyDescent="0.25">
      <c r="A42" s="70" t="s">
        <v>146</v>
      </c>
      <c r="B42" s="71"/>
      <c r="C42" s="71"/>
      <c r="D42" s="103">
        <f>COUNTIFS('Données '!$A:$A,"JANVIER",'Données '!$O:$O,"CABG")+COUNTIFS('Données '!$A:$A,"FEVRIER",'Données '!$O:$O,"CABG")+COUNTIFS('Données '!$A:$A,"MARS",'Données '!$O:$O,"CABG")</f>
        <v>0</v>
      </c>
      <c r="E42" s="60">
        <f>D42/D38</f>
        <v>0</v>
      </c>
      <c r="F42" s="47"/>
    </row>
    <row r="43" spans="1:6" x14ac:dyDescent="0.25">
      <c r="A43" s="66" t="s">
        <v>147</v>
      </c>
      <c r="B43" s="67"/>
      <c r="C43" s="67"/>
      <c r="D43" s="108">
        <f>SUM(D44:D49)</f>
        <v>0</v>
      </c>
      <c r="E43" s="60">
        <f>D43/D38</f>
        <v>0</v>
      </c>
      <c r="F43" s="47"/>
    </row>
    <row r="44" spans="1:6" x14ac:dyDescent="0.25">
      <c r="A44" s="51"/>
      <c r="B44" s="52"/>
      <c r="C44" s="52" t="s">
        <v>1</v>
      </c>
      <c r="D44" s="117">
        <f>COUNTIFS('Données '!$A:$A,"JANVIER",'Données '!$R:$R,"AVR")+COUNTIFS('Données '!$A:$A,"FEVRIER",'Données '!$R:$R,"AVR")+COUNTIFS('Données '!$A:$A,"MARS",'Données '!$R:$R,"AVR")</f>
        <v>0</v>
      </c>
      <c r="E44" s="78" t="str">
        <f>IFERROR(D44/D43,"")</f>
        <v/>
      </c>
      <c r="F44" s="47"/>
    </row>
    <row r="45" spans="1:6" x14ac:dyDescent="0.25">
      <c r="A45" s="51"/>
      <c r="B45" s="52"/>
      <c r="C45" s="52" t="s">
        <v>72</v>
      </c>
      <c r="D45" s="117">
        <f>COUNTIFS('Données '!$A:$A,"JANVIER",'Données '!$R:$R,"TVR")+COUNTIFS('Données '!$A:$A,"FEVRIER",'Données '!$R:$R,"TVR")+COUNTIFS('Données '!$A:$A,"MARS",'Données '!$R:$R,"TVR")</f>
        <v>0</v>
      </c>
      <c r="E45" s="78" t="str">
        <f>IFERROR(D45/D43,"")</f>
        <v/>
      </c>
      <c r="F45" s="47"/>
    </row>
    <row r="46" spans="1:6" x14ac:dyDescent="0.25">
      <c r="A46" s="51"/>
      <c r="B46" s="52"/>
      <c r="C46" s="52" t="s">
        <v>62</v>
      </c>
      <c r="D46" s="117">
        <f>COUNTIFS('Données '!$A:$A,"JANVIER",'Données '!$R:$R,"TVP")+COUNTIFS('Données '!$A:$A,"FEVRIER",'Données '!$R:$R,"TVP")+COUNTIFS('Données '!$A:$A,"MARS",'Données '!$R:$R,"TVP")</f>
        <v>0</v>
      </c>
      <c r="E46" s="78" t="str">
        <f>IFERROR(D46/D43,"")</f>
        <v/>
      </c>
      <c r="F46" s="47"/>
    </row>
    <row r="47" spans="1:6" x14ac:dyDescent="0.25">
      <c r="A47" s="51"/>
      <c r="B47" s="52"/>
      <c r="C47" s="52" t="s">
        <v>64</v>
      </c>
      <c r="D47" s="117">
        <f>COUNTIFS('Données '!$A:$A,"JANVIER",'Données '!$R:$R,"MVR")+COUNTIFS('Données '!$A:$A,"FEVRIER",'Données '!$R:$R,"MVR")+COUNTIFS('Données '!$A:$A,"MARS",'Données '!$R:$R,"MVR")</f>
        <v>0</v>
      </c>
      <c r="E47" s="78" t="str">
        <f>IFERROR(D47/D43,"")</f>
        <v/>
      </c>
      <c r="F47" s="47"/>
    </row>
    <row r="48" spans="1:6" x14ac:dyDescent="0.25">
      <c r="A48" s="51"/>
      <c r="B48" s="52"/>
      <c r="C48" s="52" t="s">
        <v>63</v>
      </c>
      <c r="D48" s="117">
        <f>COUNTIFS('Données '!$A:$A,"JANVIER",'Données '!$R:$R,"MVP")+COUNTIFS('Données '!$A:$A,"FEVRIER",'Données '!$R:$R,"MVP")+COUNTIFS('Données '!$A:$A,"MARS",'Données '!$R:$R,"MVP")</f>
        <v>0</v>
      </c>
      <c r="E48" s="78" t="str">
        <f>IFERROR(D48/D43,"")</f>
        <v/>
      </c>
      <c r="F48" s="47"/>
    </row>
    <row r="49" spans="1:6" x14ac:dyDescent="0.25">
      <c r="A49" s="53"/>
      <c r="B49" s="54"/>
      <c r="C49" s="54" t="s">
        <v>148</v>
      </c>
      <c r="D49" s="117">
        <f>COUNTIFS('Données '!$A:$A,"JANVIER",'Données '!$R:$R,"2 V ou plus")+COUNTIFS('Données '!$A:$A,"FEVRIER",'Données '!$R:$R,"2 V ou plus")+COUNTIFS('Données '!$A:$A,"MARS",'Données '!$R:$R,"2 V ou plus")</f>
        <v>0</v>
      </c>
      <c r="E49" s="78" t="str">
        <f>IFERROR(D49/D43,"")</f>
        <v/>
      </c>
      <c r="F49" s="47"/>
    </row>
    <row r="50" spans="1:6" x14ac:dyDescent="0.25">
      <c r="A50" s="70" t="s">
        <v>180</v>
      </c>
      <c r="B50" s="71"/>
      <c r="C50" s="76"/>
      <c r="D50" s="103">
        <f>COUNTIFS('Données '!$A:$A,"JANVIER",'Données '!$O:$O,"CABG +*")+COUNTIFS('Données '!$A:$A,"FEVRIER",'Données '!$O:$O,"CABG +*")+COUNTIFS('Données '!$A:$A,"MARS",'Données '!$O:$O,"CABG +*")</f>
        <v>0</v>
      </c>
      <c r="E50" s="60">
        <f>D50/D38</f>
        <v>0</v>
      </c>
      <c r="F50" s="47"/>
    </row>
    <row r="51" spans="1:6" x14ac:dyDescent="0.25">
      <c r="A51" s="70" t="s">
        <v>154</v>
      </c>
      <c r="B51" s="71"/>
      <c r="C51" s="76"/>
      <c r="D51" s="103">
        <f>COUNTIFS('Données '!$A:$A,"JANVIER",'Données '!$O:$O,"Aorte")+COUNTIFS('Données '!$A:$A,"FEVRIER",'Données '!$O:$O,"Aorte")+COUNTIFS('Données '!$A:$A,"MARS",'Données '!$O:$O,"Aorte")</f>
        <v>0</v>
      </c>
      <c r="E51" s="60">
        <f>D51/D38</f>
        <v>0</v>
      </c>
      <c r="F51" s="47"/>
    </row>
    <row r="52" spans="1:6" x14ac:dyDescent="0.25">
      <c r="A52" s="70" t="s">
        <v>181</v>
      </c>
      <c r="B52" s="71"/>
      <c r="C52" s="76"/>
      <c r="D52" s="103">
        <f>COUNTIFS('Données '!$A:$A,"JANVIER",'Données '!$O:$O,"Autre")+COUNTIFS('Données '!$A:$A,"FEVRIER",'Données '!$O:$O,"Autre")+COUNTIFS('Données '!$A:$A,"MARS",'Données '!$O:$O,"Autre")</f>
        <v>0</v>
      </c>
      <c r="E52" s="60">
        <f>D52/D38</f>
        <v>0</v>
      </c>
      <c r="F52" s="47"/>
    </row>
    <row r="53" spans="1:6" x14ac:dyDescent="0.25">
      <c r="A53" s="72" t="s">
        <v>152</v>
      </c>
      <c r="B53" s="73"/>
      <c r="C53" s="77"/>
      <c r="D53" s="108">
        <f>SUM(D54:D55)</f>
        <v>0</v>
      </c>
      <c r="E53" s="60">
        <f>D53/D38</f>
        <v>0</v>
      </c>
      <c r="F53" s="47"/>
    </row>
    <row r="54" spans="1:6" x14ac:dyDescent="0.25">
      <c r="A54" s="51"/>
      <c r="B54" s="52"/>
      <c r="C54" s="52" t="s">
        <v>45</v>
      </c>
      <c r="D54" s="117">
        <f>COUNTIFS('Données '!$A:$A,"JANVIER",'Données '!$O:$O,"LVAD")+COUNTIFS('Données '!$A:$A,"FEVRIER",'Données '!$O:$O,"LVAD")+COUNTIFS('Données '!$A:$A,"MARS",'Données '!$O:$O,"LVAD")</f>
        <v>0</v>
      </c>
      <c r="E54" s="78">
        <f>D54/D38</f>
        <v>0</v>
      </c>
      <c r="F54" s="47"/>
    </row>
    <row r="55" spans="1:6" ht="15.75" thickBot="1" x14ac:dyDescent="0.3">
      <c r="A55" s="55"/>
      <c r="B55" s="56"/>
      <c r="C55" s="56" t="s">
        <v>151</v>
      </c>
      <c r="D55" s="121">
        <f>COUNTIFS('Données '!$A:$A,"JANVIER",'Données '!$O:$O,"HTX")+COUNTIFS('Données '!$A:$A,"FEVRIER",'Données '!$O:$O,"HTX")+COUNTIFS('Données '!$A:$A,"MARS",'Données '!$O:$O,"HTX")</f>
        <v>0</v>
      </c>
      <c r="E55" s="119">
        <f>D55/D38</f>
        <v>0</v>
      </c>
      <c r="F55" s="47"/>
    </row>
    <row r="56" spans="1:6" x14ac:dyDescent="0.25">
      <c r="A56" s="24" t="s">
        <v>168</v>
      </c>
      <c r="B56" s="48"/>
      <c r="C56" s="65"/>
      <c r="D56" s="104">
        <f>COUNTIFS('Données '!$A:$A,"JANVIER",'Données '!$Y:$Y,1)+COUNTIFS('Données '!$A:$A,"FEVRIER",'Données '!$Y:$Y,1)+COUNTIFS('Données '!$A:$A,"MARS",'Données '!$Y:$Y,1)</f>
        <v>44</v>
      </c>
      <c r="E56" s="43">
        <f>D56/D39</f>
        <v>0.51162790697674421</v>
      </c>
      <c r="F56" s="47"/>
    </row>
    <row r="57" spans="1:6" x14ac:dyDescent="0.25">
      <c r="A57" s="53" t="s">
        <v>149</v>
      </c>
      <c r="B57" s="54"/>
      <c r="C57" s="54"/>
      <c r="D57" s="258">
        <f>COUNTIFS('Données '!$A:$A,"JANVIER",'Données '!$AN:$AN,"DECEASED")+COUNTIFS('Données '!$A:$A,"FEVRIER",'Données '!$AN:$AN,"DECEASED")+COUNTIFS('Données '!$A:$A,"MARS",'Données '!$AN:$AN,"DECEASED")</f>
        <v>0</v>
      </c>
      <c r="E57" s="60">
        <f>D57/D39</f>
        <v>0</v>
      </c>
      <c r="F57" s="47"/>
    </row>
    <row r="58" spans="1:6" x14ac:dyDescent="0.25">
      <c r="A58" s="49" t="s">
        <v>150</v>
      </c>
      <c r="B58" s="50"/>
      <c r="C58" s="50"/>
      <c r="D58" s="165" t="e">
        <f>AVERAGEIF('Données '!BP2:BP87,"&lt;&gt;(Inconnu)")</f>
        <v>#DIV/0!</v>
      </c>
      <c r="E58" s="61"/>
      <c r="F58" s="47"/>
    </row>
    <row r="59" spans="1:6" x14ac:dyDescent="0.25">
      <c r="A59" s="49" t="s">
        <v>167</v>
      </c>
      <c r="B59" s="50"/>
      <c r="C59" s="50"/>
      <c r="D59" s="165" t="e">
        <f>AVERAGEIF('Données '!BM2:BM87,"&lt;&gt;(Inconnu)")</f>
        <v>#DIV/0!</v>
      </c>
      <c r="E59" s="61"/>
      <c r="F59" s="47"/>
    </row>
    <row r="60" spans="1:6" x14ac:dyDescent="0.25">
      <c r="A60" s="49" t="s">
        <v>221</v>
      </c>
      <c r="B60" s="50"/>
      <c r="C60" s="50"/>
      <c r="D60" s="114">
        <f>COUNTIFS('Données '!$A:$A,"JANVIER",'Données '!$AD:$AD,1)+COUNTIFS('Données '!$A:$A,"FEVRIER",'Données '!$AD:$AD,1)+COUNTIFS('Données '!$A:$A,"MARS",'Données '!$AD:$AD,1)</f>
        <v>0</v>
      </c>
      <c r="E60" s="60">
        <f>D60/81</f>
        <v>0</v>
      </c>
      <c r="F60" s="47"/>
    </row>
    <row r="61" spans="1:6" x14ac:dyDescent="0.25">
      <c r="A61" s="25" t="s">
        <v>222</v>
      </c>
      <c r="B61" s="26"/>
      <c r="C61" s="26"/>
      <c r="D61" s="114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</f>
        <v>13</v>
      </c>
      <c r="E61" s="60">
        <f>D61/81</f>
        <v>0.16049382716049382</v>
      </c>
      <c r="F61" s="47"/>
    </row>
    <row r="62" spans="1:6" ht="15.75" thickBot="1" x14ac:dyDescent="0.3">
      <c r="A62" s="57" t="s">
        <v>223</v>
      </c>
      <c r="B62" s="58"/>
      <c r="C62" s="58"/>
      <c r="D62" s="167">
        <v>7.2</v>
      </c>
      <c r="E62" s="27"/>
      <c r="F62" s="47"/>
    </row>
    <row r="63" spans="1:6" ht="18.75" x14ac:dyDescent="0.3">
      <c r="A63" s="139"/>
      <c r="B63" s="139"/>
      <c r="C63" s="139"/>
      <c r="D63" s="139"/>
      <c r="E63" s="139"/>
      <c r="F63" s="47"/>
    </row>
    <row r="64" spans="1:6" ht="18.75" x14ac:dyDescent="0.3">
      <c r="A64" s="139"/>
      <c r="B64" s="139"/>
      <c r="C64" s="139"/>
      <c r="D64" s="139"/>
      <c r="E64" s="139"/>
      <c r="F64" s="47"/>
    </row>
    <row r="65" spans="1:6" ht="18.75" x14ac:dyDescent="0.3">
      <c r="A65" s="139"/>
      <c r="B65" s="139"/>
      <c r="C65" s="139"/>
      <c r="D65" s="139"/>
      <c r="E65" s="139"/>
      <c r="F65" s="47"/>
    </row>
    <row r="66" spans="1:6" ht="19.5" thickBot="1" x14ac:dyDescent="0.35">
      <c r="A66" s="139"/>
      <c r="B66" s="139"/>
      <c r="C66" s="139"/>
      <c r="D66" s="139"/>
      <c r="E66" s="139"/>
      <c r="F66" s="47"/>
    </row>
    <row r="67" spans="1:6" ht="19.5" thickBot="1" x14ac:dyDescent="0.35">
      <c r="A67" s="310" t="s">
        <v>229</v>
      </c>
      <c r="B67" s="311"/>
      <c r="C67" s="312"/>
      <c r="D67" s="140" t="s">
        <v>144</v>
      </c>
      <c r="E67" s="141" t="s">
        <v>145</v>
      </c>
      <c r="F67" s="30"/>
    </row>
    <row r="68" spans="1:6" ht="18.75" x14ac:dyDescent="0.3">
      <c r="A68" s="68" t="s">
        <v>184</v>
      </c>
      <c r="B68" s="69"/>
      <c r="C68" s="75"/>
      <c r="D68" s="113">
        <f>COUNTIFS('Données '!$A:$A,"JANVIER")+COUNTIFS('Données '!$A:$A,"FEVRIER")+COUNTIFS('Données '!$A:$A,"MARS")+COUNTIFS('Données '!$A:$A,"AVRIL")</f>
        <v>115</v>
      </c>
      <c r="E68" s="59"/>
      <c r="F68" s="30"/>
    </row>
    <row r="69" spans="1:6" ht="18.75" x14ac:dyDescent="0.3">
      <c r="A69" s="44" t="s">
        <v>176</v>
      </c>
      <c r="B69" s="45"/>
      <c r="C69" s="45"/>
      <c r="D69" s="135">
        <v>115</v>
      </c>
      <c r="E69" s="46"/>
      <c r="F69" s="30"/>
    </row>
    <row r="70" spans="1:6" ht="18.75" x14ac:dyDescent="0.3">
      <c r="A70" s="44" t="s">
        <v>220</v>
      </c>
      <c r="B70" s="45"/>
      <c r="C70" s="45"/>
      <c r="D70" s="147">
        <f>COUNTIFS('Données '!$A:$A,"JANVIER",'Données '!$BW:$BW,"OUI")+COUNTIFS('Données '!$A:$A,"FEVRIER",'Données '!$BW:$BW,"OUI")+COUNTIFS('Données '!$A:$A,"MARS",'Données '!$BW:$BW,"OUI")+COUNTIFS('Données '!$A:$A,"AVRIL",'Données '!$BW:$BW,"OUI")</f>
        <v>0</v>
      </c>
      <c r="E70" s="112">
        <f>D70/D69</f>
        <v>0</v>
      </c>
      <c r="F70" s="30"/>
    </row>
    <row r="71" spans="1:6" x14ac:dyDescent="0.25">
      <c r="A71" s="44" t="s">
        <v>203</v>
      </c>
      <c r="B71" s="45"/>
      <c r="C71" s="45"/>
      <c r="D71" s="148">
        <f>COUNTIFS('Données '!$A:$A,"JANVIER",'Données '!$F:$F,1)+COUNTIFS('Données '!$A:$A,"FEVRIER",'Données '!$F:$F,1)+COUNTIFS('Données '!$A:$A,"MARS",'Données '!$F:$F,1)+COUNTIFS('Données '!$A:$A,"AVRIL",'Données '!$F:$F,1)</f>
        <v>0</v>
      </c>
      <c r="E71" s="112">
        <f>D71/D69</f>
        <v>0</v>
      </c>
      <c r="F71" s="47"/>
    </row>
    <row r="72" spans="1:6" x14ac:dyDescent="0.25">
      <c r="A72" s="70" t="s">
        <v>146</v>
      </c>
      <c r="B72" s="71"/>
      <c r="C72" s="71"/>
      <c r="D72" s="103">
        <f>COUNTIFS('Données '!$A:$A,"JANVIER",'Données '!$O:$O,"CABG")+COUNTIFS('Données '!$A:$A,"FEVRIER",'Données '!$O:$O,"CABG")+COUNTIFS('Données '!$A:$A,"MARS",'Données '!$O:$O,"CABG")+COUNTIFS('Données '!$A:$A,"AVRIL",'Données '!$O:$O,"CABG")</f>
        <v>0</v>
      </c>
      <c r="E72" s="60">
        <f>D72/D68</f>
        <v>0</v>
      </c>
      <c r="F72" s="47"/>
    </row>
    <row r="73" spans="1:6" x14ac:dyDescent="0.25">
      <c r="A73" s="66" t="s">
        <v>147</v>
      </c>
      <c r="B73" s="67"/>
      <c r="C73" s="67"/>
      <c r="D73" s="108">
        <f>SUM(D74:D79)</f>
        <v>0</v>
      </c>
      <c r="E73" s="60">
        <f>D73/D68</f>
        <v>0</v>
      </c>
      <c r="F73" s="47"/>
    </row>
    <row r="74" spans="1:6" x14ac:dyDescent="0.25">
      <c r="A74" s="51"/>
      <c r="B74" s="52"/>
      <c r="C74" s="52" t="s">
        <v>1</v>
      </c>
      <c r="D74" s="117">
        <f>COUNTIFS('Données '!$A:$A,"JANVIER",'Données '!$R:$R,"AVR")+COUNTIFS('Données '!$A:$A,"FEVRIER",'Données '!$R:$R,"AVR")+COUNTIFS('Données '!$A:$A,"MARS",'Données '!$R:$R,"AVR")+COUNTIFS('Données '!$A:$A,"AVRIL",'Données '!$R:$R,"AVR")</f>
        <v>0</v>
      </c>
      <c r="E74" s="78" t="str">
        <f>IFERROR(D74/D73,"")</f>
        <v/>
      </c>
      <c r="F74" s="47"/>
    </row>
    <row r="75" spans="1:6" x14ac:dyDescent="0.25">
      <c r="A75" s="51"/>
      <c r="B75" s="52"/>
      <c r="C75" s="52" t="s">
        <v>72</v>
      </c>
      <c r="D75" s="117">
        <f>COUNTIFS('Données '!$A:$A,"JANVIER",'Données '!$R:$R,"TVR")+COUNTIFS('Données '!$A:$A,"FEVRIER",'Données '!$R:$R,"TVR")+COUNTIFS('Données '!$A:$A,"MARS",'Données '!$R:$R,"TVR")+COUNTIFS('Données '!$A:$A,"AVRIL",'Données '!$R:$R,"TVR")</f>
        <v>0</v>
      </c>
      <c r="E75" s="78" t="str">
        <f>IFERROR(D75/D73,"")</f>
        <v/>
      </c>
      <c r="F75" s="47"/>
    </row>
    <row r="76" spans="1:6" x14ac:dyDescent="0.25">
      <c r="A76" s="51"/>
      <c r="B76" s="52"/>
      <c r="C76" s="52" t="s">
        <v>62</v>
      </c>
      <c r="D76" s="117">
        <f>COUNTIFS('Données '!$A:$A,"JANVIER",'Données '!$R:$R,"TVP")+COUNTIFS('Données '!$A:$A,"FEVRIER",'Données '!$R:$R,"TVP")+COUNTIFS('Données '!$A:$A,"MARS",'Données '!$R:$R,"TVP")+COUNTIFS('Données '!$A:$A,"AVRIL",'Données '!$R:$R,"TVP")</f>
        <v>0</v>
      </c>
      <c r="E76" s="78" t="str">
        <f>IFERROR(D76/D73,"")</f>
        <v/>
      </c>
      <c r="F76" s="47"/>
    </row>
    <row r="77" spans="1:6" x14ac:dyDescent="0.25">
      <c r="A77" s="51"/>
      <c r="B77" s="52"/>
      <c r="C77" s="52" t="s">
        <v>64</v>
      </c>
      <c r="D77" s="117">
        <f>COUNTIFS('Données '!$A:$A,"JANVIER",'Données '!$R:$R,"MVR")+COUNTIFS('Données '!$A:$A,"FEVRIER",'Données '!$R:$R,"MVR")+COUNTIFS('Données '!$A:$A,"MARS",'Données '!$R:$R,"MVR")+COUNTIFS('Données '!$A:$A,"AVRIL",'Données '!$R:$R,"MVR")</f>
        <v>0</v>
      </c>
      <c r="E77" s="78" t="str">
        <f>IFERROR(D77/D73,"")</f>
        <v/>
      </c>
      <c r="F77" s="47"/>
    </row>
    <row r="78" spans="1:6" x14ac:dyDescent="0.25">
      <c r="A78" s="51"/>
      <c r="B78" s="52"/>
      <c r="C78" s="52" t="s">
        <v>63</v>
      </c>
      <c r="D78" s="117">
        <f>COUNTIFS('Données '!$A:$A,"JANVIER",'Données '!$R:$R,"MVP")+COUNTIFS('Données '!$A:$A,"FEVRIER",'Données '!$R:$R,"MVP")+COUNTIFS('Données '!$A:$A,"MARS",'Données '!$R:$R,"MVP")+COUNTIFS('Données '!$A:$A,"AVRIL",'Données '!$R:$R,"MVP")</f>
        <v>0</v>
      </c>
      <c r="E78" s="78" t="str">
        <f>IFERROR(D78/D73,"")</f>
        <v/>
      </c>
      <c r="F78" s="47"/>
    </row>
    <row r="79" spans="1:6" x14ac:dyDescent="0.25">
      <c r="A79" s="53"/>
      <c r="B79" s="54"/>
      <c r="C79" s="54" t="s">
        <v>148</v>
      </c>
      <c r="D79" s="117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</f>
        <v>0</v>
      </c>
      <c r="E79" s="78" t="str">
        <f>IFERROR(D79/D73,"")</f>
        <v/>
      </c>
      <c r="F79" s="47"/>
    </row>
    <row r="80" spans="1:6" x14ac:dyDescent="0.25">
      <c r="A80" s="70" t="s">
        <v>180</v>
      </c>
      <c r="B80" s="71"/>
      <c r="C80" s="76"/>
      <c r="D80" s="103">
        <f>COUNTIFS('Données '!$A:$A,"JANVIER",'Données '!$O:$O,"CABG +*")+COUNTIFS('Données '!$A:$A,"FEVRIER",'Données '!$O:$O,"CABG +*")+COUNTIFS('Données '!$A:$A,"MARS",'Données '!$O:$O,"CABG +*")+COUNTIFS('Données '!$A:$A,"AVRIL",'Données '!$O:$O,"CABG +*")</f>
        <v>0</v>
      </c>
      <c r="E80" s="60">
        <f>D80/D68</f>
        <v>0</v>
      </c>
      <c r="F80" s="47"/>
    </row>
    <row r="81" spans="1:6" x14ac:dyDescent="0.25">
      <c r="A81" s="70" t="s">
        <v>154</v>
      </c>
      <c r="B81" s="71"/>
      <c r="C81" s="76"/>
      <c r="D81" s="103">
        <f>COUNTIFS('Données '!$A:$A,"JANVIER",'Données '!$O:$O,"Aorte")+COUNTIFS('Données '!$A:$A,"FEVRIER",'Données '!$O:$O,"Aorte")+COUNTIFS('Données '!$A:$A,"MARS",'Données '!$O:$O,"Aorte")+COUNTIFS('Données '!$A:$A,"AVRIL",'Données '!$O:$O,"Aorte")</f>
        <v>0</v>
      </c>
      <c r="E81" s="60">
        <f>D81/D68</f>
        <v>0</v>
      </c>
      <c r="F81" s="47"/>
    </row>
    <row r="82" spans="1:6" x14ac:dyDescent="0.25">
      <c r="A82" s="70" t="s">
        <v>181</v>
      </c>
      <c r="B82" s="71"/>
      <c r="C82" s="76"/>
      <c r="D82" s="103">
        <f>COUNTIFS('Données '!$A:$A,"JANVIER",'Données '!$O:$O,"Autre")+COUNTIFS('Données '!$A:$A,"FEVRIER",'Données '!$O:$O,"Autre")+COUNTIFS('Données '!$A:$A,"MARS",'Données '!$O:$O,"Autre")+COUNTIFS('Données '!$A:$A,"AVRIL",'Données '!$O:$O,"Autre")</f>
        <v>0</v>
      </c>
      <c r="E82" s="60">
        <f>D82/D68</f>
        <v>0</v>
      </c>
      <c r="F82" s="47"/>
    </row>
    <row r="83" spans="1:6" x14ac:dyDescent="0.25">
      <c r="A83" s="72" t="s">
        <v>152</v>
      </c>
      <c r="B83" s="73"/>
      <c r="C83" s="77"/>
      <c r="D83" s="108">
        <f>SUM(D84:D85)</f>
        <v>0</v>
      </c>
      <c r="E83" s="60">
        <f>D83/D68</f>
        <v>0</v>
      </c>
      <c r="F83" s="47"/>
    </row>
    <row r="84" spans="1:6" x14ac:dyDescent="0.25">
      <c r="A84" s="51"/>
      <c r="B84" s="52"/>
      <c r="C84" s="52" t="s">
        <v>45</v>
      </c>
      <c r="D84" s="117">
        <f>COUNTIFS('Données '!$A:$A,"JANVIER",'Données '!$O:$O,"LVAD")+COUNTIFS('Données '!$A:$A,"FEVRIER",'Données '!$O:$O,"LVAD")+COUNTIFS('Données '!$A:$A,"MARS",'Données '!$O:$O,"LVAD")+COUNTIFS('Données '!$A:$A,"AVRIL",'Données '!$O:$O,"LVAD")</f>
        <v>0</v>
      </c>
      <c r="E84" s="78">
        <f>D84/D68</f>
        <v>0</v>
      </c>
      <c r="F84" s="47"/>
    </row>
    <row r="85" spans="1:6" ht="15.75" thickBot="1" x14ac:dyDescent="0.3">
      <c r="A85" s="55"/>
      <c r="B85" s="56"/>
      <c r="C85" s="56" t="s">
        <v>151</v>
      </c>
      <c r="D85" s="121">
        <f>COUNTIFS('Données '!$A:$A,"JANVIER",'Données '!$O:$O,"HTX")+COUNTIFS('Données '!$A:$A,"FEVRIER",'Données '!$O:$O,"HTX")+COUNTIFS('Données '!$A:$A,"MARS",'Données '!$O:$O,"HTX")+COUNTIFS('Données '!$A:$A,"AVRIL",'Données '!$O:$O,"HTX")</f>
        <v>0</v>
      </c>
      <c r="E85" s="119">
        <f>D85/D68</f>
        <v>0</v>
      </c>
      <c r="F85" s="47"/>
    </row>
    <row r="86" spans="1:6" x14ac:dyDescent="0.25">
      <c r="A86" s="24" t="s">
        <v>168</v>
      </c>
      <c r="B86" s="48"/>
      <c r="C86" s="65"/>
      <c r="D86" s="104">
        <f>COUNTIFS('Données '!$A:$A,"JANVIER",'Données '!$Y:$Y,1)+COUNTIFS('Données '!$A:$A,"FEVRIER",'Données '!$Y:$Y,1)+COUNTIFS('Données '!$A:$A,"MARS",'Données '!$Y:$Y,1)+COUNTIFS('Données '!$A:$A,"AVRIL",'Données '!$Y:$Y,1)</f>
        <v>44</v>
      </c>
      <c r="E86" s="43">
        <f>D86/D69</f>
        <v>0.38260869565217392</v>
      </c>
      <c r="F86" s="47"/>
    </row>
    <row r="87" spans="1:6" x14ac:dyDescent="0.25">
      <c r="A87" s="53" t="s">
        <v>149</v>
      </c>
      <c r="B87" s="54"/>
      <c r="C87" s="54"/>
      <c r="D87" s="258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</f>
        <v>0</v>
      </c>
      <c r="E87" s="60">
        <f>D87/D69</f>
        <v>0</v>
      </c>
      <c r="F87" s="47"/>
    </row>
    <row r="88" spans="1:6" x14ac:dyDescent="0.25">
      <c r="A88" s="49" t="s">
        <v>150</v>
      </c>
      <c r="B88" s="50"/>
      <c r="C88" s="50"/>
      <c r="D88" s="165" t="e">
        <f>AVERAGEIF('Données '!BP2:BP116,"&lt;&gt;(Inconnu)")</f>
        <v>#DIV/0!</v>
      </c>
      <c r="E88" s="61"/>
      <c r="F88" s="47"/>
    </row>
    <row r="89" spans="1:6" x14ac:dyDescent="0.25">
      <c r="A89" s="49" t="s">
        <v>167</v>
      </c>
      <c r="B89" s="50"/>
      <c r="C89" s="50"/>
      <c r="D89" s="165" t="e">
        <f>AVERAGEIF('Données '!BM2:BM116,"&lt;&gt;(Inconnu)")</f>
        <v>#DIV/0!</v>
      </c>
      <c r="E89" s="61"/>
      <c r="F89" s="47"/>
    </row>
    <row r="90" spans="1:6" x14ac:dyDescent="0.25">
      <c r="A90" s="49" t="s">
        <v>221</v>
      </c>
      <c r="B90" s="50"/>
      <c r="C90" s="50"/>
      <c r="D90" s="114">
        <f>COUNTIFS('Données '!$A:$A,"JANVIER",'Données '!$AD:$AD,1)+COUNTIFS('Données '!$A:$A,"FEVRIER",'Données '!$AD:$AD,1)+COUNTIFS('Données '!$A:$A,"MARS",'Données '!$AD:$AD,1)+COUNTIFS('Données '!$A:$A,"AVRIL",'Données '!$AD:$AD,1)</f>
        <v>0</v>
      </c>
      <c r="E90" s="60">
        <f>D90/109</f>
        <v>0</v>
      </c>
      <c r="F90" s="47"/>
    </row>
    <row r="91" spans="1:6" x14ac:dyDescent="0.25">
      <c r="A91" s="25" t="s">
        <v>222</v>
      </c>
      <c r="B91" s="26"/>
      <c r="C91" s="26"/>
      <c r="D91" s="114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</f>
        <v>13</v>
      </c>
      <c r="E91" s="60">
        <f>D91/109</f>
        <v>0.11926605504587157</v>
      </c>
      <c r="F91" s="47"/>
    </row>
    <row r="92" spans="1:6" ht="15.75" thickBot="1" x14ac:dyDescent="0.3">
      <c r="A92" s="57" t="s">
        <v>223</v>
      </c>
      <c r="B92" s="58"/>
      <c r="C92" s="58"/>
      <c r="D92" s="167">
        <v>6.3</v>
      </c>
      <c r="E92" s="27"/>
      <c r="F92" s="47"/>
    </row>
    <row r="93" spans="1:6" ht="18.75" x14ac:dyDescent="0.3">
      <c r="A93" s="139"/>
      <c r="B93" s="139"/>
      <c r="C93" s="139"/>
      <c r="D93" s="139"/>
      <c r="E93" s="139"/>
      <c r="F93" s="47"/>
    </row>
    <row r="94" spans="1:6" ht="18.75" x14ac:dyDescent="0.3">
      <c r="A94" s="139"/>
      <c r="B94" s="139"/>
      <c r="C94" s="139"/>
      <c r="D94" s="139"/>
      <c r="E94" s="139"/>
      <c r="F94" s="47"/>
    </row>
    <row r="95" spans="1:6" ht="18.75" x14ac:dyDescent="0.3">
      <c r="A95" s="139"/>
      <c r="B95" s="139"/>
      <c r="C95" s="139"/>
      <c r="D95" s="139"/>
      <c r="E95" s="139"/>
      <c r="F95" s="47"/>
    </row>
    <row r="96" spans="1:6" ht="19.5" thickBot="1" x14ac:dyDescent="0.35">
      <c r="A96" s="139"/>
      <c r="B96" s="139"/>
      <c r="C96" s="139"/>
      <c r="D96" s="139"/>
      <c r="E96" s="139"/>
      <c r="F96" s="47"/>
    </row>
    <row r="97" spans="1:6" ht="19.5" thickBot="1" x14ac:dyDescent="0.35">
      <c r="A97" s="310" t="s">
        <v>228</v>
      </c>
      <c r="B97" s="311"/>
      <c r="C97" s="312"/>
      <c r="D97" s="140" t="s">
        <v>144</v>
      </c>
      <c r="E97" s="141" t="s">
        <v>145</v>
      </c>
      <c r="F97" s="30"/>
    </row>
    <row r="98" spans="1:6" ht="18.75" x14ac:dyDescent="0.3">
      <c r="A98" s="68" t="s">
        <v>184</v>
      </c>
      <c r="B98" s="69"/>
      <c r="C98" s="75"/>
      <c r="D98" s="113">
        <f>COUNTIFS('Données '!$A:$A,"JANVIER")+COUNTIFS('Données '!$A:$A,"FEVRIER")+COUNTIFS('Données '!$A:$A,"MARS")+COUNTIFS('Données '!$A:$A,"AVRIL")+COUNTIFS('Données '!$A:$A,"MAI")</f>
        <v>147</v>
      </c>
      <c r="E98" s="59"/>
      <c r="F98" s="30"/>
    </row>
    <row r="99" spans="1:6" ht="18.75" x14ac:dyDescent="0.3">
      <c r="A99" s="44" t="s">
        <v>176</v>
      </c>
      <c r="B99" s="45"/>
      <c r="C99" s="45"/>
      <c r="D99" s="135">
        <v>147</v>
      </c>
      <c r="E99" s="46"/>
      <c r="F99" s="168"/>
    </row>
    <row r="100" spans="1:6" ht="18.75" x14ac:dyDescent="0.3">
      <c r="A100" s="44" t="s">
        <v>220</v>
      </c>
      <c r="B100" s="45"/>
      <c r="C100" s="45"/>
      <c r="D100" s="147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</f>
        <v>0</v>
      </c>
      <c r="E100" s="112">
        <f>D100/D98</f>
        <v>0</v>
      </c>
      <c r="F100" s="168"/>
    </row>
    <row r="101" spans="1:6" x14ac:dyDescent="0.25">
      <c r="A101" s="44" t="s">
        <v>203</v>
      </c>
      <c r="B101" s="45"/>
      <c r="C101" s="45"/>
      <c r="D101" s="148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</f>
        <v>0</v>
      </c>
      <c r="E101" s="112">
        <f>D101/D98</f>
        <v>0</v>
      </c>
      <c r="F101" s="47"/>
    </row>
    <row r="102" spans="1:6" x14ac:dyDescent="0.25">
      <c r="A102" s="70" t="s">
        <v>146</v>
      </c>
      <c r="B102" s="71"/>
      <c r="C102" s="71"/>
      <c r="D102" s="103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</f>
        <v>0</v>
      </c>
      <c r="E102" s="60">
        <f>D102/D98</f>
        <v>0</v>
      </c>
      <c r="F102" s="47"/>
    </row>
    <row r="103" spans="1:6" x14ac:dyDescent="0.25">
      <c r="A103" s="66" t="s">
        <v>147</v>
      </c>
      <c r="B103" s="67"/>
      <c r="C103" s="67"/>
      <c r="D103" s="108">
        <f>SUM(D104:D109)</f>
        <v>0</v>
      </c>
      <c r="E103" s="60">
        <f>D103/D98</f>
        <v>0</v>
      </c>
      <c r="F103" s="47"/>
    </row>
    <row r="104" spans="1:6" x14ac:dyDescent="0.25">
      <c r="A104" s="51"/>
      <c r="B104" s="52"/>
      <c r="C104" s="52" t="s">
        <v>1</v>
      </c>
      <c r="D104" s="117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</f>
        <v>0</v>
      </c>
      <c r="E104" s="78" t="str">
        <f>IFERROR(D104/D103,"")</f>
        <v/>
      </c>
      <c r="F104" s="47"/>
    </row>
    <row r="105" spans="1:6" x14ac:dyDescent="0.25">
      <c r="A105" s="51"/>
      <c r="B105" s="52"/>
      <c r="C105" s="52" t="s">
        <v>72</v>
      </c>
      <c r="D105" s="117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</f>
        <v>0</v>
      </c>
      <c r="E105" s="78" t="str">
        <f>IFERROR(D105/D103,"")</f>
        <v/>
      </c>
      <c r="F105" s="47"/>
    </row>
    <row r="106" spans="1:6" x14ac:dyDescent="0.25">
      <c r="A106" s="51"/>
      <c r="B106" s="52"/>
      <c r="C106" s="52" t="s">
        <v>62</v>
      </c>
      <c r="D106" s="117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</f>
        <v>0</v>
      </c>
      <c r="E106" s="78" t="str">
        <f>IFERROR(D106/D103,"")</f>
        <v/>
      </c>
      <c r="F106" s="47"/>
    </row>
    <row r="107" spans="1:6" x14ac:dyDescent="0.25">
      <c r="A107" s="51"/>
      <c r="B107" s="52"/>
      <c r="C107" s="52" t="s">
        <v>64</v>
      </c>
      <c r="D107" s="117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</f>
        <v>0</v>
      </c>
      <c r="E107" s="78" t="str">
        <f>IFERROR(D107/D103,"")</f>
        <v/>
      </c>
      <c r="F107" s="47"/>
    </row>
    <row r="108" spans="1:6" x14ac:dyDescent="0.25">
      <c r="A108" s="51"/>
      <c r="B108" s="52"/>
      <c r="C108" s="52" t="s">
        <v>63</v>
      </c>
      <c r="D108" s="117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</f>
        <v>0</v>
      </c>
      <c r="E108" s="78" t="str">
        <f>IFERROR(D108/D103,"")</f>
        <v/>
      </c>
      <c r="F108" s="47"/>
    </row>
    <row r="109" spans="1:6" x14ac:dyDescent="0.25">
      <c r="A109" s="53"/>
      <c r="B109" s="54"/>
      <c r="C109" s="54" t="s">
        <v>148</v>
      </c>
      <c r="D109" s="117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</f>
        <v>0</v>
      </c>
      <c r="E109" s="78" t="str">
        <f>IFERROR(D109/D103,"")</f>
        <v/>
      </c>
      <c r="F109" s="47"/>
    </row>
    <row r="110" spans="1:6" x14ac:dyDescent="0.25">
      <c r="A110" s="70" t="s">
        <v>180</v>
      </c>
      <c r="B110" s="71"/>
      <c r="C110" s="76"/>
      <c r="D110" s="103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</f>
        <v>0</v>
      </c>
      <c r="E110" s="60">
        <f>D110/D98</f>
        <v>0</v>
      </c>
      <c r="F110" s="47"/>
    </row>
    <row r="111" spans="1:6" x14ac:dyDescent="0.25">
      <c r="A111" s="70" t="s">
        <v>154</v>
      </c>
      <c r="B111" s="71"/>
      <c r="C111" s="76"/>
      <c r="D111" s="103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</f>
        <v>0</v>
      </c>
      <c r="E111" s="60">
        <f>D111/D98</f>
        <v>0</v>
      </c>
      <c r="F111" s="47"/>
    </row>
    <row r="112" spans="1:6" x14ac:dyDescent="0.25">
      <c r="A112" s="70" t="s">
        <v>181</v>
      </c>
      <c r="B112" s="71"/>
      <c r="C112" s="76"/>
      <c r="D112" s="103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</f>
        <v>0</v>
      </c>
      <c r="E112" s="60">
        <f>D112/D98</f>
        <v>0</v>
      </c>
      <c r="F112" s="47"/>
    </row>
    <row r="113" spans="1:6" x14ac:dyDescent="0.25">
      <c r="A113" s="72" t="s">
        <v>152</v>
      </c>
      <c r="B113" s="73"/>
      <c r="C113" s="77"/>
      <c r="D113" s="108">
        <f>SUM(D114:D115)</f>
        <v>0</v>
      </c>
      <c r="E113" s="60">
        <f>D113/D98</f>
        <v>0</v>
      </c>
      <c r="F113" s="47"/>
    </row>
    <row r="114" spans="1:6" x14ac:dyDescent="0.25">
      <c r="A114" s="51"/>
      <c r="B114" s="52"/>
      <c r="C114" s="52" t="s">
        <v>45</v>
      </c>
      <c r="D114" s="117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</f>
        <v>0</v>
      </c>
      <c r="E114" s="78">
        <f>D114/D98</f>
        <v>0</v>
      </c>
      <c r="F114" s="47"/>
    </row>
    <row r="115" spans="1:6" ht="15.75" thickBot="1" x14ac:dyDescent="0.3">
      <c r="A115" s="55"/>
      <c r="B115" s="56"/>
      <c r="C115" s="56" t="s">
        <v>151</v>
      </c>
      <c r="D115" s="121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</f>
        <v>0</v>
      </c>
      <c r="E115" s="119">
        <f>D115/D98</f>
        <v>0</v>
      </c>
      <c r="F115" s="47"/>
    </row>
    <row r="116" spans="1:6" x14ac:dyDescent="0.25">
      <c r="A116" s="24" t="s">
        <v>168</v>
      </c>
      <c r="B116" s="48"/>
      <c r="C116" s="65"/>
      <c r="D116" s="104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</f>
        <v>44</v>
      </c>
      <c r="E116" s="43">
        <f>D116/D99</f>
        <v>0.29931972789115646</v>
      </c>
      <c r="F116" s="47"/>
    </row>
    <row r="117" spans="1:6" x14ac:dyDescent="0.25">
      <c r="A117" s="53" t="s">
        <v>149</v>
      </c>
      <c r="B117" s="54"/>
      <c r="C117" s="54"/>
      <c r="D117" s="258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</f>
        <v>0</v>
      </c>
      <c r="E117" s="60">
        <f>D117/D99</f>
        <v>0</v>
      </c>
      <c r="F117" s="47"/>
    </row>
    <row r="118" spans="1:6" x14ac:dyDescent="0.25">
      <c r="A118" s="49" t="s">
        <v>150</v>
      </c>
      <c r="B118" s="50"/>
      <c r="C118" s="50"/>
      <c r="D118" s="165" t="e">
        <f>AVERAGEIF('Données '!BP2:BP148,"&lt;&gt;(Inconnu)")</f>
        <v>#DIV/0!</v>
      </c>
      <c r="E118" s="61"/>
      <c r="F118" s="47"/>
    </row>
    <row r="119" spans="1:6" x14ac:dyDescent="0.25">
      <c r="A119" s="49" t="s">
        <v>167</v>
      </c>
      <c r="B119" s="50"/>
      <c r="C119" s="50"/>
      <c r="D119" s="165" t="e">
        <f>AVERAGEIF('Données '!BM2:BM148,"&lt;&gt;(Inconnu)")</f>
        <v>#DIV/0!</v>
      </c>
      <c r="E119" s="61"/>
      <c r="F119" s="47"/>
    </row>
    <row r="120" spans="1:6" x14ac:dyDescent="0.25">
      <c r="A120" s="49" t="s">
        <v>221</v>
      </c>
      <c r="B120" s="50"/>
      <c r="C120" s="50"/>
      <c r="D120" s="114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</f>
        <v>0</v>
      </c>
      <c r="E120" s="60">
        <f>D120/141</f>
        <v>0</v>
      </c>
      <c r="F120" s="47"/>
    </row>
    <row r="121" spans="1:6" x14ac:dyDescent="0.25">
      <c r="A121" s="25" t="s">
        <v>222</v>
      </c>
      <c r="B121" s="26"/>
      <c r="C121" s="26"/>
      <c r="D121" s="114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</f>
        <v>13</v>
      </c>
      <c r="E121" s="60">
        <f>D121/141</f>
        <v>9.2198581560283682E-2</v>
      </c>
      <c r="F121" s="47"/>
    </row>
    <row r="122" spans="1:6" ht="15.75" thickBot="1" x14ac:dyDescent="0.3">
      <c r="A122" s="57" t="s">
        <v>223</v>
      </c>
      <c r="B122" s="58"/>
      <c r="C122" s="58"/>
      <c r="D122" s="167">
        <v>5.6</v>
      </c>
      <c r="E122" s="27"/>
      <c r="F122" s="47"/>
    </row>
    <row r="123" spans="1:6" ht="18.75" x14ac:dyDescent="0.3">
      <c r="A123" s="139"/>
      <c r="B123" s="139"/>
      <c r="C123" s="139"/>
      <c r="D123" s="139"/>
      <c r="E123" s="139"/>
      <c r="F123" s="47"/>
    </row>
    <row r="124" spans="1:6" ht="18.75" x14ac:dyDescent="0.3">
      <c r="A124" s="139"/>
      <c r="B124" s="139"/>
      <c r="C124" s="139"/>
      <c r="D124" s="139"/>
      <c r="E124" s="139"/>
      <c r="F124" s="47"/>
    </row>
    <row r="125" spans="1:6" ht="18.75" x14ac:dyDescent="0.3">
      <c r="A125" s="139"/>
      <c r="B125" s="139"/>
      <c r="C125" s="139"/>
      <c r="D125" s="139"/>
      <c r="E125" s="139"/>
      <c r="F125" s="47"/>
    </row>
    <row r="126" spans="1:6" ht="19.5" thickBot="1" x14ac:dyDescent="0.35">
      <c r="A126" s="139"/>
      <c r="B126" s="139"/>
      <c r="C126" s="139"/>
      <c r="D126" s="139"/>
      <c r="E126" s="139"/>
      <c r="F126" s="47"/>
    </row>
    <row r="127" spans="1:6" ht="19.5" thickBot="1" x14ac:dyDescent="0.35">
      <c r="A127" s="310" t="s">
        <v>227</v>
      </c>
      <c r="B127" s="311"/>
      <c r="C127" s="312"/>
      <c r="D127" s="140" t="s">
        <v>144</v>
      </c>
      <c r="E127" s="141" t="s">
        <v>145</v>
      </c>
      <c r="F127" s="30"/>
    </row>
    <row r="128" spans="1:6" ht="18.75" x14ac:dyDescent="0.3">
      <c r="A128" s="68" t="s">
        <v>184</v>
      </c>
      <c r="B128" s="69"/>
      <c r="C128" s="75"/>
      <c r="D128" s="113">
        <f>COUNTIFS('Données '!$A:$A,"JANVIER")+COUNTIFS('Données '!$A:$A,"FEVRIER")+COUNTIFS('Données '!$A:$A,"MARS")+COUNTIFS('Données '!$A:$A,"AVRIL")+COUNTIFS('Données '!$A:$A,"MAI")+COUNTIFS('Données '!$A:$A,"JUIN")</f>
        <v>168</v>
      </c>
      <c r="E128" s="59"/>
      <c r="F128" s="30"/>
    </row>
    <row r="129" spans="1:6" ht="18.75" x14ac:dyDescent="0.3">
      <c r="A129" s="44" t="s">
        <v>176</v>
      </c>
      <c r="B129" s="45"/>
      <c r="C129" s="45"/>
      <c r="D129" s="135">
        <v>168</v>
      </c>
      <c r="E129" s="46"/>
      <c r="F129" s="30"/>
    </row>
    <row r="130" spans="1:6" ht="18.75" x14ac:dyDescent="0.3">
      <c r="A130" s="44" t="s">
        <v>220</v>
      </c>
      <c r="B130" s="45"/>
      <c r="C130" s="45"/>
      <c r="D130" s="147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</f>
        <v>0</v>
      </c>
      <c r="E130" s="112">
        <f>D130/D129</f>
        <v>0</v>
      </c>
      <c r="F130" s="168"/>
    </row>
    <row r="131" spans="1:6" ht="18.75" x14ac:dyDescent="0.3">
      <c r="A131" s="44" t="s">
        <v>203</v>
      </c>
      <c r="B131" s="45"/>
      <c r="C131" s="45"/>
      <c r="D131" s="148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</f>
        <v>0</v>
      </c>
      <c r="E131" s="112">
        <f>D131/D129</f>
        <v>0</v>
      </c>
      <c r="F131" s="168"/>
    </row>
    <row r="132" spans="1:6" x14ac:dyDescent="0.25">
      <c r="A132" s="70" t="s">
        <v>146</v>
      </c>
      <c r="B132" s="71"/>
      <c r="C132" s="71"/>
      <c r="D132" s="103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</f>
        <v>0</v>
      </c>
      <c r="E132" s="60">
        <f>D132/D128</f>
        <v>0</v>
      </c>
      <c r="F132" s="47"/>
    </row>
    <row r="133" spans="1:6" x14ac:dyDescent="0.25">
      <c r="A133" s="66" t="s">
        <v>147</v>
      </c>
      <c r="B133" s="67"/>
      <c r="C133" s="67"/>
      <c r="D133" s="108">
        <f>SUM(D134:D139)</f>
        <v>0</v>
      </c>
      <c r="E133" s="60">
        <f>D133/D128</f>
        <v>0</v>
      </c>
      <c r="F133" s="47"/>
    </row>
    <row r="134" spans="1:6" x14ac:dyDescent="0.25">
      <c r="A134" s="51"/>
      <c r="B134" s="52"/>
      <c r="C134" s="52" t="s">
        <v>1</v>
      </c>
      <c r="D134" s="117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</f>
        <v>0</v>
      </c>
      <c r="E134" s="78" t="str">
        <f>IFERROR(D134/D133,"")</f>
        <v/>
      </c>
      <c r="F134" s="47"/>
    </row>
    <row r="135" spans="1:6" x14ac:dyDescent="0.25">
      <c r="A135" s="51"/>
      <c r="B135" s="52"/>
      <c r="C135" s="52" t="s">
        <v>72</v>
      </c>
      <c r="D135" s="117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</f>
        <v>0</v>
      </c>
      <c r="E135" s="78" t="str">
        <f>IFERROR(D135/D133,"")</f>
        <v/>
      </c>
      <c r="F135" s="47"/>
    </row>
    <row r="136" spans="1:6" x14ac:dyDescent="0.25">
      <c r="A136" s="51"/>
      <c r="B136" s="52"/>
      <c r="C136" s="52" t="s">
        <v>62</v>
      </c>
      <c r="D136" s="117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</f>
        <v>0</v>
      </c>
      <c r="E136" s="78" t="str">
        <f>IFERROR(D136/D133,"")</f>
        <v/>
      </c>
      <c r="F136" s="47"/>
    </row>
    <row r="137" spans="1:6" x14ac:dyDescent="0.25">
      <c r="A137" s="51"/>
      <c r="B137" s="52"/>
      <c r="C137" s="52" t="s">
        <v>64</v>
      </c>
      <c r="D137" s="117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</f>
        <v>0</v>
      </c>
      <c r="E137" s="78" t="str">
        <f>IFERROR(D137/D133,"")</f>
        <v/>
      </c>
      <c r="F137" s="47"/>
    </row>
    <row r="138" spans="1:6" x14ac:dyDescent="0.25">
      <c r="A138" s="51"/>
      <c r="B138" s="52"/>
      <c r="C138" s="52" t="s">
        <v>63</v>
      </c>
      <c r="D138" s="117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</f>
        <v>0</v>
      </c>
      <c r="E138" s="78" t="str">
        <f>IFERROR(D138/D133,"")</f>
        <v/>
      </c>
      <c r="F138" s="47"/>
    </row>
    <row r="139" spans="1:6" x14ac:dyDescent="0.25">
      <c r="A139" s="53"/>
      <c r="B139" s="54"/>
      <c r="C139" s="54" t="s">
        <v>148</v>
      </c>
      <c r="D139" s="117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</f>
        <v>0</v>
      </c>
      <c r="E139" s="78" t="str">
        <f>IFERROR(D139/D133,"")</f>
        <v/>
      </c>
      <c r="F139" s="47"/>
    </row>
    <row r="140" spans="1:6" x14ac:dyDescent="0.25">
      <c r="A140" s="70" t="s">
        <v>180</v>
      </c>
      <c r="B140" s="71"/>
      <c r="C140" s="76"/>
      <c r="D140" s="103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</f>
        <v>0</v>
      </c>
      <c r="E140" s="60">
        <f>D140/D128</f>
        <v>0</v>
      </c>
      <c r="F140" s="47"/>
    </row>
    <row r="141" spans="1:6" x14ac:dyDescent="0.25">
      <c r="A141" s="70" t="s">
        <v>154</v>
      </c>
      <c r="B141" s="71"/>
      <c r="C141" s="76"/>
      <c r="D141" s="103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</f>
        <v>0</v>
      </c>
      <c r="E141" s="60">
        <f>D141/D128</f>
        <v>0</v>
      </c>
      <c r="F141" s="47"/>
    </row>
    <row r="142" spans="1:6" x14ac:dyDescent="0.25">
      <c r="A142" s="70" t="s">
        <v>181</v>
      </c>
      <c r="B142" s="71"/>
      <c r="C142" s="76"/>
      <c r="D142" s="103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</f>
        <v>0</v>
      </c>
      <c r="E142" s="60">
        <f>D142/D128</f>
        <v>0</v>
      </c>
      <c r="F142" s="47"/>
    </row>
    <row r="143" spans="1:6" x14ac:dyDescent="0.25">
      <c r="A143" s="72" t="s">
        <v>152</v>
      </c>
      <c r="B143" s="73"/>
      <c r="C143" s="77"/>
      <c r="D143" s="108">
        <f>SUM(D144:D145)</f>
        <v>0</v>
      </c>
      <c r="E143" s="60">
        <f>D143/D128</f>
        <v>0</v>
      </c>
      <c r="F143" s="47"/>
    </row>
    <row r="144" spans="1:6" x14ac:dyDescent="0.25">
      <c r="A144" s="51"/>
      <c r="B144" s="52"/>
      <c r="C144" s="52" t="s">
        <v>45</v>
      </c>
      <c r="D144" s="117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</f>
        <v>0</v>
      </c>
      <c r="E144" s="78">
        <f>D144/D128</f>
        <v>0</v>
      </c>
      <c r="F144" s="47"/>
    </row>
    <row r="145" spans="1:6" ht="15.75" thickBot="1" x14ac:dyDescent="0.3">
      <c r="A145" s="55"/>
      <c r="B145" s="56"/>
      <c r="C145" s="56" t="s">
        <v>151</v>
      </c>
      <c r="D145" s="121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</f>
        <v>0</v>
      </c>
      <c r="E145" s="119">
        <f>D145/D128</f>
        <v>0</v>
      </c>
      <c r="F145" s="47"/>
    </row>
    <row r="146" spans="1:6" x14ac:dyDescent="0.25">
      <c r="A146" s="24" t="s">
        <v>168</v>
      </c>
      <c r="B146" s="48"/>
      <c r="C146" s="65"/>
      <c r="D146" s="104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</f>
        <v>44</v>
      </c>
      <c r="E146" s="43">
        <f>D146/D129</f>
        <v>0.26190476190476192</v>
      </c>
      <c r="F146" s="47"/>
    </row>
    <row r="147" spans="1:6" x14ac:dyDescent="0.25">
      <c r="A147" s="53" t="s">
        <v>149</v>
      </c>
      <c r="B147" s="54"/>
      <c r="C147" s="54"/>
      <c r="D147" s="258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</f>
        <v>0</v>
      </c>
      <c r="E147" s="60">
        <f>D147/D129</f>
        <v>0</v>
      </c>
      <c r="F147" s="47"/>
    </row>
    <row r="148" spans="1:6" x14ac:dyDescent="0.25">
      <c r="A148" s="49" t="s">
        <v>150</v>
      </c>
      <c r="B148" s="50"/>
      <c r="C148" s="50"/>
      <c r="D148" s="165" t="e">
        <f>AVERAGEIF('Données '!BP2:BP169,"&lt;&gt;(Inconnu)")</f>
        <v>#DIV/0!</v>
      </c>
      <c r="E148" s="61"/>
      <c r="F148" s="47"/>
    </row>
    <row r="149" spans="1:6" x14ac:dyDescent="0.25">
      <c r="A149" s="49" t="s">
        <v>167</v>
      </c>
      <c r="B149" s="50"/>
      <c r="C149" s="50"/>
      <c r="D149" s="165" t="e">
        <f>AVERAGEIF('Données '!BM2:BM169,"&lt;&gt;(Inconnu)")</f>
        <v>#DIV/0!</v>
      </c>
      <c r="E149" s="61"/>
      <c r="F149" s="47"/>
    </row>
    <row r="150" spans="1:6" x14ac:dyDescent="0.25">
      <c r="A150" s="49" t="s">
        <v>286</v>
      </c>
      <c r="B150" s="50"/>
      <c r="C150" s="50"/>
      <c r="D150" s="114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</f>
        <v>0</v>
      </c>
      <c r="E150" s="60">
        <f>D150/160</f>
        <v>0</v>
      </c>
      <c r="F150" s="47"/>
    </row>
    <row r="151" spans="1:6" x14ac:dyDescent="0.25">
      <c r="A151" s="49" t="s">
        <v>221</v>
      </c>
      <c r="B151" s="50"/>
      <c r="C151" s="50"/>
      <c r="D151" s="114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</f>
        <v>0</v>
      </c>
      <c r="E151" s="60">
        <f>D151/160</f>
        <v>0</v>
      </c>
      <c r="F151" s="47"/>
    </row>
    <row r="152" spans="1:6" x14ac:dyDescent="0.25">
      <c r="A152" s="25" t="s">
        <v>222</v>
      </c>
      <c r="B152" s="26"/>
      <c r="C152" s="26"/>
      <c r="D152" s="114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</f>
        <v>13</v>
      </c>
      <c r="E152" s="60">
        <f>D152/160</f>
        <v>8.1250000000000003E-2</v>
      </c>
      <c r="F152" s="47"/>
    </row>
    <row r="153" spans="1:6" ht="15.75" thickBot="1" x14ac:dyDescent="0.3">
      <c r="A153" s="57" t="s">
        <v>223</v>
      </c>
      <c r="B153" s="58"/>
      <c r="C153" s="58"/>
      <c r="D153" s="167">
        <v>5.5</v>
      </c>
      <c r="E153" s="27"/>
      <c r="F153" s="47"/>
    </row>
    <row r="154" spans="1:6" ht="18.75" x14ac:dyDescent="0.3">
      <c r="A154" s="139"/>
      <c r="B154" s="139"/>
      <c r="C154" s="139"/>
      <c r="D154" s="139"/>
      <c r="E154" s="139"/>
      <c r="F154" s="47"/>
    </row>
    <row r="155" spans="1:6" ht="18.75" x14ac:dyDescent="0.3">
      <c r="A155" s="139"/>
      <c r="B155" s="139"/>
      <c r="C155" s="139"/>
      <c r="D155" s="139"/>
      <c r="E155" s="139"/>
      <c r="F155" s="47"/>
    </row>
    <row r="156" spans="1:6" ht="18.75" x14ac:dyDescent="0.3">
      <c r="A156" s="139"/>
      <c r="B156" s="139"/>
      <c r="C156" s="139"/>
      <c r="D156" s="139"/>
      <c r="E156" s="139"/>
      <c r="F156" s="47"/>
    </row>
    <row r="157" spans="1:6" ht="19.5" thickBot="1" x14ac:dyDescent="0.35">
      <c r="A157" s="139"/>
      <c r="B157" s="139"/>
      <c r="C157" s="139"/>
      <c r="D157" s="139"/>
      <c r="E157" s="139"/>
      <c r="F157" s="47"/>
    </row>
    <row r="158" spans="1:6" ht="19.5" thickBot="1" x14ac:dyDescent="0.35">
      <c r="A158" s="310" t="s">
        <v>226</v>
      </c>
      <c r="B158" s="311"/>
      <c r="C158" s="312"/>
      <c r="D158" s="140" t="s">
        <v>144</v>
      </c>
      <c r="E158" s="141" t="s">
        <v>145</v>
      </c>
      <c r="F158" s="30"/>
    </row>
    <row r="159" spans="1:6" ht="18.75" x14ac:dyDescent="0.3">
      <c r="A159" s="68" t="s">
        <v>184</v>
      </c>
      <c r="B159" s="69"/>
      <c r="C159" s="75"/>
      <c r="D159" s="113">
        <f>COUNTIFS('Données '!$A:$A,"JANVIER")+COUNTIFS('Données '!$A:$A,"FEVRIER")+COUNTIFS('Données '!$A:$A,"MARS")+COUNTIFS('Données '!$A:$A,"AVRIL")+COUNTIFS('Données '!$A:$A,"MAI")+COUNTIFS('Données '!$A:$A,"JUIN")+COUNTIFS('Données '!$A:$A,"JUILLET")</f>
        <v>181</v>
      </c>
      <c r="E159" s="59"/>
      <c r="F159" s="30"/>
    </row>
    <row r="160" spans="1:6" ht="18.75" x14ac:dyDescent="0.3">
      <c r="A160" s="44" t="s">
        <v>176</v>
      </c>
      <c r="B160" s="45"/>
      <c r="C160" s="45"/>
      <c r="D160" s="135">
        <v>181</v>
      </c>
      <c r="E160" s="46"/>
      <c r="F160" s="30"/>
    </row>
    <row r="161" spans="1:6" ht="18.75" x14ac:dyDescent="0.3">
      <c r="A161" s="44" t="s">
        <v>220</v>
      </c>
      <c r="B161" s="45"/>
      <c r="C161" s="45"/>
      <c r="D161" s="147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'!$BW:$BW,"OUI")+COUNTIFS('Données '!$A:$A,"JUILLET",'Données '!$BW:$BW,"OUI")</f>
        <v>0</v>
      </c>
      <c r="E161" s="112">
        <f>D161/D160</f>
        <v>0</v>
      </c>
      <c r="F161" s="168"/>
    </row>
    <row r="162" spans="1:6" ht="18.75" x14ac:dyDescent="0.3">
      <c r="A162" s="44" t="s">
        <v>203</v>
      </c>
      <c r="B162" s="45"/>
      <c r="C162" s="45"/>
      <c r="D162" s="148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'!$F:$F,1)+COUNTIFS('Données '!$A:$A,"JUILLET",'Données '!$F:$F,1)</f>
        <v>0</v>
      </c>
      <c r="E162" s="112">
        <f>D162/D160</f>
        <v>0</v>
      </c>
      <c r="F162" s="168"/>
    </row>
    <row r="163" spans="1:6" x14ac:dyDescent="0.25">
      <c r="A163" s="70" t="s">
        <v>146</v>
      </c>
      <c r="B163" s="71"/>
      <c r="C163" s="71"/>
      <c r="D163" s="103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'!$O:$O,"CABG")+COUNTIFS('Données '!$A:$A,"JUILLET",'Données '!$O:$O,"CABG")</f>
        <v>0</v>
      </c>
      <c r="E163" s="60">
        <f>D163/D159</f>
        <v>0</v>
      </c>
      <c r="F163" s="47"/>
    </row>
    <row r="164" spans="1:6" x14ac:dyDescent="0.25">
      <c r="A164" s="66" t="s">
        <v>147</v>
      </c>
      <c r="B164" s="67"/>
      <c r="C164" s="67"/>
      <c r="D164" s="108">
        <f>SUM(D165:D170)</f>
        <v>0</v>
      </c>
      <c r="E164" s="60">
        <f>D164/D159</f>
        <v>0</v>
      </c>
      <c r="F164" s="47"/>
    </row>
    <row r="165" spans="1:6" x14ac:dyDescent="0.25">
      <c r="A165" s="51"/>
      <c r="B165" s="52"/>
      <c r="C165" s="52" t="s">
        <v>1</v>
      </c>
      <c r="D165" s="117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'!$R:$R,"AVR")+COUNTIFS('Données '!$A:$A,"JUILLET",'Données '!$R:$R,"AVR")</f>
        <v>0</v>
      </c>
      <c r="E165" s="78" t="str">
        <f>IFERROR(D165/D164,"")</f>
        <v/>
      </c>
      <c r="F165" s="47"/>
    </row>
    <row r="166" spans="1:6" x14ac:dyDescent="0.25">
      <c r="A166" s="51"/>
      <c r="B166" s="52"/>
      <c r="C166" s="52" t="s">
        <v>72</v>
      </c>
      <c r="D166" s="117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'!$R:$R,"TVR")+COUNTIFS('Données '!$A:$A,"JUILLET",'Données '!$R:$R,"TVR")</f>
        <v>0</v>
      </c>
      <c r="E166" s="78" t="str">
        <f>IFERROR(D166/D164,"")</f>
        <v/>
      </c>
      <c r="F166" s="47"/>
    </row>
    <row r="167" spans="1:6" x14ac:dyDescent="0.25">
      <c r="A167" s="51"/>
      <c r="B167" s="52"/>
      <c r="C167" s="52" t="s">
        <v>62</v>
      </c>
      <c r="D167" s="117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'!$R:$R,"TVP")+COUNTIFS('Données '!$A:$A,"JUILLET",'Données '!$R:$R,"TVP")</f>
        <v>0</v>
      </c>
      <c r="E167" s="78" t="str">
        <f>IFERROR(D167/D164,"")</f>
        <v/>
      </c>
      <c r="F167" s="47"/>
    </row>
    <row r="168" spans="1:6" x14ac:dyDescent="0.25">
      <c r="A168" s="51"/>
      <c r="B168" s="52"/>
      <c r="C168" s="52" t="s">
        <v>64</v>
      </c>
      <c r="D168" s="117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'!$R:$R,"MVR")+COUNTIFS('Données '!$A:$A,"JUILLET",'Données '!$R:$R,"MVR")</f>
        <v>0</v>
      </c>
      <c r="E168" s="78" t="str">
        <f>IFERROR(D168/D164,"")</f>
        <v/>
      </c>
      <c r="F168" s="47"/>
    </row>
    <row r="169" spans="1:6" x14ac:dyDescent="0.25">
      <c r="A169" s="51"/>
      <c r="B169" s="52"/>
      <c r="C169" s="52" t="s">
        <v>63</v>
      </c>
      <c r="D169" s="117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'!$R:$R,"MVP")+COUNTIFS('Données '!$A:$A,"JUILLET",'Données '!$R:$R,"MVP")</f>
        <v>0</v>
      </c>
      <c r="E169" s="78" t="str">
        <f>IFERROR(D169/D164,"")</f>
        <v/>
      </c>
      <c r="F169" s="47"/>
    </row>
    <row r="170" spans="1:6" x14ac:dyDescent="0.25">
      <c r="A170" s="53"/>
      <c r="B170" s="54"/>
      <c r="C170" s="54" t="s">
        <v>148</v>
      </c>
      <c r="D170" s="117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plus")+COUNTIFS('Données '!$A:$A,"JUILLET",'Données '!$R:$R,"2 V ou plus")</f>
        <v>0</v>
      </c>
      <c r="E170" s="78" t="str">
        <f>IFERROR(D170/D164,"")</f>
        <v/>
      </c>
      <c r="F170" s="47"/>
    </row>
    <row r="171" spans="1:6" x14ac:dyDescent="0.25">
      <c r="A171" s="70" t="s">
        <v>180</v>
      </c>
      <c r="B171" s="71"/>
      <c r="C171" s="76"/>
      <c r="D171" s="103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+*")+COUNTIFS('Données '!$A:$A,"JUILLET",'Données '!$O:$O,"CABG +*")</f>
        <v>0</v>
      </c>
      <c r="E171" s="60">
        <f>D171/D159</f>
        <v>0</v>
      </c>
      <c r="F171" s="47"/>
    </row>
    <row r="172" spans="1:6" x14ac:dyDescent="0.25">
      <c r="A172" s="70" t="s">
        <v>154</v>
      </c>
      <c r="B172" s="71"/>
      <c r="C172" s="76"/>
      <c r="D172" s="103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'!$O:$O,"Aorte")+COUNTIFS('Données '!$A:$A,"JUILLET",'Données '!$O:$O,"Aorte")</f>
        <v>0</v>
      </c>
      <c r="E172" s="60">
        <f>D172/D159</f>
        <v>0</v>
      </c>
      <c r="F172" s="47"/>
    </row>
    <row r="173" spans="1:6" x14ac:dyDescent="0.25">
      <c r="A173" s="70" t="s">
        <v>181</v>
      </c>
      <c r="B173" s="71"/>
      <c r="C173" s="76"/>
      <c r="D173" s="103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'!$O:$O,"Autre")+COUNTIFS('Données '!$A:$A,"JUILLET",'Données '!$O:$O,"Autre")</f>
        <v>0</v>
      </c>
      <c r="E173" s="60">
        <f>D173/D159</f>
        <v>0</v>
      </c>
      <c r="F173" s="47"/>
    </row>
    <row r="174" spans="1:6" x14ac:dyDescent="0.25">
      <c r="A174" s="72" t="s">
        <v>152</v>
      </c>
      <c r="B174" s="73"/>
      <c r="C174" s="77"/>
      <c r="D174" s="108">
        <f>SUM(D175:D176)</f>
        <v>0</v>
      </c>
      <c r="E174" s="60">
        <f>D174/D159</f>
        <v>0</v>
      </c>
      <c r="F174" s="47"/>
    </row>
    <row r="175" spans="1:6" x14ac:dyDescent="0.25">
      <c r="A175" s="51"/>
      <c r="B175" s="52"/>
      <c r="C175" s="52" t="s">
        <v>45</v>
      </c>
      <c r="D175" s="117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'!$O:$O,"LVAD")+COUNTIFS('Données '!$A:$A,"JUILLET",'Données '!$O:$O,"LVAD")</f>
        <v>0</v>
      </c>
      <c r="E175" s="78">
        <f>D175/D159</f>
        <v>0</v>
      </c>
      <c r="F175" s="47"/>
    </row>
    <row r="176" spans="1:6" ht="15.75" thickBot="1" x14ac:dyDescent="0.3">
      <c r="A176" s="55"/>
      <c r="B176" s="56"/>
      <c r="C176" s="56" t="s">
        <v>151</v>
      </c>
      <c r="D176" s="121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'!$O:$O,"HTX")+COUNTIFS('Données '!$A:$A,"JUILLET",'Données '!$O:$O,"HTX")</f>
        <v>0</v>
      </c>
      <c r="E176" s="119">
        <f>D176/D159</f>
        <v>0</v>
      </c>
      <c r="F176" s="47"/>
    </row>
    <row r="177" spans="1:6" x14ac:dyDescent="0.25">
      <c r="A177" s="24" t="s">
        <v>168</v>
      </c>
      <c r="B177" s="48"/>
      <c r="C177" s="65"/>
      <c r="D177" s="104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'!$Y:$Y,1)+COUNTIFS('Données '!$A:$A,"JUILLET",'Données '!$Y:$Y,1)</f>
        <v>44</v>
      </c>
      <c r="E177" s="43">
        <f>D177/D160</f>
        <v>0.24309392265193369</v>
      </c>
      <c r="F177" s="47"/>
    </row>
    <row r="178" spans="1:6" x14ac:dyDescent="0.25">
      <c r="A178" s="53" t="s">
        <v>149</v>
      </c>
      <c r="B178" s="54"/>
      <c r="C178" s="54"/>
      <c r="D178" s="258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'!$AN:$AN,"DECEASED")+COUNTIFS('Données '!$A:$A,"JUILLET",'Données '!$AN:$AN,"DECEASED")</f>
        <v>0</v>
      </c>
      <c r="E178" s="60">
        <f>D178/D160</f>
        <v>0</v>
      </c>
      <c r="F178" s="47"/>
    </row>
    <row r="179" spans="1:6" x14ac:dyDescent="0.25">
      <c r="A179" s="49" t="s">
        <v>150</v>
      </c>
      <c r="B179" s="50"/>
      <c r="C179" s="50"/>
      <c r="D179" s="165" t="e">
        <f>AVERAGEIF('Données '!BP2:BP182,"&lt;&gt;(Inconnu)")</f>
        <v>#DIV/0!</v>
      </c>
      <c r="E179" s="61"/>
      <c r="F179" s="47"/>
    </row>
    <row r="180" spans="1:6" x14ac:dyDescent="0.25">
      <c r="A180" s="49" t="s">
        <v>167</v>
      </c>
      <c r="B180" s="50"/>
      <c r="C180" s="50"/>
      <c r="D180" s="165" t="e">
        <f>AVERAGEIF('Données '!BM2:BM182,"&lt;&gt;(Inconnu)")</f>
        <v>#DIV/0!</v>
      </c>
      <c r="E180" s="61"/>
      <c r="F180" s="47"/>
    </row>
    <row r="181" spans="1:6" x14ac:dyDescent="0.25">
      <c r="A181" s="49" t="s">
        <v>286</v>
      </c>
      <c r="B181" s="50"/>
      <c r="C181" s="50"/>
      <c r="D181" s="166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'!$AB:$AB,1)+COUNTIFS('Données '!$A:$A,"JUILLET",'Données '!$AB:$AB,1)</f>
        <v>0</v>
      </c>
      <c r="E181" s="60"/>
      <c r="F181" s="47"/>
    </row>
    <row r="182" spans="1:6" x14ac:dyDescent="0.25">
      <c r="A182" s="49" t="s">
        <v>221</v>
      </c>
      <c r="B182" s="50"/>
      <c r="C182" s="50"/>
      <c r="D182" s="166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'!$AD:$AD,1)+COUNTIFS('Données '!$A:$A,"JUILLET",'Données '!$AD:$AD,1)</f>
        <v>0</v>
      </c>
      <c r="E182" s="60">
        <f>D182/173</f>
        <v>0</v>
      </c>
      <c r="F182" s="47"/>
    </row>
    <row r="183" spans="1:6" x14ac:dyDescent="0.25">
      <c r="A183" s="25" t="s">
        <v>222</v>
      </c>
      <c r="B183" s="26"/>
      <c r="C183" s="26"/>
      <c r="D183" s="166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'!$O:$O,"&lt;&gt;HTX")+COUNTIFS('Données '!$A:$A,"JUILLET",'Données '!$AI:$AI,"&lt;&gt;0",'Données '!$O:$O,"&lt;&gt;LVAD",'Données '!$O:$O,"&lt;&gt;HTX")</f>
        <v>13</v>
      </c>
      <c r="E183" s="60">
        <f>D183/173</f>
        <v>7.5144508670520235E-2</v>
      </c>
      <c r="F183" s="47"/>
    </row>
    <row r="184" spans="1:6" ht="15.75" thickBot="1" x14ac:dyDescent="0.3">
      <c r="A184" s="57" t="s">
        <v>223</v>
      </c>
      <c r="B184" s="58"/>
      <c r="C184" s="58"/>
      <c r="D184" s="167">
        <v>5.5</v>
      </c>
      <c r="E184" s="27"/>
      <c r="F184" s="47"/>
    </row>
    <row r="185" spans="1:6" ht="18.75" x14ac:dyDescent="0.3">
      <c r="A185" s="139"/>
      <c r="B185" s="139"/>
      <c r="C185" s="139"/>
      <c r="D185" s="139"/>
      <c r="E185" s="139"/>
      <c r="F185" s="47"/>
    </row>
    <row r="186" spans="1:6" ht="18.75" x14ac:dyDescent="0.3">
      <c r="A186" s="139"/>
      <c r="B186" s="139"/>
      <c r="C186" s="139"/>
      <c r="D186" s="139"/>
      <c r="E186" s="139"/>
      <c r="F186" s="47"/>
    </row>
    <row r="187" spans="1:6" ht="18.75" x14ac:dyDescent="0.3">
      <c r="A187" s="139"/>
      <c r="B187" s="139"/>
      <c r="C187" s="139"/>
      <c r="D187" s="139"/>
      <c r="E187" s="139"/>
      <c r="F187" s="47"/>
    </row>
    <row r="188" spans="1:6" ht="19.5" thickBot="1" x14ac:dyDescent="0.35">
      <c r="A188" s="139"/>
      <c r="B188" s="139"/>
      <c r="C188" s="139"/>
      <c r="D188" s="139"/>
      <c r="E188" s="139"/>
      <c r="F188" s="47"/>
    </row>
    <row r="189" spans="1:6" ht="19.5" thickBot="1" x14ac:dyDescent="0.35">
      <c r="A189" s="310" t="s">
        <v>225</v>
      </c>
      <c r="B189" s="311"/>
      <c r="C189" s="312"/>
      <c r="D189" s="140" t="s">
        <v>144</v>
      </c>
      <c r="E189" s="141" t="s">
        <v>145</v>
      </c>
      <c r="F189" s="23"/>
    </row>
    <row r="190" spans="1:6" x14ac:dyDescent="0.25">
      <c r="A190" s="68" t="s">
        <v>184</v>
      </c>
      <c r="B190" s="69"/>
      <c r="C190" s="75"/>
      <c r="D190" s="113">
        <f>COUNTIFS('Données '!$A:$A,"JANVIER")+COUNTIFS('Données '!$A:$A,"FEVRIER")+COUNTIFS('Données '!$A:$A,"MARS")+COUNTIFS('Données '!$A:$A,"AVRIL")+COUNTIFS('Données '!$A:$A,"MAI")+COUNTIFS('Données '!$A:$A,"JUIN")+COUNTIFS('Données '!$A:$A,"JUILLET")+COUNTIFS('Données '!$A:$A,"AOUT")</f>
        <v>201</v>
      </c>
      <c r="E190" s="59"/>
      <c r="F190" s="47"/>
    </row>
    <row r="191" spans="1:6" x14ac:dyDescent="0.25">
      <c r="A191" s="44" t="s">
        <v>176</v>
      </c>
      <c r="B191" s="45"/>
      <c r="C191" s="45"/>
      <c r="D191" s="135">
        <v>201</v>
      </c>
      <c r="E191" s="46"/>
      <c r="F191" s="47"/>
    </row>
    <row r="192" spans="1:6" ht="18.75" x14ac:dyDescent="0.3">
      <c r="A192" s="44" t="s">
        <v>220</v>
      </c>
      <c r="B192" s="45"/>
      <c r="C192" s="45"/>
      <c r="D192" s="147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'!$BW:$BW,"OUI")+COUNTIFS('Données '!$A:$A,"JUILLET",'Données '!$BW:$BW,"OUI")+COUNTIFS('Données '!$A:$A,"AOUT",'Données '!$BW:$BW,"OUI")</f>
        <v>0</v>
      </c>
      <c r="E192" s="112">
        <f>D192/D191</f>
        <v>0</v>
      </c>
      <c r="F192" s="168"/>
    </row>
    <row r="193" spans="1:6" ht="18.75" x14ac:dyDescent="0.3">
      <c r="A193" s="44" t="s">
        <v>203</v>
      </c>
      <c r="B193" s="45"/>
      <c r="C193" s="45"/>
      <c r="D193" s="136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'!$F:$F,1)+COUNTIFS('Données '!$A:$A,"JUILLET",'Données '!$F:$F,1)+COUNTIFS('Données '!$A:$A,"AOUT",'Données '!$F:$F,1)</f>
        <v>0</v>
      </c>
      <c r="E193" s="112">
        <f>D193/D191</f>
        <v>0</v>
      </c>
      <c r="F193" s="168"/>
    </row>
    <row r="194" spans="1:6" ht="18.75" x14ac:dyDescent="0.3">
      <c r="A194" s="70" t="s">
        <v>146</v>
      </c>
      <c r="B194" s="71"/>
      <c r="C194" s="71"/>
      <c r="D194" s="103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'!$O:$O,"CABG")+COUNTIFS('Données '!$A:$A,"JUILLET",'Données '!$O:$O,"CABG")+COUNTIFS('Données '!$A:$A,"AOUT",'Données '!$O:$O,"CABG")</f>
        <v>0</v>
      </c>
      <c r="E194" s="60">
        <f>D194/D190</f>
        <v>0</v>
      </c>
      <c r="F194" s="30"/>
    </row>
    <row r="195" spans="1:6" ht="18.75" x14ac:dyDescent="0.3">
      <c r="A195" s="66" t="s">
        <v>147</v>
      </c>
      <c r="B195" s="67"/>
      <c r="C195" s="67"/>
      <c r="D195" s="108">
        <f>SUM(D196:D201)</f>
        <v>0</v>
      </c>
      <c r="E195" s="60">
        <f>D195/D190</f>
        <v>0</v>
      </c>
      <c r="F195" s="30"/>
    </row>
    <row r="196" spans="1:6" ht="18.75" x14ac:dyDescent="0.3">
      <c r="A196" s="51"/>
      <c r="B196" s="52"/>
      <c r="C196" s="52" t="s">
        <v>1</v>
      </c>
      <c r="D196" s="117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'!$R:$R,"AVR")+COUNTIFS('Données '!$A:$A,"JUILLET",'Données '!$R:$R,"AVR")+COUNTIFS('Données '!$A:$A,"AOUT",'Données '!$R:$R,"AVR")</f>
        <v>0</v>
      </c>
      <c r="E196" s="78" t="str">
        <f>IFERROR(D196/D195,"")</f>
        <v/>
      </c>
      <c r="F196" s="30"/>
    </row>
    <row r="197" spans="1:6" ht="18.75" x14ac:dyDescent="0.3">
      <c r="A197" s="51"/>
      <c r="B197" s="52"/>
      <c r="C197" s="52" t="s">
        <v>72</v>
      </c>
      <c r="D197" s="117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'!$R:$R,"TVR")+COUNTIFS('Données '!$A:$A,"JUILLET",'Données '!$R:$R,"TVR")+COUNTIFS('Données '!$A:$A,"AOUT",'Données '!$R:$R,"TVR")</f>
        <v>0</v>
      </c>
      <c r="E197" s="78" t="str">
        <f>IFERROR(D197/D195,"")</f>
        <v/>
      </c>
      <c r="F197" s="30"/>
    </row>
    <row r="198" spans="1:6" ht="18.75" x14ac:dyDescent="0.3">
      <c r="A198" s="51"/>
      <c r="B198" s="52"/>
      <c r="C198" s="52" t="s">
        <v>62</v>
      </c>
      <c r="D198" s="117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'!$R:$R,"TVP")+COUNTIFS('Données '!$A:$A,"JUILLET",'Données '!$R:$R,"TVP")+COUNTIFS('Données '!$A:$A,"AOUT",'Données '!$R:$R,"TVP")</f>
        <v>0</v>
      </c>
      <c r="E198" s="78" t="str">
        <f>IFERROR(D198/D195,"")</f>
        <v/>
      </c>
      <c r="F198" s="30"/>
    </row>
    <row r="199" spans="1:6" ht="18.75" x14ac:dyDescent="0.3">
      <c r="A199" s="51"/>
      <c r="B199" s="52"/>
      <c r="C199" s="52" t="s">
        <v>64</v>
      </c>
      <c r="D199" s="117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'!$R:$R,"MVR")+COUNTIFS('Données '!$A:$A,"JUILLET",'Données '!$R:$R,"MVR")+COUNTIFS('Données '!$A:$A,"AOUT",'Données '!$R:$R,"MVR")</f>
        <v>0</v>
      </c>
      <c r="E199" s="78" t="str">
        <f>IFERROR(D199/D195,"")</f>
        <v/>
      </c>
      <c r="F199" s="30"/>
    </row>
    <row r="200" spans="1:6" ht="18.75" x14ac:dyDescent="0.3">
      <c r="A200" s="51"/>
      <c r="B200" s="52"/>
      <c r="C200" s="52" t="s">
        <v>63</v>
      </c>
      <c r="D200" s="117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'!$R:$R,"MVP")+COUNTIFS('Données '!$A:$A,"JUILLET",'Données '!$R:$R,"MVP")+COUNTIFS('Données '!$A:$A,"AOUT",'Données '!$R:$R,"MVP")</f>
        <v>0</v>
      </c>
      <c r="E200" s="78" t="str">
        <f>IFERROR(D200/D195,"")</f>
        <v/>
      </c>
      <c r="F200" s="30"/>
    </row>
    <row r="201" spans="1:6" ht="18.75" x14ac:dyDescent="0.3">
      <c r="A201" s="53"/>
      <c r="B201" s="54"/>
      <c r="C201" s="54" t="s">
        <v>148</v>
      </c>
      <c r="D201" s="117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plus")+COUNTIFS('Données '!$A:$A,"JUILLET",'Données '!$R:$R,"2 V ou plus")+COUNTIFS('Données '!$A:$A,"AOUT ",'Données '!$R:$R,"2 V ou plus")</f>
        <v>0</v>
      </c>
      <c r="E201" s="78" t="str">
        <f>IFERROR(D201/D195,"")</f>
        <v/>
      </c>
      <c r="F201" s="30"/>
    </row>
    <row r="202" spans="1:6" ht="18.75" x14ac:dyDescent="0.3">
      <c r="A202" s="70" t="s">
        <v>180</v>
      </c>
      <c r="B202" s="71"/>
      <c r="C202" s="76"/>
      <c r="D202" s="103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+*")+COUNTIFS('Données '!$A:$A,"JUILLET",'Données '!$O:$O,"CABG +*")+COUNTIFS('Données '!$A:$A,"AOUT",'Données '!$O:$O,"CABG +*")</f>
        <v>0</v>
      </c>
      <c r="E202" s="60">
        <f>D202/D190</f>
        <v>0</v>
      </c>
      <c r="F202" s="30"/>
    </row>
    <row r="203" spans="1:6" ht="18.75" x14ac:dyDescent="0.3">
      <c r="A203" s="70" t="s">
        <v>154</v>
      </c>
      <c r="B203" s="71"/>
      <c r="C203" s="76"/>
      <c r="D203" s="103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'!$O:$O,"Aorte")+COUNTIFS('Données '!$A:$A,"JUILLET",'Données '!$O:$O,"Aorte")+COUNTIFS('Données '!$A:$A,"AOUT",'Données '!$O:$O,"Aorte")</f>
        <v>0</v>
      </c>
      <c r="E203" s="60">
        <f>D203/D190</f>
        <v>0</v>
      </c>
      <c r="F203" s="30"/>
    </row>
    <row r="204" spans="1:6" ht="18.75" x14ac:dyDescent="0.3">
      <c r="A204" s="70" t="s">
        <v>181</v>
      </c>
      <c r="B204" s="71"/>
      <c r="C204" s="76"/>
      <c r="D204" s="103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'!$O:$O,"Autre")+COUNTIFS('Données '!$A:$A,"JUILLET",'Données '!$O:$O,"Autre")+COUNTIFS('Données '!$A:$A,"AOUT",'Données '!$O:$O,"Autre")</f>
        <v>0</v>
      </c>
      <c r="E204" s="60">
        <f>D204/D190</f>
        <v>0</v>
      </c>
      <c r="F204" s="30"/>
    </row>
    <row r="205" spans="1:6" ht="18.75" x14ac:dyDescent="0.3">
      <c r="A205" s="72" t="s">
        <v>152</v>
      </c>
      <c r="B205" s="73"/>
      <c r="C205" s="77"/>
      <c r="D205" s="108">
        <f>SUM(D206:D207)</f>
        <v>0</v>
      </c>
      <c r="E205" s="60">
        <f>D205/D190</f>
        <v>0</v>
      </c>
      <c r="F205" s="30"/>
    </row>
    <row r="206" spans="1:6" ht="18.75" x14ac:dyDescent="0.3">
      <c r="A206" s="51"/>
      <c r="B206" s="52"/>
      <c r="C206" s="52" t="s">
        <v>45</v>
      </c>
      <c r="D206" s="117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'!$O:$O,"LVAD")+COUNTIFS('Données '!$A:$A,"JUILLET",'Données '!$O:$O,"LVAD")+COUNTIFS('Données '!$A:$A,"AOUT",'Données '!$O:$O,"LVAD")</f>
        <v>0</v>
      </c>
      <c r="E206" s="78">
        <f>D206/D190</f>
        <v>0</v>
      </c>
      <c r="F206" s="30"/>
    </row>
    <row r="207" spans="1:6" ht="19.5" thickBot="1" x14ac:dyDescent="0.35">
      <c r="A207" s="55"/>
      <c r="B207" s="56"/>
      <c r="C207" s="56" t="s">
        <v>151</v>
      </c>
      <c r="D207" s="121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'!$O:$O,"HTX")+COUNTIFS('Données '!$A:$A,"JUILLET",'Données '!$O:$O,"HTX")+COUNTIFS('Données '!$A:$A,"AOUT",'Données '!$O:$O,"HTX")</f>
        <v>0</v>
      </c>
      <c r="E207" s="119">
        <f>D207/D190</f>
        <v>0</v>
      </c>
      <c r="F207" s="30"/>
    </row>
    <row r="208" spans="1:6" ht="18.75" x14ac:dyDescent="0.3">
      <c r="A208" s="24" t="s">
        <v>168</v>
      </c>
      <c r="B208" s="48"/>
      <c r="C208" s="65"/>
      <c r="D208" s="104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'!$Y:$Y,1)+COUNTIFS('Données '!$A:$A,"JUILLET",'Données '!$Y:$Y,1)+COUNTIFS('Données '!$A:$A,"AOUT",'Données '!$Y:$Y,1)</f>
        <v>44</v>
      </c>
      <c r="E208" s="43">
        <f>D208/D191</f>
        <v>0.21890547263681592</v>
      </c>
      <c r="F208" s="30"/>
    </row>
    <row r="209" spans="1:6" ht="18.75" x14ac:dyDescent="0.3">
      <c r="A209" s="53" t="s">
        <v>305</v>
      </c>
      <c r="B209" s="54"/>
      <c r="C209" s="54"/>
      <c r="D209" s="103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'!$AN:$AN,"DECEASED")+COUNTIFS('Données '!$A:$A,"JUILLET",'Données '!$AN:$AN,"DECEASED")+COUNTIFS('Données '!$A:$A,"AOUT",'Données '!$AN:$AN,"DECEASED")</f>
        <v>0</v>
      </c>
      <c r="E209" s="60">
        <f>D209/D190</f>
        <v>0</v>
      </c>
      <c r="F209" s="30"/>
    </row>
    <row r="210" spans="1:6" x14ac:dyDescent="0.25">
      <c r="A210" s="49" t="s">
        <v>150</v>
      </c>
      <c r="B210" s="50"/>
      <c r="C210" s="50"/>
      <c r="D210" s="165" t="e">
        <f>AVERAGEIF('Données '!BP2:BP202,"&lt;&gt;(Inconnu)")</f>
        <v>#DIV/0!</v>
      </c>
      <c r="E210" s="61"/>
      <c r="F210" s="47"/>
    </row>
    <row r="211" spans="1:6" x14ac:dyDescent="0.25">
      <c r="A211" s="49" t="s">
        <v>167</v>
      </c>
      <c r="B211" s="50"/>
      <c r="C211" s="50"/>
      <c r="D211" s="165" t="e">
        <f>AVERAGEIF('Données '!BM2:BM202,"&lt;&gt;(Inconnu)")</f>
        <v>#DIV/0!</v>
      </c>
      <c r="E211" s="61"/>
      <c r="F211" s="47"/>
    </row>
    <row r="212" spans="1:6" x14ac:dyDescent="0.25">
      <c r="A212" s="49" t="s">
        <v>286</v>
      </c>
      <c r="B212" s="50"/>
      <c r="C212" s="50"/>
      <c r="D212" s="114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'!$AB:$AB,1)+COUNTIFS('Données '!$A:$A,"JUILLET",'Données '!$AB:$AB,1)+COUNTIFS('Données '!$A:$A,"AOUT",'Données '!$AB:$AB,1)</f>
        <v>0</v>
      </c>
      <c r="E212" s="60">
        <f>D212/190</f>
        <v>0</v>
      </c>
      <c r="F212" s="47"/>
    </row>
    <row r="213" spans="1:6" x14ac:dyDescent="0.25">
      <c r="A213" s="49" t="s">
        <v>221</v>
      </c>
      <c r="B213" s="50"/>
      <c r="C213" s="50"/>
      <c r="D213" s="114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'!$AD:$AD,1)+COUNTIFS('Données '!$A:$A,"JUILLET",'Données '!$AD:$AD,1)+COUNTIFS('Données '!$A:$A,"AOUT",'Données '!$AD:$AD,1)</f>
        <v>0</v>
      </c>
      <c r="E213" s="60">
        <f>D213/190</f>
        <v>0</v>
      </c>
      <c r="F213" s="47"/>
    </row>
    <row r="214" spans="1:6" x14ac:dyDescent="0.25">
      <c r="A214" s="25" t="s">
        <v>222</v>
      </c>
      <c r="B214" s="26"/>
      <c r="C214" s="26"/>
      <c r="D214" s="114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'!$O:$O,"&lt;&gt;HTX")+COUNTIFS('Données '!$A:$A,"JUILLET",'Données '!$AI:$AI,"&lt;&gt;0",'Données '!$O:$O,"&lt;&gt;LVAD",'Données '!$O:$O,"&lt;&gt;HTX")+COUNTIFS('Données '!$A:$A,"AOUT",'Données '!$AI:$AI,"&lt;&gt;0",'Données '!$O:$O,"&lt;&gt;LVAD",'Données '!$O:$O,"&lt;&gt;HTX")</f>
        <v>13</v>
      </c>
      <c r="E214" s="60">
        <f>D214/190</f>
        <v>6.8421052631578952E-2</v>
      </c>
      <c r="F214" s="47"/>
    </row>
    <row r="215" spans="1:6" ht="15.75" thickBot="1" x14ac:dyDescent="0.3">
      <c r="A215" s="57" t="s">
        <v>223</v>
      </c>
      <c r="B215" s="58"/>
      <c r="C215" s="58"/>
      <c r="D215" s="167">
        <v>5.4</v>
      </c>
      <c r="E215" s="27"/>
      <c r="F215" s="47"/>
    </row>
    <row r="216" spans="1:6" ht="18.75" x14ac:dyDescent="0.3">
      <c r="A216" s="23"/>
      <c r="B216" s="23"/>
      <c r="C216" s="23"/>
      <c r="D216" s="105"/>
      <c r="E216" s="23"/>
      <c r="F216" s="47"/>
    </row>
    <row r="217" spans="1:6" ht="18.75" x14ac:dyDescent="0.3">
      <c r="A217" s="22"/>
      <c r="B217" s="22"/>
      <c r="C217" s="22"/>
      <c r="D217" s="106"/>
      <c r="E217" s="23"/>
      <c r="F217" s="30"/>
    </row>
    <row r="218" spans="1:6" ht="18.75" x14ac:dyDescent="0.3">
      <c r="A218" s="47"/>
      <c r="B218" s="47"/>
      <c r="C218" s="47"/>
      <c r="D218" s="8"/>
      <c r="E218" s="47"/>
      <c r="F218" s="30"/>
    </row>
    <row r="219" spans="1:6" ht="19.5" thickBot="1" x14ac:dyDescent="0.35">
      <c r="A219" s="139"/>
      <c r="B219" s="139"/>
      <c r="C219" s="139"/>
      <c r="D219" s="139"/>
      <c r="E219" s="139"/>
      <c r="F219" s="30"/>
    </row>
    <row r="220" spans="1:6" ht="19.5" thickBot="1" x14ac:dyDescent="0.35">
      <c r="A220" s="310" t="s">
        <v>218</v>
      </c>
      <c r="B220" s="311"/>
      <c r="C220" s="312"/>
      <c r="D220" s="140" t="s">
        <v>144</v>
      </c>
      <c r="E220" s="141" t="s">
        <v>145</v>
      </c>
      <c r="F220" s="30"/>
    </row>
    <row r="221" spans="1:6" ht="18.75" x14ac:dyDescent="0.3">
      <c r="A221" s="68" t="s">
        <v>184</v>
      </c>
      <c r="B221" s="69"/>
      <c r="C221" s="75"/>
      <c r="D221" s="113">
        <f>COUNTIFS('Données '!$A:$A,"JANVIER")+COUNTIFS('Données '!$A:$A,"FEVRIER")+COUNTIFS('Données '!$A:$A,"MARS")+COUNTIFS('Données '!$A:$A,"AVRIL")+COUNTIFS('Données '!$A:$A,"MAI")+COUNTIFS('Données '!$A:$A,"JUIN")+COUNTIFS('Données '!$A:$A,"JUILLET")+COUNTIFS('Données '!$A:$A,"AOUT")+COUNTIFS('Données '!$A:$A,"SEPTEMBRE")</f>
        <v>226</v>
      </c>
      <c r="E221" s="59"/>
      <c r="F221" s="30"/>
    </row>
    <row r="222" spans="1:6" ht="18.75" x14ac:dyDescent="0.3">
      <c r="A222" s="44" t="s">
        <v>176</v>
      </c>
      <c r="B222" s="45"/>
      <c r="C222" s="45"/>
      <c r="D222" s="135">
        <v>226</v>
      </c>
      <c r="E222" s="46"/>
      <c r="F222" s="30"/>
    </row>
    <row r="223" spans="1:6" ht="18.75" x14ac:dyDescent="0.3">
      <c r="A223" s="44" t="s">
        <v>220</v>
      </c>
      <c r="B223" s="45"/>
      <c r="C223" s="45"/>
      <c r="D223" s="147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'!$BW:$BW,"OUI")+COUNTIFS('Données '!$A:$A,"JUILLET",'Données '!$BW:$BW,"OUI")+COUNTIFS('Données '!$A:$A,"AOUT",'Données '!$BW:$BW,"OUI")+COUNTIFS('Données '!$A:$A,"SEPTEMBRE",'Données '!$BW:$BW,"OUI")</f>
        <v>0</v>
      </c>
      <c r="E223" s="112">
        <f>D223/D222</f>
        <v>0</v>
      </c>
      <c r="F223" s="168"/>
    </row>
    <row r="224" spans="1:6" ht="18.75" x14ac:dyDescent="0.3">
      <c r="A224" s="44" t="s">
        <v>203</v>
      </c>
      <c r="B224" s="45"/>
      <c r="C224" s="45"/>
      <c r="D224" s="136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'!$F:$F,1)+COUNTIFS('Données '!$A:$A,"JUILLET",'Données '!$F:$F,1)+COUNTIFS('Données '!$A:$A,"AOUT",'Données '!$F:$F,1)+COUNTIFS('Données '!$A:$A,"SEPTEMBRE",'Données '!$F:$F,1)</f>
        <v>0</v>
      </c>
      <c r="E224" s="112">
        <f>D224/D222</f>
        <v>0</v>
      </c>
      <c r="F224" s="168"/>
    </row>
    <row r="225" spans="1:6" x14ac:dyDescent="0.25">
      <c r="A225" s="70" t="s">
        <v>146</v>
      </c>
      <c r="B225" s="71"/>
      <c r="C225" s="71"/>
      <c r="D225" s="103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'!$O:$O,"CABG")+COUNTIFS('Données '!$A:$A,"JUILLET",'Données '!$O:$O,"CABG")+COUNTIFS('Données '!$A:$A,"AOUT",'Données '!$O:$O,"CABG")+COUNTIFS('Données '!$A:$A,"SEPTEMBRE",'Données '!$O:$O,"CABG")</f>
        <v>0</v>
      </c>
      <c r="E225" s="60">
        <f>D225/D221</f>
        <v>0</v>
      </c>
      <c r="F225" s="47"/>
    </row>
    <row r="226" spans="1:6" x14ac:dyDescent="0.25">
      <c r="A226" s="66" t="s">
        <v>147</v>
      </c>
      <c r="B226" s="67"/>
      <c r="C226" s="67"/>
      <c r="D226" s="108">
        <f>SUM(D227:D232)</f>
        <v>0</v>
      </c>
      <c r="E226" s="60">
        <f>D226/D221</f>
        <v>0</v>
      </c>
      <c r="F226" s="47"/>
    </row>
    <row r="227" spans="1:6" x14ac:dyDescent="0.25">
      <c r="A227" s="51"/>
      <c r="B227" s="52"/>
      <c r="C227" s="52" t="s">
        <v>1</v>
      </c>
      <c r="D227" s="117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'!$R:$R,"AVR")+COUNTIFS('Données '!$A:$A,"JUILLET",'Données '!$R:$R,"AVR")+COUNTIFS('Données '!$A:$A,"AOUT",'Données '!$R:$R,"AVR")+COUNTIFS('Données '!$A:$A,"SEPTEMBRE",'Données '!$R:$R,"AVR")</f>
        <v>0</v>
      </c>
      <c r="E227" s="78" t="str">
        <f>IFERROR(D227/D226,"")</f>
        <v/>
      </c>
      <c r="F227" s="47"/>
    </row>
    <row r="228" spans="1:6" x14ac:dyDescent="0.25">
      <c r="A228" s="51"/>
      <c r="B228" s="52"/>
      <c r="C228" s="52" t="s">
        <v>72</v>
      </c>
      <c r="D228" s="117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'!$R:$R,"TVR")+COUNTIFS('Données '!$A:$A,"JUILLET",'Données '!$R:$R,"TVR")+COUNTIFS('Données '!$A:$A,"AOUT",'Données '!$R:$R,"TVR")+COUNTIFS('Données '!$A:$A,"SEPTEMBRE",'Données '!$R:$R,"TVR")</f>
        <v>0</v>
      </c>
      <c r="E228" s="78" t="str">
        <f>IFERROR(D228/D226,"")</f>
        <v/>
      </c>
      <c r="F228" s="47"/>
    </row>
    <row r="229" spans="1:6" x14ac:dyDescent="0.25">
      <c r="A229" s="51"/>
      <c r="B229" s="52"/>
      <c r="C229" s="52" t="s">
        <v>62</v>
      </c>
      <c r="D229" s="117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'!$R:$R,"TVP")+COUNTIFS('Données '!$A:$A,"JUILLET",'Données '!$R:$R,"TVP")+COUNTIFS('Données '!$A:$A,"AOUT",'Données '!$R:$R,"TVP")+COUNTIFS('Données '!$A:$A,"SEPTEMBRE",'Données '!$R:$R,"TVP")</f>
        <v>0</v>
      </c>
      <c r="E229" s="78" t="str">
        <f>IFERROR(D229/D226,"")</f>
        <v/>
      </c>
      <c r="F229" s="47"/>
    </row>
    <row r="230" spans="1:6" x14ac:dyDescent="0.25">
      <c r="A230" s="51"/>
      <c r="B230" s="52"/>
      <c r="C230" s="52" t="s">
        <v>64</v>
      </c>
      <c r="D230" s="117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'!$R:$R,"MVR")+COUNTIFS('Données '!$A:$A,"JUILLET",'Données '!$R:$R,"MVR")+COUNTIFS('Données '!$A:$A,"AOUT",'Données '!$R:$R,"MVR")+COUNTIFS('Données '!$A:$A,"SEPTEMBRE",'Données '!$R:$R,"MVR")</f>
        <v>0</v>
      </c>
      <c r="E230" s="78" t="str">
        <f>IFERROR(D230/D226,"")</f>
        <v/>
      </c>
      <c r="F230" s="47"/>
    </row>
    <row r="231" spans="1:6" x14ac:dyDescent="0.25">
      <c r="A231" s="51"/>
      <c r="B231" s="52"/>
      <c r="C231" s="52" t="s">
        <v>63</v>
      </c>
      <c r="D231" s="117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'!$R:$R,"MVP")+COUNTIFS('Données '!$A:$A,"JUILLET",'Données '!$R:$R,"MVP")+COUNTIFS('Données '!$A:$A,"AOUT",'Données '!$R:$R,"MVP")+COUNTIFS('Données '!$A:$A,"SEPTEMBRE",'Données '!$R:$R,"MVP")</f>
        <v>0</v>
      </c>
      <c r="E231" s="78" t="str">
        <f>IFERROR(D231/D226,"")</f>
        <v/>
      </c>
      <c r="F231" s="47"/>
    </row>
    <row r="232" spans="1:6" x14ac:dyDescent="0.25">
      <c r="A232" s="53"/>
      <c r="B232" s="54"/>
      <c r="C232" s="54" t="s">
        <v>148</v>
      </c>
      <c r="D232" s="117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plus")+COUNTIFS('Données '!$A:$A,"JUILLET",'Données '!$R:$R,"2 V ou plus")+COUNTIFS('Données '!$A:$A,"AOUT ",'Données '!$R:$R,"2 V ou plus")+COUNTIFS('Données '!$A:$A,"SEPTEMBRE",'Données '!$R:$R,"2 V ou plus")</f>
        <v>0</v>
      </c>
      <c r="E232" s="78" t="str">
        <f>IFERROR(D232/D226,"")</f>
        <v/>
      </c>
      <c r="F232" s="47"/>
    </row>
    <row r="233" spans="1:6" x14ac:dyDescent="0.25">
      <c r="A233" s="70" t="s">
        <v>180</v>
      </c>
      <c r="B233" s="71"/>
      <c r="C233" s="76"/>
      <c r="D233" s="103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+*")+COUNTIFS('Données '!$A:$A,"JUILLET",'Données '!$O:$O,"CABG +*")+COUNTIFS('Données '!$A:$A,"AOUT",'Données '!$O:$O,"CABG +*")+COUNTIFS('Données '!$A:$A,"SEPTEMBRE",'Données '!$O:$O,"CABG +*")</f>
        <v>0</v>
      </c>
      <c r="E233" s="60">
        <f>D233/D221</f>
        <v>0</v>
      </c>
      <c r="F233" s="47"/>
    </row>
    <row r="234" spans="1:6" x14ac:dyDescent="0.25">
      <c r="A234" s="70" t="s">
        <v>154</v>
      </c>
      <c r="B234" s="71"/>
      <c r="C234" s="76"/>
      <c r="D234" s="103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'!$O:$O,"Aorte")+COUNTIFS('Données '!$A:$A,"JUILLET",'Données '!$O:$O,"Aorte")+COUNTIFS('Données '!$A:$A,"AOUT",'Données '!$O:$O,"Aorte")+COUNTIFS('Données '!$A:$A,"SEPTEMBRE",'Données '!$O:$O,"Aorte")</f>
        <v>0</v>
      </c>
      <c r="E234" s="60">
        <f>D234/D221</f>
        <v>0</v>
      </c>
      <c r="F234" s="47"/>
    </row>
    <row r="235" spans="1:6" x14ac:dyDescent="0.25">
      <c r="A235" s="70" t="s">
        <v>181</v>
      </c>
      <c r="B235" s="71"/>
      <c r="C235" s="76"/>
      <c r="D235" s="103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'!$O:$O,"Autre")+COUNTIFS('Données '!$A:$A,"JUILLET",'Données '!$O:$O,"Autre")+COUNTIFS('Données '!$A:$A,"AOUT",'Données '!$O:$O,"Autre")+COUNTIFS('Données '!$A:$A,"SEPTEMBRE",'Données '!$O:$O,"Autre")</f>
        <v>0</v>
      </c>
      <c r="E235" s="60">
        <f>D235/D221</f>
        <v>0</v>
      </c>
      <c r="F235" s="47"/>
    </row>
    <row r="236" spans="1:6" x14ac:dyDescent="0.25">
      <c r="A236" s="72" t="s">
        <v>152</v>
      </c>
      <c r="B236" s="73"/>
      <c r="C236" s="77"/>
      <c r="D236" s="108">
        <f>SUM(D237:D238)</f>
        <v>0</v>
      </c>
      <c r="E236" s="60">
        <f>D236/D221</f>
        <v>0</v>
      </c>
      <c r="F236" s="47"/>
    </row>
    <row r="237" spans="1:6" x14ac:dyDescent="0.25">
      <c r="A237" s="51"/>
      <c r="B237" s="52"/>
      <c r="C237" s="52" t="s">
        <v>45</v>
      </c>
      <c r="D237" s="117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'!$O:$O,"LVAD")+COUNTIFS('Données '!$A:$A,"JUILLET",'Données '!$O:$O,"LVAD")+COUNTIFS('Données '!$A:$A,"AOUT",'Données '!$O:$O,"LVAD")+COUNTIFS('Données '!$A:$A,"SEPTEMBRE",'Données '!$O:$O,"LVAD")</f>
        <v>0</v>
      </c>
      <c r="E237" s="191">
        <f>D237/D221</f>
        <v>0</v>
      </c>
      <c r="F237" s="47"/>
    </row>
    <row r="238" spans="1:6" ht="15.75" thickBot="1" x14ac:dyDescent="0.3">
      <c r="A238" s="55"/>
      <c r="B238" s="56"/>
      <c r="C238" s="56" t="s">
        <v>151</v>
      </c>
      <c r="D238" s="121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'!$O:$O,"HTX")+COUNTIFS('Données '!$A:$A,"JUILLET",'Données '!$O:$O,"HTX")+COUNTIFS('Données '!$A:$A,"AOUT",'Données '!$O:$O,"HTX")+COUNTIFS('Données '!$A:$A,"SEPTEMBRE",'Données '!$O:$O,"HTX")</f>
        <v>0</v>
      </c>
      <c r="E238" s="193">
        <f>D238/D221</f>
        <v>0</v>
      </c>
      <c r="F238" s="47"/>
    </row>
    <row r="239" spans="1:6" x14ac:dyDescent="0.25">
      <c r="A239" s="24" t="s">
        <v>168</v>
      </c>
      <c r="B239" s="48"/>
      <c r="C239" s="65"/>
      <c r="D239" s="104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'!$Y:$Y,1)+COUNTIFS('Données '!$A:$A,"JUILLET",'Données '!$Y:$Y,1)+COUNTIFS('Données '!$A:$A,"AOUT",'Données '!$Y:$Y,1)+COUNTIFS('Données '!$A:$A,"SEPTEMBRE",'Données '!$Y:$Y,1)</f>
        <v>44</v>
      </c>
      <c r="E239" s="43">
        <f>D239/D221</f>
        <v>0.19469026548672566</v>
      </c>
      <c r="F239" s="47"/>
    </row>
    <row r="240" spans="1:6" x14ac:dyDescent="0.25">
      <c r="A240" s="53" t="s">
        <v>305</v>
      </c>
      <c r="B240" s="54"/>
      <c r="C240" s="54"/>
      <c r="D240" s="103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'!$AN:$AN,"DECEASED")+COUNTIFS('Données '!$A:$A,"JUILLET",'Données '!$AN:$AN,"DECEASED")+COUNTIFS('Données '!$A:$A,"AOUT",'Données '!$AN:$AN,"DECEASED")+COUNTIFS('Données '!$A:$A,"SEPTEMBRE",'Données '!$AN:$AN,"DECEASED")</f>
        <v>0</v>
      </c>
      <c r="E240" s="60">
        <f>D240/D222</f>
        <v>0</v>
      </c>
      <c r="F240" s="47"/>
    </row>
    <row r="241" spans="1:6" x14ac:dyDescent="0.25">
      <c r="A241" s="49" t="s">
        <v>150</v>
      </c>
      <c r="B241" s="50"/>
      <c r="C241" s="50"/>
      <c r="D241" s="165" t="e">
        <f>AVERAGEIF('Données '!BP2:BP227,"&lt;&gt;(Inconnu)")</f>
        <v>#DIV/0!</v>
      </c>
      <c r="E241" s="61"/>
      <c r="F241" s="47"/>
    </row>
    <row r="242" spans="1:6" x14ac:dyDescent="0.25">
      <c r="A242" s="49" t="s">
        <v>167</v>
      </c>
      <c r="B242" s="50"/>
      <c r="C242" s="50"/>
      <c r="D242" s="259" t="e">
        <f>AVERAGEIF('Données '!BM2:BM227,"&lt;&gt;(Inconnu)")</f>
        <v>#DIV/0!</v>
      </c>
      <c r="E242" s="61"/>
      <c r="F242" s="47"/>
    </row>
    <row r="243" spans="1:6" x14ac:dyDescent="0.25">
      <c r="A243" s="49" t="s">
        <v>286</v>
      </c>
      <c r="B243" s="50"/>
      <c r="C243" s="50"/>
      <c r="D243" s="114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'!$AB:$AB,1)+COUNTIFS('Données '!$A:$A,"JUILLET",'Données '!$AB:$AB,1)+COUNTIFS('Données '!$A:$A,"AOUT",'Données '!$AB:$AB,1)+COUNTIFS('Données '!$A:$A,"SEPTEMBRE",'Données '!$AB:$AB,1)</f>
        <v>0</v>
      </c>
      <c r="E243" s="60">
        <f>D243/212</f>
        <v>0</v>
      </c>
      <c r="F243" s="47"/>
    </row>
    <row r="244" spans="1:6" x14ac:dyDescent="0.25">
      <c r="A244" s="49" t="s">
        <v>221</v>
      </c>
      <c r="B244" s="50"/>
      <c r="C244" s="50"/>
      <c r="D244" s="114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'!$AD:$AD,1)+COUNTIFS('Données '!$A:$A,"JUILLET",'Données '!$AD:$AD,1)+COUNTIFS('Données '!$A:$A,"AOUT",'Données '!$AD:$AD,1)+COUNTIFS('Données '!$A:$A,"SEPTEMBRE",'Données '!$AD:$AD,1)</f>
        <v>0</v>
      </c>
      <c r="E244" s="60">
        <f>D244/212</f>
        <v>0</v>
      </c>
      <c r="F244" s="47"/>
    </row>
    <row r="245" spans="1:6" x14ac:dyDescent="0.25">
      <c r="A245" s="25" t="s">
        <v>222</v>
      </c>
      <c r="B245" s="26"/>
      <c r="C245" s="26"/>
      <c r="D245" s="260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'!$O:$O,"&lt;&gt;HTX")+COUNTIFS('Données '!$A:$A,"JUILLET",'Données '!$AI:$AI,"&lt;&gt;0",'Données '!$O:$O,"&lt;&gt;LVAD",'Données '!$O:$O,"&lt;&gt;HTX")+COUNTIFS('Données '!$A:$A,"AOUT",'Données '!$AI:$AI,"&lt;&gt;0",'Données '!$O:$O,"&lt;&gt;LVAD",'Données '!$O:$O,"&lt;&gt;HTX")+COUNTIFS('Données '!$A:$A,"SEPTEMBRE",'Données '!$AI:$AI,"&lt;&gt;0",'Données '!$O:$O,"&lt;&gt;LVAD",'Données '!$O:$O,"&lt;&gt;HTX")</f>
        <v>13</v>
      </c>
      <c r="E245" s="60">
        <f>D245/212</f>
        <v>6.1320754716981132E-2</v>
      </c>
      <c r="F245" s="47"/>
    </row>
    <row r="246" spans="1:6" ht="15.75" thickBot="1" x14ac:dyDescent="0.3">
      <c r="A246" s="57" t="s">
        <v>223</v>
      </c>
      <c r="B246" s="58"/>
      <c r="C246" s="58"/>
      <c r="D246" s="167">
        <v>5.4</v>
      </c>
      <c r="E246" s="27"/>
      <c r="F246" s="47"/>
    </row>
    <row r="247" spans="1:6" ht="18.75" x14ac:dyDescent="0.3">
      <c r="A247" s="139"/>
      <c r="B247" s="139"/>
      <c r="C247" s="139"/>
      <c r="D247" s="139"/>
      <c r="E247" s="139"/>
      <c r="F247" s="47"/>
    </row>
    <row r="248" spans="1:6" ht="18.75" x14ac:dyDescent="0.3">
      <c r="A248" s="139"/>
      <c r="B248" s="139"/>
      <c r="C248" s="139"/>
      <c r="D248" s="139"/>
      <c r="E248" s="139"/>
      <c r="F248" s="47"/>
    </row>
    <row r="249" spans="1:6" ht="19.5" thickBot="1" x14ac:dyDescent="0.35">
      <c r="A249" s="139"/>
      <c r="B249" s="139"/>
      <c r="C249" s="139"/>
      <c r="D249" s="139"/>
      <c r="E249" s="139"/>
      <c r="F249" s="47"/>
    </row>
    <row r="250" spans="1:6" ht="19.5" thickBot="1" x14ac:dyDescent="0.35">
      <c r="A250" s="310" t="s">
        <v>217</v>
      </c>
      <c r="B250" s="311"/>
      <c r="C250" s="312"/>
      <c r="D250" s="140" t="s">
        <v>144</v>
      </c>
      <c r="E250" s="141" t="s">
        <v>145</v>
      </c>
      <c r="F250" s="23"/>
    </row>
    <row r="251" spans="1:6" ht="18.75" x14ac:dyDescent="0.3">
      <c r="A251" s="68" t="s">
        <v>184</v>
      </c>
      <c r="B251" s="69"/>
      <c r="C251" s="75"/>
      <c r="D251" s="113">
        <f>COUNTIFS('Données '!$A:$A,"JANVIER")+COUNTIFS('Données '!$A:$A,"FEVRIER")+COUNTIFS('Données '!$A:$A,"MARS")+COUNTIFS('Données '!$A:$A,"AVRIL")+COUNTIFS('Données '!$A:$A,"MAI")+COUNTIFS('Données '!$A:$A,"JUIN")+COUNTIFS('Données '!$A:$A,"JUILLET")+COUNTIFS('Données '!$A:$A,"AOUT")+COUNTIFS('Données '!$A:$A,"SEPTEMBRE")+COUNTIFS('Données '!$A:$A,"OCTOBRE")</f>
        <v>258</v>
      </c>
      <c r="E251" s="59"/>
      <c r="F251" s="23"/>
    </row>
    <row r="252" spans="1:6" x14ac:dyDescent="0.25">
      <c r="A252" s="44" t="s">
        <v>176</v>
      </c>
      <c r="B252" s="45"/>
      <c r="C252" s="45"/>
      <c r="D252" s="135">
        <v>258</v>
      </c>
      <c r="E252" s="46"/>
    </row>
    <row r="253" spans="1:6" ht="18.75" x14ac:dyDescent="0.3">
      <c r="A253" s="44" t="s">
        <v>220</v>
      </c>
      <c r="B253" s="45"/>
      <c r="C253" s="45"/>
      <c r="D253" s="147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'!$BW:$BW,"OUI")+COUNTIFS('Données '!$A:$A,"JUILLET",'Données '!$BW:$BW,"OUI")+COUNTIFS('Données '!$A:$A,"AOUT",'Données '!$BW:$BW,"OUI")+COUNTIFS('Données '!$A:$A,"SEPTEMBRE",'Données '!$BW:$BW,"OUI")+COUNTIFS('Données '!$A:$A,"OCTOBRE",'Données '!$BW:$BW,"OUI")</f>
        <v>0</v>
      </c>
      <c r="E253" s="112">
        <f>D253/D252</f>
        <v>0</v>
      </c>
      <c r="F253" s="168"/>
    </row>
    <row r="254" spans="1:6" ht="18.75" x14ac:dyDescent="0.3">
      <c r="A254" s="44" t="s">
        <v>203</v>
      </c>
      <c r="B254" s="45"/>
      <c r="C254" s="45"/>
      <c r="D254" s="136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'!$F:$F,1)+COUNTIFS('Données '!$A:$A,"JUILLET",'Données '!$F:$F,1)+COUNTIFS('Données '!$A:$A,"AOUT",'Données '!$F:$F,1)+COUNTIFS('Données '!$A:$A,"SEPTEMBRE",'Données '!$F:$F,1)+COUNTIFS('Données '!$A:$A,"OCTOBRE",'Données '!$F:$F,1)</f>
        <v>0</v>
      </c>
      <c r="E254" s="112">
        <f>D254/D252</f>
        <v>0</v>
      </c>
      <c r="F254" s="168"/>
    </row>
    <row r="255" spans="1:6" x14ac:dyDescent="0.25">
      <c r="A255" s="70" t="s">
        <v>146</v>
      </c>
      <c r="B255" s="71"/>
      <c r="C255" s="71"/>
      <c r="D255" s="103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'!$O:$O,"CABG")+COUNTIFS('Données '!$A:$A,"JUILLET",'Données '!$O:$O,"CABG")+COUNTIFS('Données '!$A:$A,"AOUT",'Données '!$O:$O,"CABG")+COUNTIFS('Données '!$A:$A,"SEPTEMBRE",'Données '!$O:$O,"CABG")+COUNTIFS('Données '!$A:$A,"OCTOBRE",'Données '!$O:$O,"CABG")</f>
        <v>0</v>
      </c>
      <c r="E255" s="60">
        <f>D255/D251</f>
        <v>0</v>
      </c>
      <c r="F255" s="47"/>
    </row>
    <row r="256" spans="1:6" x14ac:dyDescent="0.25">
      <c r="A256" s="66" t="s">
        <v>147</v>
      </c>
      <c r="B256" s="67"/>
      <c r="C256" s="67"/>
      <c r="D256" s="108">
        <f>SUM(D257:D262)</f>
        <v>0</v>
      </c>
      <c r="E256" s="60">
        <f>D256/D251</f>
        <v>0</v>
      </c>
      <c r="F256" s="47"/>
    </row>
    <row r="257" spans="1:6" x14ac:dyDescent="0.25">
      <c r="A257" s="51"/>
      <c r="B257" s="52"/>
      <c r="C257" s="52" t="s">
        <v>1</v>
      </c>
      <c r="D257" s="117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'!$R:$R,"AVR")+COUNTIFS('Données '!$A:$A,"JUILLET",'Données '!$R:$R,"AVR")+COUNTIFS('Données '!$A:$A,"AOUT",'Données '!$R:$R,"AVR")+COUNTIFS('Données '!$A:$A,"SEPTEMBRE",'Données '!$R:$R,"AVR")+COUNTIFS('Données '!$A:$A,"OCTOBRE",'Données '!$R:$R,"AVR")</f>
        <v>0</v>
      </c>
      <c r="E257" s="78" t="str">
        <f>IFERROR(D257/D256,"")</f>
        <v/>
      </c>
      <c r="F257" s="47"/>
    </row>
    <row r="258" spans="1:6" x14ac:dyDescent="0.25">
      <c r="A258" s="51"/>
      <c r="B258" s="52"/>
      <c r="C258" s="52" t="s">
        <v>72</v>
      </c>
      <c r="D258" s="117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'!$R:$R,"TVR")+COUNTIFS('Données '!$A:$A,"JUILLET",'Données '!$R:$R,"TVR")+COUNTIFS('Données '!$A:$A,"AOUT",'Données '!$R:$R,"TVR")+COUNTIFS('Données '!$A:$A,"SEPTEMBRE",'Données '!$R:$R,"TVR")+COUNTIFS('Données '!$A:$A,"OCTOBRE",'Données '!$R:$R,"TVR")</f>
        <v>0</v>
      </c>
      <c r="E258" s="78" t="str">
        <f>IFERROR(D258/D256,"")</f>
        <v/>
      </c>
      <c r="F258" s="47"/>
    </row>
    <row r="259" spans="1:6" x14ac:dyDescent="0.25">
      <c r="A259" s="51"/>
      <c r="B259" s="52"/>
      <c r="C259" s="52" t="s">
        <v>62</v>
      </c>
      <c r="D259" s="117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'!$R:$R,"TVP")+COUNTIFS('Données '!$A:$A,"JUILLET",'Données '!$R:$R,"TVP")+COUNTIFS('Données '!$A:$A,"AOUT",'Données '!$R:$R,"TVP")+COUNTIFS('Données '!$A:$A,"SEPTEMBRE",'Données '!$R:$R,"TVP")+COUNTIFS('Données '!$A:$A,"OCTOBRE",'Données '!$R:$R,"TVP")</f>
        <v>0</v>
      </c>
      <c r="E259" s="78" t="str">
        <f>IFERROR(D259/D256,"")</f>
        <v/>
      </c>
      <c r="F259" s="47"/>
    </row>
    <row r="260" spans="1:6" x14ac:dyDescent="0.25">
      <c r="A260" s="51"/>
      <c r="B260" s="52"/>
      <c r="C260" s="52" t="s">
        <v>64</v>
      </c>
      <c r="D260" s="117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'!$R:$R,"MVR")+COUNTIFS('Données '!$A:$A,"JUILLET",'Données '!$R:$R,"MVR")+COUNTIFS('Données '!$A:$A,"AOUT",'Données '!$R:$R,"MVR")+COUNTIFS('Données '!$A:$A,"SEPTEMBRE",'Données '!$R:$R,"MVR")+COUNTIFS('Données '!$A:$A,"OCTOBRE",'Données '!$R:$R,"MVR")</f>
        <v>0</v>
      </c>
      <c r="E260" s="78" t="str">
        <f>IFERROR(D260/D256,"")</f>
        <v/>
      </c>
      <c r="F260" s="47"/>
    </row>
    <row r="261" spans="1:6" x14ac:dyDescent="0.25">
      <c r="A261" s="51"/>
      <c r="B261" s="52"/>
      <c r="C261" s="52" t="s">
        <v>63</v>
      </c>
      <c r="D261" s="117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'!$R:$R,"MVP")+COUNTIFS('Données '!$A:$A,"JUILLET",'Données '!$R:$R,"MVP")+COUNTIFS('Données '!$A:$A,"AOUT",'Données '!$R:$R,"MVP")+COUNTIFS('Données '!$A:$A,"SEPTEMBRE",'Données '!$R:$R,"MVP")+COUNTIFS('Données '!$A:$A,"OCTOBRE",'Données '!$R:$R,"MVP")</f>
        <v>0</v>
      </c>
      <c r="E261" s="78" t="str">
        <f>IFERROR(D261/D256,"")</f>
        <v/>
      </c>
      <c r="F261" s="47"/>
    </row>
    <row r="262" spans="1:6" x14ac:dyDescent="0.25">
      <c r="A262" s="53"/>
      <c r="B262" s="54"/>
      <c r="C262" s="54" t="s">
        <v>148</v>
      </c>
      <c r="D262" s="117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plus")+COUNTIFS('Données '!$A:$A,"JUILLET",'Données '!$R:$R,"2 V ou plus")+COUNTIFS('Données '!$A:$A,"AOUT ",'Données '!$R:$R,"2 V ou plus")+COUNTIFS('Données '!$A:$A,"SEPTEMBRE",'Données '!$R:$R,"2 V ou plus")+COUNTIFS('Données '!$A:$A,"OCTOBRE",'Données '!$R:$R,"2 V ou plus")</f>
        <v>0</v>
      </c>
      <c r="E262" s="78" t="str">
        <f>IFERROR(D262/D256,"")</f>
        <v/>
      </c>
      <c r="F262" s="47"/>
    </row>
    <row r="263" spans="1:6" x14ac:dyDescent="0.25">
      <c r="A263" s="70" t="s">
        <v>180</v>
      </c>
      <c r="B263" s="71"/>
      <c r="C263" s="76"/>
      <c r="D263" s="103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+*")+COUNTIFS('Données '!$A:$A,"JUILLET",'Données '!$O:$O,"CABG +*")+COUNTIFS('Données '!$A:$A,"AOUT",'Données '!$O:$O,"CABG +*")+COUNTIFS('Données '!$A:$A,"SEPTEMBRE",'Données '!$O:$O,"CABG +*")+COUNTIFS('Données '!$A:$A,"OCTOBRE",'Données '!$O:$O,"CABG +*")</f>
        <v>0</v>
      </c>
      <c r="E263" s="60">
        <f>D263/D251</f>
        <v>0</v>
      </c>
      <c r="F263" s="47"/>
    </row>
    <row r="264" spans="1:6" x14ac:dyDescent="0.25">
      <c r="A264" s="70" t="s">
        <v>154</v>
      </c>
      <c r="B264" s="71"/>
      <c r="C264" s="76"/>
      <c r="D264" s="103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'!$O:$O,"Aorte")+COUNTIFS('Données '!$A:$A,"JUILLET",'Données '!$O:$O,"Aorte")+COUNTIFS('Données '!$A:$A,"AOUT",'Données '!$O:$O,"Aorte")+COUNTIFS('Données '!$A:$A,"SEPTEMBRE",'Données '!$O:$O,"Aorte")+COUNTIFS('Données '!$A:$A,"OCTOBRE",'Données '!$O:$O,"Aorte")</f>
        <v>0</v>
      </c>
      <c r="E264" s="60">
        <f>D264/D251</f>
        <v>0</v>
      </c>
      <c r="F264" s="47"/>
    </row>
    <row r="265" spans="1:6" x14ac:dyDescent="0.25">
      <c r="A265" s="70" t="s">
        <v>181</v>
      </c>
      <c r="B265" s="71"/>
      <c r="C265" s="76"/>
      <c r="D265" s="103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'!$O:$O,"Autre")+COUNTIFS('Données '!$A:$A,"JUILLET",'Données '!$O:$O,"Autre")+COUNTIFS('Données '!$A:$A,"AOUT",'Données '!$O:$O,"Autre")+COUNTIFS('Données '!$A:$A,"SEPTEMBRE",'Données '!$O:$O,"Autre")+COUNTIFS('Données '!$A:$A,"OCTOBRE",'Données '!$O:$O,"Autre")</f>
        <v>0</v>
      </c>
      <c r="E265" s="60">
        <f>D265/D251</f>
        <v>0</v>
      </c>
      <c r="F265" s="47"/>
    </row>
    <row r="266" spans="1:6" x14ac:dyDescent="0.25">
      <c r="A266" s="72" t="s">
        <v>152</v>
      </c>
      <c r="B266" s="73"/>
      <c r="C266" s="77"/>
      <c r="D266" s="108">
        <f>SUM(D267:D268)</f>
        <v>0</v>
      </c>
      <c r="E266" s="60">
        <f>D266/D251</f>
        <v>0</v>
      </c>
      <c r="F266" s="47"/>
    </row>
    <row r="267" spans="1:6" x14ac:dyDescent="0.25">
      <c r="A267" s="51"/>
      <c r="B267" s="52"/>
      <c r="C267" s="52" t="s">
        <v>45</v>
      </c>
      <c r="D267" s="117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'!$O:$O,"LVAD")+COUNTIFS('Données '!$A:$A,"JUILLET",'Données '!$O:$O,"LVAD")+COUNTIFS('Données '!$A:$A,"AOUT",'Données '!$O:$O,"LVAD")+COUNTIFS('Données '!$A:$A,"SEPTEMBRE",'Données '!$O:$O,"LVAD")+COUNTIFS('Données '!$A:$A,"OCTOBRE",'Données '!$O:$O,"LVAD")</f>
        <v>0</v>
      </c>
      <c r="E267" s="78">
        <f>D267/D251</f>
        <v>0</v>
      </c>
      <c r="F267" s="47"/>
    </row>
    <row r="268" spans="1:6" ht="15.75" thickBot="1" x14ac:dyDescent="0.3">
      <c r="A268" s="55"/>
      <c r="B268" s="56"/>
      <c r="C268" s="56" t="s">
        <v>151</v>
      </c>
      <c r="D268" s="121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'!$O:$O,"HTX")+COUNTIFS('Données '!$A:$A,"JUILLET",'Données '!$O:$O,"HTX")+COUNTIFS('Données '!$A:$A,"AOUT",'Données '!$O:$O,"HTX")+COUNTIFS('Données '!$A:$A,"SEPTEMBRE",'Données '!$O:$O,"HTX")+COUNTIFS('Données '!$A:$A,"OCTOBRE",'Données '!$O:$O,"HTX")</f>
        <v>0</v>
      </c>
      <c r="E268" s="119">
        <f>D268/D251</f>
        <v>0</v>
      </c>
      <c r="F268" s="47"/>
    </row>
    <row r="269" spans="1:6" x14ac:dyDescent="0.25">
      <c r="A269" s="24" t="s">
        <v>168</v>
      </c>
      <c r="B269" s="48"/>
      <c r="C269" s="65"/>
      <c r="D269" s="104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'!$Y:$Y,1)+COUNTIFS('Données '!$A:$A,"JUILLET",'Données '!$Y:$Y,1)+COUNTIFS('Données '!$A:$A,"AOUT",'Données '!$Y:$Y,1)+COUNTIFS('Données '!$A:$A,"SEPTEMBRE",'Données '!$Y:$Y,1)+COUNTIFS('Données '!$A:$A,"OCTOBRE",'Données '!$Y:$Y,1)</f>
        <v>44</v>
      </c>
      <c r="E269" s="43">
        <f>D269/D251</f>
        <v>0.17054263565891473</v>
      </c>
      <c r="F269" s="47"/>
    </row>
    <row r="270" spans="1:6" x14ac:dyDescent="0.25">
      <c r="A270" s="53" t="s">
        <v>305</v>
      </c>
      <c r="B270" s="54"/>
      <c r="C270" s="54"/>
      <c r="D270" s="103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'!$AN:$AN,"DECEASED")+COUNTIFS('Données '!$A:$A,"JUILLET",'Données '!$AN:$AN,"DECEASED")+COUNTIFS('Données '!$A:$A,"AOUT",'Données '!$AN:$AN,"DECEASED")+COUNTIFS('Données '!$A:$A,"SEPTEMBRE",'Données '!$AN:$AN,"DECEASED")+COUNTIFS('Données '!$A:$A,"OCTOBRE",'Données '!$AN:$AN,"DECEASED")</f>
        <v>0</v>
      </c>
      <c r="E270" s="60">
        <f>D270/D251</f>
        <v>0</v>
      </c>
      <c r="F270" s="47"/>
    </row>
    <row r="271" spans="1:6" x14ac:dyDescent="0.25">
      <c r="A271" s="49" t="s">
        <v>150</v>
      </c>
      <c r="B271" s="50"/>
      <c r="C271" s="50"/>
      <c r="D271" s="165" t="e">
        <f>AVERAGEIF('Données '!BP2:BP259,"&lt;&gt;(Inconnu)")</f>
        <v>#DIV/0!</v>
      </c>
      <c r="E271" s="61"/>
      <c r="F271" s="47"/>
    </row>
    <row r="272" spans="1:6" x14ac:dyDescent="0.25">
      <c r="A272" s="49" t="s">
        <v>167</v>
      </c>
      <c r="B272" s="50"/>
      <c r="C272" s="50"/>
      <c r="D272" s="165" t="e">
        <f>AVERAGEIF('Données '!BM2:BM259,"&lt;&gt;(Inconnu)")</f>
        <v>#DIV/0!</v>
      </c>
      <c r="E272" s="61"/>
      <c r="F272" s="47"/>
    </row>
    <row r="273" spans="1:6" x14ac:dyDescent="0.25">
      <c r="A273" s="49" t="s">
        <v>286</v>
      </c>
      <c r="B273" s="50"/>
      <c r="C273" s="50"/>
      <c r="D273" s="114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'!$AB:$AB,1)+COUNTIFS('Données '!$A:$A,"JUILLET",'Données '!$AB:$AB,1)+COUNTIFS('Données '!$A:$A,"AOUT",'Données '!$AB:$AB,1)+COUNTIFS('Données '!$A:$A,"SEPTEMBRE",'Données '!$AB:$AB,1)+COUNTIFS('Données '!$A:$A,"OCTOBRE",'Données '!$AB:$AB,1)</f>
        <v>0</v>
      </c>
      <c r="E273" s="60">
        <f>D273/242</f>
        <v>0</v>
      </c>
      <c r="F273" s="47"/>
    </row>
    <row r="274" spans="1:6" x14ac:dyDescent="0.25">
      <c r="A274" s="49" t="s">
        <v>221</v>
      </c>
      <c r="B274" s="50"/>
      <c r="C274" s="50"/>
      <c r="D274" s="114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'!$AD:$AD,1)+COUNTIFS('Données '!$A:$A,"JUILLET",'Données '!$AD:$AD,1)+COUNTIFS('Données '!$A:$A,"AOUT",'Données '!$AD:$AD,1)+COUNTIFS('Données '!$A:$A,"SEPTEMBRE",'Données '!$AD:$AD,1)+COUNTIFS('Données '!$A:$A,"OCTOBRE",'Données '!$AD:$AD,1)</f>
        <v>0</v>
      </c>
      <c r="E274" s="60">
        <f>D274/242</f>
        <v>0</v>
      </c>
      <c r="F274" s="47"/>
    </row>
    <row r="275" spans="1:6" x14ac:dyDescent="0.25">
      <c r="A275" s="25" t="s">
        <v>222</v>
      </c>
      <c r="B275" s="26"/>
      <c r="C275" s="26"/>
      <c r="D275" s="114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'!$O:$O,"&lt;&gt;HTX")+COUNTIFS('Données '!$A:$A,"JUILLET",'Données '!$AI:$AI,"&lt;&gt;0",'Données '!$O:$O,"&lt;&gt;LVAD",'Données '!$O:$O,"&lt;&gt;HTX")+COUNTIFS('Données '!$A:$A,"AOUT",'Données '!$AI:$AI,"&lt;&gt;0",'Données '!$O:$O,"&lt;&gt;LVAD",'Données '!$O:$O,"&lt;&gt;HTX")+COUNTIFS('Données '!$A:$A,"SEPTEMBRE",'Données '!$AI:$AI,"&lt;&gt;0",'Données '!$O:$O,"&lt;&gt;LVAD",'Données '!$O:$O,"&lt;&gt;HTX")+COUNTIFS('Données '!$A:$A,"OCTOBRE",'Données '!$AI:$AI,"&lt;&gt;0",'Données '!$O:$O,"&lt;&gt;LVAD",'Données '!$O:$O,"&lt;&gt;HTX")</f>
        <v>13</v>
      </c>
      <c r="E275" s="60">
        <f>D275/242</f>
        <v>5.3719008264462811E-2</v>
      </c>
      <c r="F275" s="47"/>
    </row>
    <row r="276" spans="1:6" ht="15.75" thickBot="1" x14ac:dyDescent="0.3">
      <c r="A276" s="57" t="s">
        <v>223</v>
      </c>
      <c r="B276" s="58"/>
      <c r="C276" s="58"/>
      <c r="D276" s="167">
        <v>5.6</v>
      </c>
      <c r="E276" s="27"/>
      <c r="F276" s="47"/>
    </row>
    <row r="277" spans="1:6" ht="18.75" x14ac:dyDescent="0.3">
      <c r="A277" s="23"/>
      <c r="B277" s="23"/>
      <c r="C277" s="23"/>
      <c r="D277" s="105"/>
      <c r="E277" s="23"/>
      <c r="F277" s="47"/>
    </row>
    <row r="278" spans="1:6" ht="18.75" x14ac:dyDescent="0.3">
      <c r="A278" s="23"/>
      <c r="B278" s="23"/>
      <c r="C278" s="23"/>
      <c r="D278" s="105"/>
      <c r="E278" s="23"/>
      <c r="F278" s="47"/>
    </row>
    <row r="279" spans="1:6" ht="18.75" x14ac:dyDescent="0.3">
      <c r="A279" s="22"/>
      <c r="B279" s="22"/>
      <c r="C279" s="22"/>
      <c r="D279" s="106"/>
      <c r="E279" s="23"/>
      <c r="F279" s="47"/>
    </row>
    <row r="280" spans="1:6" ht="15.75" thickBot="1" x14ac:dyDescent="0.3">
      <c r="D280" s="8"/>
      <c r="F280" s="47"/>
    </row>
    <row r="281" spans="1:6" ht="15.75" thickBot="1" x14ac:dyDescent="0.3">
      <c r="A281" s="310" t="s">
        <v>216</v>
      </c>
      <c r="B281" s="311"/>
      <c r="C281" s="312"/>
      <c r="D281" s="107" t="s">
        <v>144</v>
      </c>
      <c r="E281" s="64" t="s">
        <v>145</v>
      </c>
      <c r="F281" s="47"/>
    </row>
    <row r="282" spans="1:6" x14ac:dyDescent="0.25">
      <c r="A282" s="68" t="s">
        <v>184</v>
      </c>
      <c r="B282" s="69"/>
      <c r="C282" s="75"/>
      <c r="D282" s="113">
        <f>COUNTIFS('Données '!$A:$A,"JANVIER")+COUNTIFS('Données '!$A:$A,"FEVRIER")+COUNTIFS('Données '!$A:$A,"MARS")+COUNTIFS('Données '!$A:$A,"AVRIL")+COUNTIFS('Données '!$A:$A,"MAI")+COUNTIFS('Données '!$A:$A,"JUIN")+COUNTIFS('Données '!$A:$A,"JUILLET")+COUNTIFS('Données '!$A:$A,"AOUT")+COUNTIFS('Données '!$A:$A,"SEPTEMBRE")+COUNTIFS('Données '!$A:$A,"OCTOBRE")+COUNTIFS('Données '!$A:$A,"NOVEMBRE")</f>
        <v>287</v>
      </c>
      <c r="E282" s="59"/>
      <c r="F282" s="47"/>
    </row>
    <row r="283" spans="1:6" x14ac:dyDescent="0.25">
      <c r="A283" s="44" t="s">
        <v>176</v>
      </c>
      <c r="B283" s="45"/>
      <c r="C283" s="45"/>
      <c r="D283" s="135"/>
      <c r="E283" s="46"/>
      <c r="F283" s="47"/>
    </row>
    <row r="284" spans="1:6" ht="18.75" x14ac:dyDescent="0.3">
      <c r="A284" s="44" t="s">
        <v>220</v>
      </c>
      <c r="B284" s="45"/>
      <c r="C284" s="45"/>
      <c r="D284" s="147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'!$BW:$BW,"OUI")+COUNTIFS('Données '!$A:$A,"JUILLET",'Données '!$BW:$BW,"OUI")+COUNTIFS('Données '!$A:$A,"AOUT",'Données '!$BW:$BW,"OUI")+COUNTIFS('Données '!$A:$A,"SEPTEMBRE",'Données '!$BW:$BW,"OUI")+COUNTIFS('Données '!$A:$A,"OCTOBRE",'Données '!$BW:$BW,"OUI")+COUNTIFS('Données '!$A:$A,"NOVEMBRE",'Données '!$BW:$BW,"OUI")</f>
        <v>0</v>
      </c>
      <c r="E284" s="112">
        <f>D284/D282</f>
        <v>0</v>
      </c>
      <c r="F284" s="168" t="s">
        <v>269</v>
      </c>
    </row>
    <row r="285" spans="1:6" ht="18.75" x14ac:dyDescent="0.3">
      <c r="A285" s="44" t="s">
        <v>203</v>
      </c>
      <c r="B285" s="45"/>
      <c r="C285" s="45"/>
      <c r="D285" s="136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'!$F:$F,1)+COUNTIFS('Données '!$A:$A,"JUILLET",'Données '!$F:$F,1)+COUNTIFS('Données '!$A:$A,"AOUT",'Données '!$F:$F,1)+COUNTIFS('Données '!$A:$A,"SEPTEMBRE",'Données '!$F:$F,1)+COUNTIFS('Données '!$A:$A,"OCTOBRE",'Données '!$F:$F,1)+COUNTIFS('Données '!$A:$A,"NOVEMBRE",'Données '!$F:$F,1)</f>
        <v>0</v>
      </c>
      <c r="E285" s="112">
        <f>D285/D282</f>
        <v>0</v>
      </c>
      <c r="F285" s="168" t="s">
        <v>269</v>
      </c>
    </row>
    <row r="286" spans="1:6" x14ac:dyDescent="0.25">
      <c r="A286" s="70" t="s">
        <v>146</v>
      </c>
      <c r="B286" s="71"/>
      <c r="C286" s="71"/>
      <c r="D286" s="103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'!$O:$O,"CABG")+COUNTIFS('Données '!$A:$A,"JUILLET",'Données '!$O:$O,"CABG")+COUNTIFS('Données '!$A:$A,"AOUT",'Données '!$O:$O,"CABG")+COUNTIFS('Données '!$A:$A,"SEPTEMBRE",'Données '!$O:$O,"CABG")+COUNTIFS('Données '!$A:$A,"OCTOBRE",'Données '!$O:$O,"CABG")+COUNTIFS('Données '!$A:$A,"NOVEMBRE",'Données '!$O:$O,"CABG")</f>
        <v>0</v>
      </c>
      <c r="E286" s="60">
        <f>D286/D282</f>
        <v>0</v>
      </c>
    </row>
    <row r="287" spans="1:6" x14ac:dyDescent="0.25">
      <c r="A287" s="66" t="s">
        <v>147</v>
      </c>
      <c r="B287" s="67"/>
      <c r="C287" s="67"/>
      <c r="D287" s="108">
        <f>SUM(D288:D293)</f>
        <v>0</v>
      </c>
      <c r="E287" s="60">
        <f>D287/D282</f>
        <v>0</v>
      </c>
    </row>
    <row r="288" spans="1:6" x14ac:dyDescent="0.25">
      <c r="A288" s="51"/>
      <c r="B288" s="52"/>
      <c r="C288" s="52" t="s">
        <v>1</v>
      </c>
      <c r="D288" s="117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'!$R:$R,"AVR")+COUNTIFS('Données '!$A:$A,"JUILLET",'Données '!$R:$R,"AVR")+COUNTIFS('Données '!$A:$A,"AOUT",'Données '!$R:$R,"AVR")+COUNTIFS('Données '!$A:$A,"SEPTEMBRE",'Données '!$R:$R,"AVR")+COUNTIFS('Données '!$A:$A,"OCTOBRE",'Données '!$R:$R,"AVR")+COUNTIFS('Données '!$A:$A,"NOVEMBRE",'Données '!$R:$R,"AVR")</f>
        <v>0</v>
      </c>
      <c r="E288" s="78" t="str">
        <f>IFERROR(D288/D287,"")</f>
        <v/>
      </c>
      <c r="F288" s="47"/>
    </row>
    <row r="289" spans="1:6" x14ac:dyDescent="0.25">
      <c r="A289" s="51"/>
      <c r="B289" s="52"/>
      <c r="C289" s="52" t="s">
        <v>72</v>
      </c>
      <c r="D289" s="117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'!$R:$R,"TVR")+COUNTIFS('Données '!$A:$A,"JUILLET",'Données '!$R:$R,"TVR")+COUNTIFS('Données '!$A:$A,"AOUT",'Données '!$R:$R,"TVR")+COUNTIFS('Données '!$A:$A,"SEPTEMBRE",'Données '!$R:$R,"TVR")+COUNTIFS('Données '!$A:$A,"OCTOBRE",'Données '!$R:$R,"TVR")+COUNTIFS('Données '!$A:$A,"NOVEMBRE",'Données '!$R:$R,"TVR")</f>
        <v>0</v>
      </c>
      <c r="E289" s="78" t="str">
        <f>IFERROR(D289/D287,"")</f>
        <v/>
      </c>
    </row>
    <row r="290" spans="1:6" x14ac:dyDescent="0.25">
      <c r="A290" s="51"/>
      <c r="B290" s="52"/>
      <c r="C290" s="52" t="s">
        <v>62</v>
      </c>
      <c r="D290" s="117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'!$R:$R,"TVP")+COUNTIFS('Données '!$A:$A,"JUILLET",'Données '!$R:$R,"TVP")+COUNTIFS('Données '!$A:$A,"AOUT",'Données '!$R:$R,"TVP")+COUNTIFS('Données '!$A:$A,"SEPTEMBRE",'Données '!$R:$R,"TVP")+COUNTIFS('Données '!$A:$A,"OCTOBRE",'Données '!$R:$R,"TVP")+COUNTIFS('Données '!$A:$A,"NOVEMBRE",'Données '!$R:$R,"TVP")</f>
        <v>0</v>
      </c>
      <c r="E290" s="78" t="str">
        <f>IFERROR(D290/D287,"")</f>
        <v/>
      </c>
    </row>
    <row r="291" spans="1:6" x14ac:dyDescent="0.25">
      <c r="A291" s="51"/>
      <c r="B291" s="52"/>
      <c r="C291" s="52" t="s">
        <v>64</v>
      </c>
      <c r="D291" s="117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'!$R:$R,"MVR")+COUNTIFS('Données '!$A:$A,"JUILLET",'Données '!$R:$R,"MVR")+COUNTIFS('Données '!$A:$A,"AOUT",'Données '!$R:$R,"MVR")+COUNTIFS('Données '!$A:$A,"SEPTEMBRE",'Données '!$R:$R,"MVR")+COUNTIFS('Données '!$A:$A,"OCTOBRE",'Données '!$R:$R,"MVR")+COUNTIFS('Données '!$A:$A,"NOVEMBRE",'Données '!$R:$R,"MVR")</f>
        <v>0</v>
      </c>
      <c r="E291" s="78" t="str">
        <f>IFERROR(D291/D287,"")</f>
        <v/>
      </c>
    </row>
    <row r="292" spans="1:6" x14ac:dyDescent="0.25">
      <c r="A292" s="51"/>
      <c r="B292" s="52"/>
      <c r="C292" s="52" t="s">
        <v>63</v>
      </c>
      <c r="D292" s="117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'!$R:$R,"MVP")+COUNTIFS('Données '!$A:$A,"JUILLET",'Données '!$R:$R,"MVP")+COUNTIFS('Données '!$A:$A,"AOUT",'Données '!$R:$R,"MVP")+COUNTIFS('Données '!$A:$A,"SEPTEMBRE",'Données '!$R:$R,"MVP")+COUNTIFS('Données '!$A:$A,"OCTOBRE",'Données '!$R:$R,"MVP")+COUNTIFS('Données '!$A:$A,"NOVEMBRE",'Données '!$R:$R,"MVP")</f>
        <v>0</v>
      </c>
      <c r="E292" s="78" t="str">
        <f>IFERROR(D292/D287,"")</f>
        <v/>
      </c>
    </row>
    <row r="293" spans="1:6" x14ac:dyDescent="0.25">
      <c r="A293" s="53"/>
      <c r="B293" s="54"/>
      <c r="C293" s="54" t="s">
        <v>148</v>
      </c>
      <c r="D293" s="117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plus")+COUNTIFS('Données '!$A:$A,"JUILLET",'Données '!$R:$R,"2 V ou plus")+COUNTIFS('Données '!$A:$A,"AOUT ",'Données '!$R:$R,"2 V ou plus")+COUNTIFS('Données '!$A:$A,"SEPTEMBRE",'Données '!$R:$R,"2 V ou plus")+COUNTIFS('Données '!$A:$A,"OCTOBRE",'Données '!$R:$R,"2 V ou plus")+COUNTIFS('Données '!$A:$A,"NOVEMBRE",'Données '!$R:$R,"2 V ou plus")</f>
        <v>0</v>
      </c>
      <c r="E293" s="78" t="str">
        <f>IFERROR(D293/D287,"")</f>
        <v/>
      </c>
    </row>
    <row r="294" spans="1:6" x14ac:dyDescent="0.25">
      <c r="A294" s="70" t="s">
        <v>180</v>
      </c>
      <c r="B294" s="71"/>
      <c r="C294" s="76"/>
      <c r="D294" s="103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+*")+COUNTIFS('Données '!$A:$A,"JUILLET",'Données '!$O:$O,"CABG +*")+COUNTIFS('Données '!$A:$A,"AOUT",'Données '!$O:$O,"CABG +*")+COUNTIFS('Données '!$A:$A,"SEPTEMBRE",'Données '!$O:$O,"CABG +*")+COUNTIFS('Données '!$A:$A,"OCTOBRE",'Données '!$O:$O,"CABG +*")+COUNTIFS('Données '!$A:$A,"NOVEMBRE",'Données '!$O:$O,"CABG +*")</f>
        <v>0</v>
      </c>
      <c r="E294" s="60">
        <f>D294/D282</f>
        <v>0</v>
      </c>
    </row>
    <row r="295" spans="1:6" x14ac:dyDescent="0.25">
      <c r="A295" s="70" t="s">
        <v>154</v>
      </c>
      <c r="B295" s="71"/>
      <c r="C295" s="76"/>
      <c r="D295" s="103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'!$O:$O,"Aorte")+COUNTIFS('Données '!$A:$A,"JUILLET",'Données '!$O:$O,"Aorte")+COUNTIFS('Données '!$A:$A,"AOUT",'Données '!$O:$O,"Aorte")+COUNTIFS('Données '!$A:$A,"SEPTEMBRE",'Données '!$O:$O,"Aorte")+COUNTIFS('Données '!$A:$A,"OCTOBRE",'Données '!$O:$O,"Aorte")+COUNTIFS('Données '!$A:$A,"NOVEMBRE",'Données '!$O:$O,"Aorte")</f>
        <v>0</v>
      </c>
      <c r="E295" s="60">
        <f>D295/D282</f>
        <v>0</v>
      </c>
    </row>
    <row r="296" spans="1:6" x14ac:dyDescent="0.25">
      <c r="A296" s="70" t="s">
        <v>181</v>
      </c>
      <c r="B296" s="71"/>
      <c r="C296" s="76"/>
      <c r="D296" s="103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'!$O:$O,"Autre")+COUNTIFS('Données '!$A:$A,"JUILLET",'Données '!$O:$O,"Autre")+COUNTIFS('Données '!$A:$A,"AOUT",'Données '!$O:$O,"Autre")+COUNTIFS('Données '!$A:$A,"SEPTEMBRE",'Données '!$O:$O,"Autre")+COUNTIFS('Données '!$A:$A,"OCTOBRE",'Données '!$O:$O,"Autre")+COUNTIFS('Données '!$A:$A,"NOVEMBRE",'Données '!$O:$O,"Autre")</f>
        <v>0</v>
      </c>
      <c r="E296" s="60">
        <f>D296/D282</f>
        <v>0</v>
      </c>
    </row>
    <row r="297" spans="1:6" x14ac:dyDescent="0.25">
      <c r="A297" s="72" t="s">
        <v>152</v>
      </c>
      <c r="B297" s="73"/>
      <c r="C297" s="77"/>
      <c r="D297" s="108">
        <f>SUM(D298:D299)</f>
        <v>0</v>
      </c>
      <c r="E297" s="60">
        <f>D297/D282</f>
        <v>0</v>
      </c>
    </row>
    <row r="298" spans="1:6" x14ac:dyDescent="0.25">
      <c r="A298" s="51"/>
      <c r="B298" s="52"/>
      <c r="C298" s="52" t="s">
        <v>45</v>
      </c>
      <c r="D298" s="117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'!$O:$O,"LVAD")+COUNTIFS('Données '!$A:$A,"JUILLET",'Données '!$O:$O,"LVAD")+COUNTIFS('Données '!$A:$A,"AOUT",'Données '!$O:$O,"LVAD")+COUNTIFS('Données '!$A:$A,"SEPTEMBRE",'Données '!$O:$O,"LVAD")+COUNTIFS('Données '!$A:$A,"OCTOBRE",'Données '!$O:$O,"LVAD")+COUNTIFS('Données '!$A:$A,"NOVEMBRE",'Données '!$O:$O,"LVAD")</f>
        <v>0</v>
      </c>
      <c r="E298" s="78">
        <f>D298/D282</f>
        <v>0</v>
      </c>
    </row>
    <row r="299" spans="1:6" ht="15.75" thickBot="1" x14ac:dyDescent="0.3">
      <c r="A299" s="55"/>
      <c r="B299" s="56"/>
      <c r="C299" s="56" t="s">
        <v>151</v>
      </c>
      <c r="D299" s="121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'!$O:$O,"HTX")+COUNTIFS('Données '!$A:$A,"JUILLET",'Données '!$O:$O,"HTX")+COUNTIFS('Données '!$A:$A,"AOUT",'Données '!$O:$O,"HTX")+COUNTIFS('Données '!$A:$A,"SEPTEMBRE",'Données '!$O:$O,"HTX")+COUNTIFS('Données '!$A:$A,"OCTOBRE",'Données '!$O:$O,"HTX")+COUNTIFS('Données '!$A:$A,"NOVEMBRE",'Données '!$O:$O,"HTX")</f>
        <v>0</v>
      </c>
      <c r="E299" s="119">
        <f>D299/D282</f>
        <v>0</v>
      </c>
    </row>
    <row r="300" spans="1:6" x14ac:dyDescent="0.25">
      <c r="A300" s="24" t="s">
        <v>168</v>
      </c>
      <c r="B300" s="48"/>
      <c r="C300" s="65"/>
      <c r="D300" s="104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'!$Y:$Y,1)+COUNTIFS('Données '!$A:$A,"JUILLET",'Données '!$Y:$Y,1)+COUNTIFS('Données '!$A:$A,"AOUT",'Données '!$Y:$Y,1)+COUNTIFS('Données '!$A:$A,"SEPTEMBRE",'Données '!$Y:$Y,1)+COUNTIFS('Données '!$A:$A,"OCTOBRE",'Données '!$Y:$Y,1)+COUNTIFS('Données '!$A:$A,"NOVEMBRE",'Données '!$Y:$Y,1)</f>
        <v>44</v>
      </c>
      <c r="E300" s="43"/>
    </row>
    <row r="301" spans="1:6" x14ac:dyDescent="0.25">
      <c r="A301" s="53" t="s">
        <v>305</v>
      </c>
      <c r="B301" s="54"/>
      <c r="C301" s="54"/>
      <c r="D301" s="103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'!$AN:$AN,"DECEASED")+COUNTIFS('Données '!$A:$A,"JUILLET",'Données '!$AN:$AN,"DECEASED")+COUNTIFS('Données '!$A:$A,"AOUT",'Données '!$AN:$AN,"DECEASED")+COUNTIFS('Données '!$A:$A,"SEPTEMBRE",'Données '!$AN:$AN,"DECEASED")+COUNTIFS('Données '!$A:$A,"OCTOBRE",'Données '!$AN:$AN,"DECEASED")+COUNTIFS('Données '!$A:$A,"NOVEMBRE",'Données '!$AN:$AN,"DECEASED")</f>
        <v>0</v>
      </c>
      <c r="E301" s="60"/>
    </row>
    <row r="302" spans="1:6" x14ac:dyDescent="0.25">
      <c r="A302" s="49" t="s">
        <v>150</v>
      </c>
      <c r="B302" s="50"/>
      <c r="C302" s="50"/>
      <c r="D302" s="130" t="e">
        <f>AVERAGEIF('Données '!BP2:BP534,"&lt;&gt;(Inconnu)")</f>
        <v>#DIV/0!</v>
      </c>
      <c r="E302" s="61"/>
      <c r="F302" s="47" t="s">
        <v>268</v>
      </c>
    </row>
    <row r="303" spans="1:6" x14ac:dyDescent="0.25">
      <c r="A303" s="49" t="s">
        <v>167</v>
      </c>
      <c r="B303" s="50"/>
      <c r="C303" s="50"/>
      <c r="D303" s="130" t="e">
        <f>AVERAGEIF('Données '!BM2:BM534,"&lt;&gt;(Inconnu)")</f>
        <v>#DIV/0!</v>
      </c>
      <c r="E303" s="61"/>
      <c r="F303" s="47" t="s">
        <v>268</v>
      </c>
    </row>
    <row r="304" spans="1:6" x14ac:dyDescent="0.25">
      <c r="A304" s="49" t="s">
        <v>286</v>
      </c>
      <c r="B304" s="50"/>
      <c r="C304" s="50"/>
      <c r="D304" s="114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'!$AB:$AB,1)+COUNTIFS('Données '!$A:$A,"JUILLET",'Données '!$AB:$AB,1)+COUNTIFS('Données '!$A:$A,"AOUT",'Données '!$AB:$AB,1)+COUNTIFS('Données '!$A:$A,"SEPTEMBRE",'Données '!$AB:$AB,1)+COUNTIFS('Données '!$A:$A,"OCTOBRE",'Données '!$AB:$AB,1)+COUNTIFS('Données '!$A:$A,"NOVEMBRE",'Données '!$AB:$AB,1)</f>
        <v>0</v>
      </c>
      <c r="E304" s="60"/>
      <c r="F304" s="47"/>
    </row>
    <row r="305" spans="1:6" x14ac:dyDescent="0.25">
      <c r="A305" s="49" t="s">
        <v>221</v>
      </c>
      <c r="B305" s="50"/>
      <c r="C305" s="50"/>
      <c r="D305" s="114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'!$AD:$AD,1)+COUNTIFS('Données '!$A:$A,"JUILLET",'Données '!$AD:$AD,1)+COUNTIFS('Données '!$A:$A,"AOUT",'Données '!$AD:$AD,1)+COUNTIFS('Données '!$A:$A,"SEPTEMBRE",'Données '!$AD:$AD,1)+COUNTIFS('Données '!$A:$A,"OCTOBRE",'Données '!$AD:$AD,1)+COUNTIFS('Données '!$A:$A,"NOVEMBRE",'Données '!$AD:$AD,1)</f>
        <v>0</v>
      </c>
      <c r="E305" s="60"/>
      <c r="F305" s="47" t="s">
        <v>267</v>
      </c>
    </row>
    <row r="306" spans="1:6" x14ac:dyDescent="0.25">
      <c r="A306" s="25" t="s">
        <v>222</v>
      </c>
      <c r="B306" s="26"/>
      <c r="C306" s="26"/>
      <c r="D306" s="114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'!$O:$O,"&lt;&gt;HTX")+COUNTIFS('Données '!$A:$A,"JUILLET",'Données '!$AI:$AI,"&lt;&gt;0",'Données '!$O:$O,"&lt;&gt;LVAD",'Données '!$O:$O,"&lt;&gt;HTX")+COUNTIFS('Données '!$A:$A,"AOUT",'Données '!$AI:$AI,"&lt;&gt;0",'Données '!$O:$O,"&lt;&gt;LVAD",'Données '!$O:$O,"&lt;&gt;HTX")+COUNTIFS('Données '!$A:$A,"SEPTEMBRE",'Données '!$AI:$AI,"&lt;&gt;0",'Données '!$O:$O,"&lt;&gt;LVAD",'Données '!$O:$O,"&lt;&gt;HTX")+COUNTIFS('Données '!$A:$A,"OCTOBRE",'Données '!$AI:$AI,"&lt;&gt;0",'Données '!$O:$O,"&lt;&gt;LVAD",'Données '!$O:$O,"&lt;&gt;HTX")+COUNTIFS('Données '!$A:$A,"NOVEMBRE",'Données '!$AI:$AI,"&lt;&gt;0",'Données '!$O:$O,"&lt;&gt;LVAD",'Données '!$O:$O,"&lt;&gt;HTX")</f>
        <v>13</v>
      </c>
      <c r="E306" s="60"/>
    </row>
    <row r="307" spans="1:6" ht="15.75" thickBot="1" x14ac:dyDescent="0.3">
      <c r="A307" s="57" t="s">
        <v>223</v>
      </c>
      <c r="B307" s="58"/>
      <c r="C307" s="58"/>
      <c r="D307" s="128"/>
      <c r="E307" s="27"/>
    </row>
    <row r="308" spans="1:6" x14ac:dyDescent="0.25">
      <c r="A308" s="52"/>
      <c r="B308" s="52"/>
      <c r="C308" s="52"/>
      <c r="D308" s="138"/>
      <c r="E308" s="127"/>
    </row>
    <row r="309" spans="1:6" x14ac:dyDescent="0.25">
      <c r="A309" s="52"/>
      <c r="B309" s="52"/>
      <c r="C309" s="52"/>
      <c r="D309" s="138"/>
      <c r="E309" s="127"/>
    </row>
    <row r="310" spans="1:6" x14ac:dyDescent="0.25">
      <c r="A310" s="52"/>
      <c r="B310" s="52"/>
      <c r="C310" s="52"/>
      <c r="D310" s="138"/>
      <c r="E310" s="127"/>
    </row>
    <row r="311" spans="1:6" ht="15.75" thickBot="1" x14ac:dyDescent="0.3">
      <c r="D311" s="8"/>
    </row>
    <row r="312" spans="1:6" ht="15.75" thickBot="1" x14ac:dyDescent="0.3">
      <c r="A312" s="310" t="s">
        <v>214</v>
      </c>
      <c r="B312" s="311"/>
      <c r="C312" s="312"/>
      <c r="D312" s="107" t="s">
        <v>144</v>
      </c>
      <c r="E312" s="64" t="s">
        <v>145</v>
      </c>
    </row>
    <row r="313" spans="1:6" x14ac:dyDescent="0.25">
      <c r="A313" s="68" t="s">
        <v>184</v>
      </c>
      <c r="B313" s="69"/>
      <c r="C313" s="75"/>
      <c r="D313" s="113">
        <f>COUNTIFS('Données '!$A:$A,"JANVIER")+COUNTIFS('Données '!$A:$A,"FEVRIER")+COUNTIFS('Données '!$A:$A,"MARS")+COUNTIFS('Données '!$A:$A,"AVRIL")+COUNTIFS('Données '!$A:$A,"MAI")+COUNTIFS('Données '!$A:$A,"JUIN")+COUNTIFS('Données '!$A:$A,"JUILLET")+COUNTIFS('Données '!$A:$A,"AOUT")+COUNTIFS('Données '!$A:$A,"SEPTEMBRE")+COUNTIFS('Données '!$A:$A,"OCTOBRE")+COUNTIFS('Données '!$A:$A,"NOVEMBRE")+COUNTIFS('Données '!$A:$A,"DECEMBRE")</f>
        <v>289</v>
      </c>
      <c r="E313" s="59"/>
    </row>
    <row r="314" spans="1:6" x14ac:dyDescent="0.25">
      <c r="A314" s="44" t="s">
        <v>176</v>
      </c>
      <c r="B314" s="45"/>
      <c r="C314" s="45"/>
      <c r="D314" s="135"/>
      <c r="E314" s="46"/>
    </row>
    <row r="315" spans="1:6" ht="18.75" x14ac:dyDescent="0.3">
      <c r="A315" s="44" t="s">
        <v>220</v>
      </c>
      <c r="B315" s="45"/>
      <c r="C315" s="45"/>
      <c r="D315" s="147">
        <f>COUNTIFS('Données '!$A:$A,"JANVIER",'Données '!$BW:$BW,"OUI")+COUNTIFS('Données '!$A:$A,"FEVRIER",'Données '!$BW:$BW,"OUI")+COUNTIFS('Données '!$A:$A,"MARS",'Données '!$BW:$BW,"OUI")+COUNTIFS('Données '!$A:$A,"AVRIL",'Données '!$BW:$BW,"OUI")+COUNTIFS('Données '!$A:$A,"MAI",'Données '!$BW:$BW,"OUI")+COUNTIFS('Données '!$A:$A,"JUIN",'Données '!$BW:$BW,"OUI")+COUNTIFS('Données '!$A:$A,"JUILLET",'Données '!$BW:$BW,"OUI")+COUNTIFS('Données '!$A:$A,"AOUT",'Données '!$BW:$BW,"OUI")+COUNTIFS('Données '!$A:$A,"SEPTEMBRE",'Données '!$BW:$BW,"OUI")+COUNTIFS('Données '!$A:$A,"OCTOBRE",'Données '!$BW:$BW,"OUI")+COUNTIFS('Données '!$A:$A,"NOVEMBRE",'Données '!$BW:$BW,"OUI")+COUNTIFS('Données '!$A:$A,"DECEMBRE",'Données '!$BW:$BW,"OUI")</f>
        <v>0</v>
      </c>
      <c r="E315" s="112">
        <f>D315/D313</f>
        <v>0</v>
      </c>
      <c r="F315" s="168" t="s">
        <v>269</v>
      </c>
    </row>
    <row r="316" spans="1:6" ht="18.75" x14ac:dyDescent="0.3">
      <c r="A316" s="44" t="s">
        <v>203</v>
      </c>
      <c r="B316" s="45"/>
      <c r="C316" s="45"/>
      <c r="D316" s="136">
        <f>COUNTIFS('Données '!$A:$A,"JANVIER",'Données '!$F:$F,1)+COUNTIFS('Données '!$A:$A,"FEVRIER",'Données '!$F:$F,1)+COUNTIFS('Données '!$A:$A,"MARS",'Données '!$F:$F,1)+COUNTIFS('Données '!$A:$A,"AVRIL",'Données '!$F:$F,1)+COUNTIFS('Données '!$A:$A,"MAI",'Données '!$F:$F,1)+COUNTIFS('Données '!$A:$A,"JUIN",'Données '!$F:$F,1)+COUNTIFS('Données '!$A:$A,"JUILLET",'Données '!$F:$F,1)+COUNTIFS('Données '!$A:$A,"AOUT",'Données '!$F:$F,1)+COUNTIFS('Données '!$A:$A,"SEPTEMBRE",'Données '!$F:$F,1)+COUNTIFS('Données '!$A:$A,"OCTOBRE",'Données '!$F:$F,1)+COUNTIFS('Données '!$A:$A,"NOVEMBRE",'Données '!$F:$F,1)+COUNTIFS('Données '!$A:$A,"DECEMBRE",'Données '!$F:$F,1)</f>
        <v>0</v>
      </c>
      <c r="E316" s="112">
        <f>D316/D313</f>
        <v>0</v>
      </c>
      <c r="F316" s="168" t="s">
        <v>269</v>
      </c>
    </row>
    <row r="317" spans="1:6" x14ac:dyDescent="0.25">
      <c r="A317" s="70" t="s">
        <v>146</v>
      </c>
      <c r="B317" s="71"/>
      <c r="C317" s="71"/>
      <c r="D317" s="103">
        <f>COUNTIFS('Données '!$A:$A,"JANVIER",'Données '!$O:$O,"CABG")+COUNTIFS('Données '!$A:$A,"FEVRIER",'Données '!$O:$O,"CABG")+COUNTIFS('Données '!$A:$A,"MARS",'Données '!$O:$O,"CABG")+COUNTIFS('Données '!$A:$A,"AVRIL",'Données '!$O:$O,"CABG")+COUNTIFS('Données '!$A:$A,"MAI",'Données '!$O:$O,"CABG")+COUNTIFS('Données '!$A:$A,"JUIN",'Données '!$O:$O,"CABG")+COUNTIFS('Données '!$A:$A,"JUILLET",'Données '!$O:$O,"CABG")+COUNTIFS('Données '!$A:$A,"AOUT",'Données '!$O:$O,"CABG")+COUNTIFS('Données '!$A:$A,"SEPTEMBRE",'Données '!$O:$O,"CABG")+COUNTIFS('Données '!$A:$A,"OCTOBRE",'Données '!$O:$O,"CABG")+COUNTIFS('Données '!$A:$A,"NOVEMBRE",'Données '!$O:$O,"CABG")+COUNTIFS('Données '!$A:$A,"DECEMBRE",'Données '!$O:$O,"CABG")</f>
        <v>0</v>
      </c>
      <c r="E317" s="60">
        <f>D317/D313</f>
        <v>0</v>
      </c>
    </row>
    <row r="318" spans="1:6" x14ac:dyDescent="0.25">
      <c r="A318" s="66" t="s">
        <v>147</v>
      </c>
      <c r="B318" s="67"/>
      <c r="C318" s="67"/>
      <c r="D318" s="108">
        <f>SUM(D319:D324)</f>
        <v>0</v>
      </c>
      <c r="E318" s="60">
        <f>D318/D313</f>
        <v>0</v>
      </c>
    </row>
    <row r="319" spans="1:6" x14ac:dyDescent="0.25">
      <c r="A319" s="51"/>
      <c r="B319" s="52"/>
      <c r="C319" s="52" t="s">
        <v>1</v>
      </c>
      <c r="D319" s="117">
        <f>COUNTIFS('Données '!$A:$A,"JANVIER",'Données '!$R:$R,"AVR")+COUNTIFS('Données '!$A:$A,"FEVRIER",'Données '!$R:$R,"AVR")+COUNTIFS('Données '!$A:$A,"MARS",'Données '!$R:$R,"AVR")+COUNTIFS('Données '!$A:$A,"AVRIL",'Données '!$R:$R,"AVR")+COUNTIFS('Données '!$A:$A,"MAI",'Données '!$R:$R,"AVR")+COUNTIFS('Données '!$A:$A,"JUIN",'Données '!$R:$R,"AVR")+COUNTIFS('Données '!$A:$A,"JUILLET",'Données '!$R:$R,"AVR")+COUNTIFS('Données '!$A:$A,"AOUT",'Données '!$R:$R,"AVR")+COUNTIFS('Données '!$A:$A,"SEPTEMBRE",'Données '!$R:$R,"AVR")+COUNTIFS('Données '!$A:$A,"OCTOBRE",'Données '!$R:$R,"AVR")+COUNTIFS('Données '!$A:$A,"NOVEMBRE",'Données '!$R:$R,"AVR")+COUNTIFS('Données '!$A:$A,"DECEMBRE",'Données '!$R:$R,"AVR")</f>
        <v>0</v>
      </c>
      <c r="E319" s="78" t="str">
        <f>IFERROR(D319/D318,"")</f>
        <v/>
      </c>
    </row>
    <row r="320" spans="1:6" x14ac:dyDescent="0.25">
      <c r="A320" s="51"/>
      <c r="B320" s="52"/>
      <c r="C320" s="52" t="s">
        <v>72</v>
      </c>
      <c r="D320" s="117">
        <f>COUNTIFS('Données '!$A:$A,"JANVIER",'Données '!$R:$R,"TVR")+COUNTIFS('Données '!$A:$A,"FEVRIER",'Données '!$R:$R,"TVR")+COUNTIFS('Données '!$A:$A,"MARS",'Données '!$R:$R,"TVR")+COUNTIFS('Données '!$A:$A,"AVRIL",'Données '!$R:$R,"TVR")+COUNTIFS('Données '!$A:$A,"MAI",'Données '!$R:$R,"TVR")+COUNTIFS('Données '!$A:$A,"JUIN",'Données '!$R:$R,"TVR")+COUNTIFS('Données '!$A:$A,"JUILLET",'Données '!$R:$R,"TVR")+COUNTIFS('Données '!$A:$A,"AOUT",'Données '!$R:$R,"TVR")+COUNTIFS('Données '!$A:$A,"SEPTEMBRE",'Données '!$R:$R,"TVR")+COUNTIFS('Données '!$A:$A,"OCTOBRE",'Données '!$R:$R,"TVR")+COUNTIFS('Données '!$A:$A,"NOVEMBRE",'Données '!$R:$R,"TVR")+COUNTIFS('Données '!$A:$A,"DECEMBRE",'Données '!$R:$R,"TVR")</f>
        <v>0</v>
      </c>
      <c r="E320" s="78" t="str">
        <f>IFERROR(D320/D318,"")</f>
        <v/>
      </c>
    </row>
    <row r="321" spans="1:6" x14ac:dyDescent="0.25">
      <c r="A321" s="51"/>
      <c r="B321" s="52"/>
      <c r="C321" s="52" t="s">
        <v>62</v>
      </c>
      <c r="D321" s="117">
        <f>COUNTIFS('Données '!$A:$A,"JANVIER",'Données '!$R:$R,"TVP")+COUNTIFS('Données '!$A:$A,"FEVRIER",'Données '!$R:$R,"TVP")+COUNTIFS('Données '!$A:$A,"MARS",'Données '!$R:$R,"TVP")+COUNTIFS('Données '!$A:$A,"AVRIL",'Données '!$R:$R,"TVP")+COUNTIFS('Données '!$A:$A,"MAI",'Données '!$R:$R,"TVP")+COUNTIFS('Données '!$A:$A,"JUIN",'Données '!$R:$R,"TVP")+COUNTIFS('Données '!$A:$A,"JUILLET",'Données '!$R:$R,"TVP")+COUNTIFS('Données '!$A:$A,"AOUT",'Données '!$R:$R,"TVP")+COUNTIFS('Données '!$A:$A,"SEPTEMBRE",'Données '!$R:$R,"TVP")+COUNTIFS('Données '!$A:$A,"OCTOBRE",'Données '!$R:$R,"TVP")+COUNTIFS('Données '!$A:$A,"NOVEMBRE",'Données '!$R:$R,"TVP")+COUNTIFS('Données '!$A:$A,"DECEMBRE",'Données '!$R:$R,"TVP")</f>
        <v>0</v>
      </c>
      <c r="E321" s="78" t="str">
        <f>IFERROR(D321/D318,"")</f>
        <v/>
      </c>
    </row>
    <row r="322" spans="1:6" x14ac:dyDescent="0.25">
      <c r="A322" s="51"/>
      <c r="B322" s="52"/>
      <c r="C322" s="52" t="s">
        <v>64</v>
      </c>
      <c r="D322" s="117">
        <f>COUNTIFS('Données '!$A:$A,"JANVIER",'Données '!$R:$R,"MVR")+COUNTIFS('Données '!$A:$A,"FEVRIER",'Données '!$R:$R,"MVR")+COUNTIFS('Données '!$A:$A,"MARS",'Données '!$R:$R,"MVR")+COUNTIFS('Données '!$A:$A,"AVRIL",'Données '!$R:$R,"MVR")+COUNTIFS('Données '!$A:$A,"MAI",'Données '!$R:$R,"MVR")+COUNTIFS('Données '!$A:$A,"JUIN",'Données '!$R:$R,"MVR")+COUNTIFS('Données '!$A:$A,"JUILLET",'Données '!$R:$R,"MVR")+COUNTIFS('Données '!$A:$A,"AOUT",'Données '!$R:$R,"MVR")+COUNTIFS('Données '!$A:$A,"SEPTEMBRE",'Données '!$R:$R,"MVR")+COUNTIFS('Données '!$A:$A,"OCTOBRE",'Données '!$R:$R,"MVR")+COUNTIFS('Données '!$A:$A,"NOVEMBRE",'Données '!$R:$R,"MVR")+COUNTIFS('Données '!$A:$A,"DECEMBRE",'Données '!$R:$R,"MVR")</f>
        <v>0</v>
      </c>
      <c r="E322" s="78" t="str">
        <f>IFERROR(D322/D318,"")</f>
        <v/>
      </c>
    </row>
    <row r="323" spans="1:6" x14ac:dyDescent="0.25">
      <c r="A323" s="51"/>
      <c r="B323" s="52"/>
      <c r="C323" s="52" t="s">
        <v>63</v>
      </c>
      <c r="D323" s="117">
        <f>COUNTIFS('Données '!$A:$A,"JANVIER",'Données '!$R:$R,"MVP")+COUNTIFS('Données '!$A:$A,"FEVRIER",'Données '!$R:$R,"MVP")+COUNTIFS('Données '!$A:$A,"MARS",'Données '!$R:$R,"MVP")+COUNTIFS('Données '!$A:$A,"AVRIL",'Données '!$R:$R,"MVP")+COUNTIFS('Données '!$A:$A,"MAI",'Données '!$R:$R,"MVP")+COUNTIFS('Données '!$A:$A,"JUIN",'Données '!$R:$R,"MVP")+COUNTIFS('Données '!$A:$A,"JUILLET",'Données '!$R:$R,"MVP")+COUNTIFS('Données '!$A:$A,"AOUT",'Données '!$R:$R,"MVP")+COUNTIFS('Données '!$A:$A,"SEPTEMBRE",'Données '!$R:$R,"MVP")+COUNTIFS('Données '!$A:$A,"OCTOBRE",'Données '!$R:$R,"MVP")+COUNTIFS('Données '!$A:$A,"NOVEMBRE",'Données '!$R:$R,"MVP")+COUNTIFS('Données '!$A:$A,"DECEMBRE",'Données '!$R:$R,"MVP")</f>
        <v>0</v>
      </c>
      <c r="E323" s="78" t="str">
        <f>IFERROR(D323/D318,"")</f>
        <v/>
      </c>
    </row>
    <row r="324" spans="1:6" x14ac:dyDescent="0.25">
      <c r="A324" s="53"/>
      <c r="B324" s="54"/>
      <c r="C324" s="54" t="s">
        <v>148</v>
      </c>
      <c r="D324" s="117">
        <f>COUNTIFS('Données '!$A:$A,"JANVIER",'Données '!$R:$R,"2 V ou plus")+COUNTIFS('Données '!$A:$A,"FEVRIER",'Données '!$R:$R,"2 V ou plus")+COUNTIFS('Données '!$A:$A,"MARS",'Données '!$R:$R,"2 V ou plus")+COUNTIFS('Données '!$A:$A,"AVRIL",'Données '!$R:$R,"2 V ou plus")+COUNTIFS('Données '!$A:$A,"MAI",'Données '!$R:$R,"2 V ou plus")+COUNTIFS('Données '!$A:$A,"JUIN",'Données '!$R:$R,"2 V ou plus")+COUNTIFS('Données '!$A:$A,"JUILLET",'Données '!$R:$R,"2 V ou plus")+COUNTIFS('Données '!$A:$A,"AOUT ",'Données '!$R:$R,"2 V ou plus")+COUNTIFS('Données '!$A:$A,"SEPTEMBRE",'Données '!$R:$R,"2 V ou plus")+COUNTIFS('Données '!$A:$A,"OCTOBRE",'Données '!$R:$R,"2 V ou plus")+COUNTIFS('Données '!$A:$A,"NOVEMBRE",'Données '!$R:$R,"2 V ou plus")+COUNTIFS('Données '!$A:$A,"DECEMBRE",'Données '!$R:$R,"2 V ou plus")</f>
        <v>0</v>
      </c>
      <c r="E324" s="78" t="str">
        <f>IFERROR(D324/D318,"")</f>
        <v/>
      </c>
    </row>
    <row r="325" spans="1:6" x14ac:dyDescent="0.25">
      <c r="A325" s="70" t="s">
        <v>180</v>
      </c>
      <c r="B325" s="71"/>
      <c r="C325" s="76"/>
      <c r="D325" s="103">
        <f>COUNTIFS('Données '!$A:$A,"JANVIER",'Données '!$O:$O,"CABG +*")+COUNTIFS('Données '!$A:$A,"FEVRIER",'Données '!$O:$O,"CABG +*")+COUNTIFS('Données '!$A:$A,"MARS",'Données '!$O:$O,"CABG +*")+COUNTIFS('Données '!$A:$A,"AVRIL",'Données '!$O:$O,"CABG +*")+COUNTIFS('Données '!$A:$A,"MAI",'Données '!$O:$O,"CABG +*")+COUNTIFS('Données '!$A:$A,"JUIN",'Données '!$O:$O,"CABG +*")+COUNTIFS('Données '!$A:$A,"JUILLET",'Données '!$O:$O,"CABG +*")+COUNTIFS('Données '!$A:$A,"AOUT",'Données '!$O:$O,"CABG +*")+COUNTIFS('Données '!$A:$A,"SEPTEMBRE",'Données '!$O:$O,"CABG +*")+COUNTIFS('Données '!$A:$A,"OCTOBRE",'Données '!$O:$O,"CABG +*")+COUNTIFS('Données '!$A:$A,"NOVEMBRE",'Données '!$O:$O,"CABG +*")+COUNTIFS('Données '!$A:$A,"DECEMBRE",'Données '!$O:$O,"CABG +*")</f>
        <v>0</v>
      </c>
      <c r="E325" s="60">
        <f>D325/D313</f>
        <v>0</v>
      </c>
    </row>
    <row r="326" spans="1:6" x14ac:dyDescent="0.25">
      <c r="A326" s="70" t="s">
        <v>154</v>
      </c>
      <c r="B326" s="71"/>
      <c r="C326" s="76"/>
      <c r="D326" s="103">
        <f>COUNTIFS('Données '!$A:$A,"JANVIER",'Données '!$O:$O,"Aorte")+COUNTIFS('Données '!$A:$A,"FEVRIER",'Données '!$O:$O,"Aorte")+COUNTIFS('Données '!$A:$A,"MARS",'Données '!$O:$O,"Aorte")+COUNTIFS('Données '!$A:$A,"AVRIL",'Données '!$O:$O,"Aorte")+COUNTIFS('Données '!$A:$A,"MAI",'Données '!$O:$O,"Aorte")+COUNTIFS('Données '!$A:$A,"JUIN",'Données '!$O:$O,"Aorte")+COUNTIFS('Données '!$A:$A,"JUILLET",'Données '!$O:$O,"Aorte")+COUNTIFS('Données '!$A:$A,"AOUT",'Données '!$O:$O,"Aorte")+COUNTIFS('Données '!$A:$A,"SEPTEMBRE",'Données '!$O:$O,"Aorte")+COUNTIFS('Données '!$A:$A,"OCTOBRE",'Données '!$O:$O,"Aorte")+COUNTIFS('Données '!$A:$A,"NOVEMBRE",'Données '!$O:$O,"Aorte")+COUNTIFS('Données '!$A:$A,"DECEMBRE",'Données '!$O:$O,"Aorte")</f>
        <v>0</v>
      </c>
      <c r="E326" s="60">
        <f>D326/D313</f>
        <v>0</v>
      </c>
    </row>
    <row r="327" spans="1:6" x14ac:dyDescent="0.25">
      <c r="A327" s="70" t="s">
        <v>181</v>
      </c>
      <c r="B327" s="71"/>
      <c r="C327" s="76"/>
      <c r="D327" s="103">
        <f>COUNTIFS('Données '!$A:$A,"JANVIER",'Données '!$O:$O,"Autre")+COUNTIFS('Données '!$A:$A,"FEVRIER",'Données '!$O:$O,"Autre")+COUNTIFS('Données '!$A:$A,"MARS",'Données '!$O:$O,"Autre")+COUNTIFS('Données '!$A:$A,"AVRIL",'Données '!$O:$O,"Autre")+COUNTIFS('Données '!$A:$A,"MAI",'Données '!$O:$O,"Autre")+COUNTIFS('Données '!$A:$A,"JUIN",'Données '!$O:$O,"Autre")+COUNTIFS('Données '!$A:$A,"JUILLET",'Données '!$O:$O,"Autre")+COUNTIFS('Données '!$A:$A,"AOUT",'Données '!$O:$O,"Autre")+COUNTIFS('Données '!$A:$A,"SEPTEMBRE",'Données '!$O:$O,"Autre")+COUNTIFS('Données '!$A:$A,"OCTOBRE",'Données '!$O:$O,"Autre")+COUNTIFS('Données '!$A:$A,"NOVEMBRE",'Données '!$O:$O,"Autre")+COUNTIFS('Données '!$A:$A,"DECEMBRE",'Données '!$O:$O,"Autre")</f>
        <v>0</v>
      </c>
      <c r="E327" s="60">
        <f>D327/D313</f>
        <v>0</v>
      </c>
    </row>
    <row r="328" spans="1:6" x14ac:dyDescent="0.25">
      <c r="A328" s="72" t="s">
        <v>152</v>
      </c>
      <c r="B328" s="73"/>
      <c r="C328" s="77"/>
      <c r="D328" s="108">
        <f>SUM(D329:D330)</f>
        <v>0</v>
      </c>
      <c r="E328" s="60">
        <f>D328/D313</f>
        <v>0</v>
      </c>
    </row>
    <row r="329" spans="1:6" x14ac:dyDescent="0.25">
      <c r="A329" s="51"/>
      <c r="B329" s="52"/>
      <c r="C329" s="52" t="s">
        <v>45</v>
      </c>
      <c r="D329" s="117">
        <f>COUNTIFS('Données '!$A:$A,"JANVIER",'Données '!$O:$O,"LVAD")+COUNTIFS('Données '!$A:$A,"FEVRIER",'Données '!$O:$O,"LVAD")+COUNTIFS('Données '!$A:$A,"MARS",'Données '!$O:$O,"LVAD")+COUNTIFS('Données '!$A:$A,"AVRIL",'Données '!$O:$O,"LVAD")+COUNTIFS('Données '!$A:$A,"MAI",'Données '!$O:$O,"LVAD")+COUNTIFS('Données '!$A:$A,"JUIN",'Données '!$O:$O,"LVAD")+COUNTIFS('Données '!$A:$A,"JUILLET",'Données '!$O:$O,"LVAD")+COUNTIFS('Données '!$A:$A,"AOUT",'Données '!$O:$O,"LVAD")+COUNTIFS('Données '!$A:$A,"SEPTEMBRE",'Données '!$O:$O,"LVAD")+COUNTIFS('Données '!$A:$A,"OCTOBRE",'Données '!$O:$O,"LVAD")+COUNTIFS('Données '!$A:$A,"NOVEMBRE",'Données '!$O:$O,"LVAD")+COUNTIFS('Données '!$A:$A,"DECEMBRE",'Données '!$O:$O,"LVAD")</f>
        <v>0</v>
      </c>
      <c r="E329" s="78">
        <f>D329/D313</f>
        <v>0</v>
      </c>
    </row>
    <row r="330" spans="1:6" ht="15.75" thickBot="1" x14ac:dyDescent="0.3">
      <c r="A330" s="55"/>
      <c r="B330" s="56"/>
      <c r="C330" s="56" t="s">
        <v>151</v>
      </c>
      <c r="D330" s="121">
        <f>COUNTIFS('Données '!$A:$A,"JANVIER",'Données '!$O:$O,"HTX")+COUNTIFS('Données '!$A:$A,"FEVRIER",'Données '!$O:$O,"HTX")+COUNTIFS('Données '!$A:$A,"MARS",'Données '!$O:$O,"HTX")+COUNTIFS('Données '!$A:$A,"AVRIL",'Données '!$O:$O,"HTX")+COUNTIFS('Données '!$A:$A,"MAI",'Données '!$O:$O,"HTX")+COUNTIFS('Données '!$A:$A,"JUIN",'Données '!$O:$O,"HTX")+COUNTIFS('Données '!$A:$A,"JUILLET",'Données '!$O:$O,"HTX")+COUNTIFS('Données '!$A:$A,"AOUT",'Données '!$O:$O,"HTX")+COUNTIFS('Données '!$A:$A,"SEPTEMBRE",'Données '!$O:$O,"HTX")+COUNTIFS('Données '!$A:$A,"OCTOBRE",'Données '!$O:$O,"HTX")+COUNTIFS('Données '!$A:$A,"NOVEMBRE",'Données '!$O:$O,"HTX")+COUNTIFS('Données '!$A:$A,"DECEMBRE",'Données '!$O:$O,"HTX")</f>
        <v>0</v>
      </c>
      <c r="E330" s="119">
        <f>D330/D313</f>
        <v>0</v>
      </c>
    </row>
    <row r="331" spans="1:6" x14ac:dyDescent="0.25">
      <c r="A331" s="24" t="s">
        <v>168</v>
      </c>
      <c r="B331" s="48"/>
      <c r="C331" s="65"/>
      <c r="D331" s="104">
        <f>COUNTIFS('Données '!$A:$A,"JANVIER",'Données '!$Y:$Y,1)+COUNTIFS('Données '!$A:$A,"FEVRIER",'Données '!$Y:$Y,1)+COUNTIFS('Données '!$A:$A,"MARS",'Données '!$Y:$Y,1)+COUNTIFS('Données '!$A:$A,"AVRIL",'Données '!$Y:$Y,1)+COUNTIFS('Données '!$A:$A,"MAI",'Données '!$Y:$Y,1)+COUNTIFS('Données '!$A:$A,"JUIN",'Données '!$Y:$Y,1)+COUNTIFS('Données '!$A:$A,"JUILLET",'Données '!$Y:$Y,1)+COUNTIFS('Données '!$A:$A,"AOUT",'Données '!$Y:$Y,1)+COUNTIFS('Données '!$A:$A,"SEPTEMBRE",'Données '!$Y:$Y,1)+COUNTIFS('Données '!$A:$A,"OCTOBRE",'Données '!$Y:$Y,1)+COUNTIFS('Données '!$A:$A,"NOVEMBRE",'Données '!$Y:$Y,1)+COUNTIFS('Données '!$A:$A,"DECEMBRE",'Données '!$Y:$Y,1)</f>
        <v>44</v>
      </c>
      <c r="E331" s="43"/>
    </row>
    <row r="332" spans="1:6" x14ac:dyDescent="0.25">
      <c r="A332" s="53" t="s">
        <v>305</v>
      </c>
      <c r="B332" s="54"/>
      <c r="C332" s="54"/>
      <c r="D332" s="103">
        <f>COUNTIFS('Données '!$A:$A,"JANVIER",'Données '!$AN:$AN,"DECEASED")+COUNTIFS('Données '!$A:$A,"FEVRIER",'Données '!$AN:$AN,"DECEASED")+COUNTIFS('Données '!$A:$A,"MARS",'Données '!$AN:$AN,"DECEASED")+COUNTIFS('Données '!$A:$A,"AVRIL",'Données '!$AN:$AN,"DECEASED")+COUNTIFS('Données '!$A:$A,"MAI",'Données '!$AN:$AN,"DECEASED")+COUNTIFS('Données '!$A:$A,"JUIN",'Données '!$AN:$AN,"DECEASED")+COUNTIFS('Données '!$A:$A,"JUILLET",'Données '!$AN:$AN,"DECEASED")+COUNTIFS('Données '!$A:$A,"AOUT",'Données '!$AN:$AN,"DECEASED")+COUNTIFS('Données '!$A:$A,"SEPTEMBRE",'Données '!$AN:$AN,"DECEASED")+COUNTIFS('Données '!$A:$A,"OCTOBRE",'Données '!$AN:$AN,"DECEASED")+COUNTIFS('Données '!$A:$A,"NOVEMBRE",'Données '!$AN:$AN,"DECEASED")+COUNTIFS('Données '!$A:$A,"DECMBRE",'Données '!$AN:$AN,"DECEASED")</f>
        <v>0</v>
      </c>
      <c r="E332" s="60"/>
    </row>
    <row r="333" spans="1:6" x14ac:dyDescent="0.25">
      <c r="A333" s="49" t="s">
        <v>150</v>
      </c>
      <c r="B333" s="50"/>
      <c r="C333" s="50"/>
      <c r="D333" s="130" t="e">
        <f>AVERAGEIF('Données '!BP2:BP565,"&lt;&gt;(Inconnu)")</f>
        <v>#DIV/0!</v>
      </c>
      <c r="E333" s="61"/>
      <c r="F333" s="47" t="s">
        <v>268</v>
      </c>
    </row>
    <row r="334" spans="1:6" x14ac:dyDescent="0.25">
      <c r="A334" s="49" t="s">
        <v>167</v>
      </c>
      <c r="B334" s="50"/>
      <c r="C334" s="50"/>
      <c r="D334" s="130" t="e">
        <f>AVERAGEIF('Données '!BM2:BM565,"&lt;&gt;(Inconnu)")</f>
        <v>#DIV/0!</v>
      </c>
      <c r="E334" s="61"/>
      <c r="F334" s="47" t="s">
        <v>268</v>
      </c>
    </row>
    <row r="335" spans="1:6" x14ac:dyDescent="0.25">
      <c r="A335" s="49" t="s">
        <v>286</v>
      </c>
      <c r="B335" s="50"/>
      <c r="C335" s="50"/>
      <c r="D335" s="114">
        <f>COUNTIFS('Données '!$A:$A,"JANVIER",'Données '!$AB:$AB,1)+COUNTIFS('Données '!$A:$A,"FEVRIER",'Données '!$AB:$AB,1)+COUNTIFS('Données '!$A:$A,"MARS",'Données '!$AB:$AB,1)+COUNTIFS('Données '!$A:$A,"AVRIL",'Données '!$AB:$AB,1)+COUNTIFS('Données '!$A:$A,"MAI",'Données '!$AB:$AB,1)+COUNTIFS('Données '!$A:$A,"JUIN",'Données '!$AB:$AB,1)+COUNTIFS('Données '!$A:$A,"JUILLET",'Données '!$AB:$AB,1)+COUNTIFS('Données '!$A:$A,"AOUT",'Données '!$AB:$AB,1)+COUNTIFS('Données '!$A:$A,"SEPTEMBRE",'Données '!$AB:$AB,1)+COUNTIFS('Données '!$A:$A,"OCTOBRE",'Données '!$AB:$AB,1)+COUNTIFS('Données '!$A:$A,"NOVEMBRE",'Données '!$AB:$AB,1)+COUNTIFS('Données '!$A:$A,"DECEMBRE",'Données '!$AB:$AB,1)</f>
        <v>0</v>
      </c>
      <c r="E335" s="60"/>
      <c r="F335" s="47"/>
    </row>
    <row r="336" spans="1:6" x14ac:dyDescent="0.25">
      <c r="A336" s="49" t="s">
        <v>221</v>
      </c>
      <c r="B336" s="50"/>
      <c r="C336" s="50"/>
      <c r="D336" s="114">
        <f>COUNTIFS('Données '!$A:$A,"JANVIER",'Données '!$AD:$AD,1)+COUNTIFS('Données '!$A:$A,"FEVRIER",'Données '!$AD:$AD,1)+COUNTIFS('Données '!$A:$A,"MARS",'Données '!$AD:$AD,1)+COUNTIFS('Données '!$A:$A,"AVRIL",'Données '!$AD:$AD,1)+COUNTIFS('Données '!$A:$A,"MAI",'Données '!$AD:$AD,1)+COUNTIFS('Données '!$A:$A,"JUIN",'Données '!$AD:$AD,1)+COUNTIFS('Données '!$A:$A,"JUILLET",'Données '!$AD:$AD,1)+COUNTIFS('Données '!$A:$A,"AOUT",'Données '!$AD:$AD,1)+COUNTIFS('Données '!$A:$A,"SEPTEMBRE",'Données '!$AD:$AD,1)+COUNTIFS('Données '!$A:$A,"OCTOBRE",'Données '!$AD:$AD,1)+COUNTIFS('Données '!$A:$A,"NOVEMBRE",'Données '!$AD:$AD,1)+COUNTIFS('Données '!$A:$A,"DECEMBRE",'Données '!$AD:$AD,1)</f>
        <v>0</v>
      </c>
      <c r="E336" s="60"/>
      <c r="F336" s="47" t="s">
        <v>267</v>
      </c>
    </row>
    <row r="337" spans="1:5" x14ac:dyDescent="0.25">
      <c r="A337" s="25" t="s">
        <v>222</v>
      </c>
      <c r="B337" s="26"/>
      <c r="C337" s="26"/>
      <c r="D337" s="114">
        <f>COUNTIFS('Données '!$A:$A,"JANVIER",'Données '!$AI:$AI,"&lt;&gt;0",'Données '!$O:$O,"&lt;&gt;LVAD",'Données '!$O:$O,"&lt;&gt;HTX")+COUNTIFS('Données '!$A:$A,"FEVRIER",'Données '!$AI:$AI,"&lt;&gt;0",'Données '!$O:$O,"&lt;&gt;LVAD",'Données '!$O:$O,"&lt;&gt;HTX")+COUNTIFS('Données '!$A:$A,"MARS",'Données '!$AI:$AI,"&lt;&gt;0",'Données '!$O:$O,"&lt;&gt;LVAD",'Données '!$O:$O,"&lt;&gt;HTX")+COUNTIFS('Données '!$A:$A,"AVRIL",'Données '!$AI:$AI,"&lt;&gt;0",'Données '!$O:$O,"&lt;&gt;LVAD",'Données '!$O:$O,"&lt;&gt;HTX")+COUNTIFS('Données '!$A:$A,"MAI",'Données '!$AI:$AI,"&lt;&gt;0",'Données '!$O:$O,"&lt;&gt;LVAD",'Données '!$O:$O,"&lt;&gt;HTX")+COUNTIFS('Données '!$A:$A,"JUIN",'Données '!$AI:$AI,"&lt;&gt;0",'Données '!$O:$O,"&lt;&gt;LVAD",'Données '!$O:$O,"&lt;&gt;HTX")+COUNTIFS('Données '!$A:$A,"JUILLET",'Données '!$AI:$AI,"&lt;&gt;0",'Données '!$O:$O,"&lt;&gt;LVAD",'Données '!$O:$O,"&lt;&gt;HTX")+COUNTIFS('Données '!$A:$A,"AOUT",'Données '!$AI:$AI,"&lt;&gt;0",'Données '!$O:$O,"&lt;&gt;LVAD",'Données '!$O:$O,"&lt;&gt;HTX")+COUNTIFS('Données '!$A:$A,"SEPTEMBRE",'Données '!$AI:$AI,"&lt;&gt;0",'Données '!$O:$O,"&lt;&gt;LVAD",'Données '!$O:$O,"&lt;&gt;HTX")+COUNTIFS('Données '!$A:$A,"OCTOBRE",'Données '!$AI:$AI,"&lt;&gt;0",'Données '!$O:$O,"&lt;&gt;LVAD",'Données '!$O:$O,"&lt;&gt;HTX")+COUNTIFS('Données '!$A:$A,"NOVEMBRE",'Données '!$AI:$AI,"&lt;&gt;0",'Données '!$O:$O,"&lt;&gt;LVAD",'Données '!$O:$O,"&lt;&gt;HTX")+COUNTIFS('Données '!$A:$A,"DECEMBRE",'Données '!$AI:$AI,"&lt;&gt;0",'Données '!$O:$O,"&lt;&gt;LVAD",'Données '!$O:$O,"&lt;&gt;HTX")</f>
        <v>13</v>
      </c>
      <c r="E337" s="60"/>
    </row>
    <row r="338" spans="1:5" ht="15.75" thickBot="1" x14ac:dyDescent="0.3">
      <c r="A338" s="57" t="s">
        <v>223</v>
      </c>
      <c r="B338" s="58"/>
      <c r="C338" s="58"/>
      <c r="D338" s="128"/>
      <c r="E338" s="27"/>
    </row>
  </sheetData>
  <mergeCells count="14">
    <mergeCell ref="A281:C281"/>
    <mergeCell ref="A250:C250"/>
    <mergeCell ref="A312:C312"/>
    <mergeCell ref="A1:E1"/>
    <mergeCell ref="A2:E2"/>
    <mergeCell ref="A3:E3"/>
    <mergeCell ref="A189:C189"/>
    <mergeCell ref="A220:C220"/>
    <mergeCell ref="A158:C158"/>
    <mergeCell ref="A127:C127"/>
    <mergeCell ref="A97:C97"/>
    <mergeCell ref="A67:C67"/>
    <mergeCell ref="A37:C37"/>
    <mergeCell ref="A7:C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N19"/>
  <sheetViews>
    <sheetView topLeftCell="F1" workbookViewId="0">
      <pane ySplit="1" topLeftCell="A2" activePane="bottomLeft" state="frozen"/>
      <selection pane="bottomLeft" activeCell="I25" sqref="I25"/>
    </sheetView>
  </sheetViews>
  <sheetFormatPr baseColWidth="10" defaultColWidth="11.42578125" defaultRowHeight="15" x14ac:dyDescent="0.25"/>
  <cols>
    <col min="1" max="1" width="16.42578125" customWidth="1"/>
    <col min="2" max="2" width="15.5703125" customWidth="1"/>
    <col min="3" max="3" width="20.85546875" bestFit="1" customWidth="1"/>
    <col min="4" max="4" width="26.5703125" bestFit="1" customWidth="1"/>
    <col min="11" max="11" width="24.140625" customWidth="1"/>
    <col min="12" max="12" width="23" customWidth="1"/>
    <col min="13" max="13" width="15.28515625" bestFit="1" customWidth="1"/>
    <col min="14" max="14" width="13.28515625" bestFit="1" customWidth="1"/>
  </cols>
  <sheetData>
    <row r="1" spans="1:14" x14ac:dyDescent="0.25">
      <c r="A1" s="110" t="s">
        <v>8</v>
      </c>
      <c r="B1" s="111" t="s">
        <v>193</v>
      </c>
      <c r="C1" s="111" t="s">
        <v>188</v>
      </c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1:14" x14ac:dyDescent="0.25"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1:14" x14ac:dyDescent="0.25">
      <c r="A3" s="110" t="s">
        <v>189</v>
      </c>
      <c r="B3" s="120" t="s">
        <v>186</v>
      </c>
      <c r="C3" s="109">
        <f>COUNTA(A:A)-2</f>
        <v>1</v>
      </c>
      <c r="D3" s="109" t="s">
        <v>187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</row>
    <row r="4" spans="1:14" x14ac:dyDescent="0.25">
      <c r="A4" s="159" t="s">
        <v>190</v>
      </c>
      <c r="B4" s="160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</row>
    <row r="5" spans="1:14" x14ac:dyDescent="0.25"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</row>
    <row r="6" spans="1:14" ht="26.25" x14ac:dyDescent="0.4">
      <c r="C6" s="109"/>
      <c r="D6" s="125" t="s">
        <v>224</v>
      </c>
      <c r="E6" s="109"/>
      <c r="F6" s="109"/>
      <c r="G6" s="109"/>
      <c r="H6" s="109"/>
      <c r="I6" s="109"/>
      <c r="J6" s="109"/>
      <c r="K6" s="109"/>
      <c r="L6" s="109"/>
      <c r="M6" s="109"/>
      <c r="N6" s="109"/>
    </row>
    <row r="7" spans="1:14" ht="26.25" x14ac:dyDescent="0.4">
      <c r="C7" s="109"/>
      <c r="D7" s="125"/>
      <c r="E7" s="109"/>
      <c r="F7" s="109"/>
      <c r="G7" s="109"/>
      <c r="H7" s="109"/>
      <c r="I7" s="109"/>
      <c r="J7" s="109"/>
      <c r="K7" s="109"/>
      <c r="L7" s="109"/>
      <c r="M7" s="109"/>
      <c r="N7" s="109"/>
    </row>
    <row r="8" spans="1:14" ht="26.25" x14ac:dyDescent="0.4">
      <c r="C8" s="109"/>
      <c r="D8" s="125"/>
      <c r="E8" s="109"/>
      <c r="F8" s="109"/>
      <c r="G8" s="109"/>
      <c r="H8" s="109"/>
      <c r="I8" s="109"/>
      <c r="J8" s="109"/>
      <c r="K8" s="203" t="s">
        <v>326</v>
      </c>
      <c r="L8" s="203" t="s">
        <v>327</v>
      </c>
      <c r="M8" s="203" t="s">
        <v>325</v>
      </c>
      <c r="N8" s="203" t="s">
        <v>328</v>
      </c>
    </row>
    <row r="9" spans="1:14" ht="15.75" x14ac:dyDescent="0.25">
      <c r="C9" s="109"/>
      <c r="D9" s="109"/>
      <c r="E9" s="109"/>
      <c r="F9" s="109"/>
      <c r="G9" s="109"/>
      <c r="H9" s="109"/>
      <c r="I9" s="109"/>
      <c r="J9" s="109"/>
      <c r="K9" s="203"/>
      <c r="L9" s="203"/>
      <c r="M9" s="203"/>
      <c r="N9" s="203"/>
    </row>
    <row r="10" spans="1:14" ht="15.75" x14ac:dyDescent="0.25">
      <c r="C10" s="109"/>
      <c r="D10" s="109"/>
      <c r="E10" s="109"/>
      <c r="F10" s="109"/>
      <c r="G10" s="109"/>
      <c r="H10" s="109"/>
      <c r="I10" s="109"/>
      <c r="J10" s="109"/>
      <c r="K10" s="203"/>
      <c r="L10" s="203"/>
      <c r="M10" s="203"/>
      <c r="N10" s="203"/>
    </row>
    <row r="11" spans="1:14" ht="15.75" x14ac:dyDescent="0.25">
      <c r="C11" s="109"/>
      <c r="D11" s="109"/>
      <c r="E11" s="109"/>
      <c r="F11" s="109"/>
      <c r="G11" s="109"/>
      <c r="H11" s="109"/>
      <c r="I11" s="109"/>
      <c r="J11" s="109"/>
      <c r="K11" s="203" t="s">
        <v>57</v>
      </c>
      <c r="L11" s="203" t="s">
        <v>299</v>
      </c>
      <c r="M11" s="203"/>
      <c r="N11" s="203" t="s">
        <v>57</v>
      </c>
    </row>
    <row r="12" spans="1:14" ht="15.75" x14ac:dyDescent="0.25">
      <c r="C12" s="109"/>
      <c r="D12" s="109"/>
      <c r="E12" s="109"/>
      <c r="F12" s="109"/>
      <c r="G12" s="109"/>
      <c r="H12" s="109"/>
      <c r="I12" s="109"/>
      <c r="J12" s="109"/>
      <c r="K12" s="203" t="s">
        <v>65</v>
      </c>
      <c r="L12" s="203" t="s">
        <v>58</v>
      </c>
      <c r="M12" s="203"/>
      <c r="N12" s="203" t="s">
        <v>65</v>
      </c>
    </row>
    <row r="13" spans="1:14" ht="15.75" x14ac:dyDescent="0.25">
      <c r="C13" s="109"/>
      <c r="D13" s="109"/>
      <c r="E13" s="109"/>
      <c r="F13" s="109"/>
      <c r="G13" s="109"/>
      <c r="H13" s="109"/>
      <c r="I13" s="109"/>
      <c r="J13" s="109"/>
      <c r="K13" s="203" t="s">
        <v>58</v>
      </c>
      <c r="L13" s="203" t="s">
        <v>58</v>
      </c>
      <c r="M13" s="203"/>
      <c r="N13" s="203"/>
    </row>
    <row r="14" spans="1:14" ht="15.75" x14ac:dyDescent="0.25">
      <c r="C14" s="109"/>
      <c r="D14" s="109"/>
      <c r="E14" s="109"/>
      <c r="F14" s="109"/>
      <c r="G14" s="109"/>
      <c r="H14" s="109"/>
      <c r="I14" s="109"/>
      <c r="J14" s="109"/>
      <c r="K14" s="203" t="s">
        <v>0</v>
      </c>
      <c r="L14" s="203" t="s">
        <v>0</v>
      </c>
      <c r="M14" s="203"/>
      <c r="N14" s="203"/>
    </row>
    <row r="15" spans="1:14" ht="15.75" x14ac:dyDescent="0.25">
      <c r="C15" s="109"/>
      <c r="D15" s="109"/>
      <c r="E15" s="109"/>
      <c r="F15" s="109"/>
      <c r="G15" s="109"/>
      <c r="H15" s="109"/>
      <c r="I15" s="109"/>
      <c r="J15" s="109"/>
      <c r="K15" s="203" t="s">
        <v>56</v>
      </c>
      <c r="L15" s="203" t="s">
        <v>299</v>
      </c>
      <c r="M15" s="203" t="s">
        <v>238</v>
      </c>
      <c r="N15" s="203"/>
    </row>
    <row r="16" spans="1:14" ht="15.75" x14ac:dyDescent="0.25">
      <c r="C16" s="109"/>
      <c r="D16" s="109"/>
      <c r="E16" s="109"/>
      <c r="F16" s="109"/>
      <c r="G16" s="109"/>
      <c r="H16" s="109"/>
      <c r="I16" s="109"/>
      <c r="J16" s="109"/>
      <c r="K16" s="203" t="s">
        <v>304</v>
      </c>
      <c r="L16" s="203" t="s">
        <v>299</v>
      </c>
      <c r="M16" s="203" t="s">
        <v>238</v>
      </c>
      <c r="N16" s="203"/>
    </row>
    <row r="17" spans="3:14" ht="15.75" x14ac:dyDescent="0.25">
      <c r="C17" s="109"/>
      <c r="D17" s="109"/>
      <c r="E17" s="109"/>
      <c r="F17" s="109"/>
      <c r="G17" s="109"/>
      <c r="H17" s="109"/>
      <c r="I17" s="109"/>
      <c r="J17" s="109"/>
      <c r="K17" s="203" t="s">
        <v>151</v>
      </c>
      <c r="L17" s="203" t="s">
        <v>151</v>
      </c>
      <c r="M17" s="203" t="s">
        <v>294</v>
      </c>
      <c r="N17" s="203"/>
    </row>
    <row r="18" spans="3:14" ht="15.75" x14ac:dyDescent="0.25">
      <c r="C18" s="109"/>
      <c r="D18" s="109"/>
      <c r="E18" s="109"/>
      <c r="F18" s="109"/>
      <c r="G18" s="109"/>
      <c r="H18" s="109"/>
      <c r="I18" s="109"/>
      <c r="J18" s="109"/>
      <c r="K18" s="203" t="s">
        <v>45</v>
      </c>
      <c r="L18" s="203" t="s">
        <v>45</v>
      </c>
      <c r="M18" s="203" t="s">
        <v>294</v>
      </c>
      <c r="N18" s="203"/>
    </row>
    <row r="19" spans="3:14" ht="15.75" x14ac:dyDescent="0.25">
      <c r="C19" s="109"/>
      <c r="D19" s="109"/>
      <c r="E19" s="109"/>
      <c r="F19" s="109"/>
      <c r="G19" s="109"/>
      <c r="H19" s="109"/>
      <c r="I19" s="109"/>
      <c r="J19" s="109"/>
      <c r="K19" s="204" t="s">
        <v>3</v>
      </c>
      <c r="L19" s="202" t="s">
        <v>293</v>
      </c>
      <c r="M19" s="205" t="s">
        <v>63</v>
      </c>
      <c r="N19" s="205" t="s">
        <v>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E0000"/>
  </sheetPr>
  <dimension ref="A1:B38"/>
  <sheetViews>
    <sheetView workbookViewId="0">
      <selection activeCell="A25" sqref="A25"/>
    </sheetView>
  </sheetViews>
  <sheetFormatPr baseColWidth="10" defaultColWidth="9.140625" defaultRowHeight="15" x14ac:dyDescent="0.25"/>
  <cols>
    <col min="1" max="1" width="23.28515625" bestFit="1" customWidth="1"/>
    <col min="2" max="2" width="18.85546875" bestFit="1" customWidth="1"/>
  </cols>
  <sheetData>
    <row r="1" spans="1:2" x14ac:dyDescent="0.25">
      <c r="A1" s="35" t="s">
        <v>14</v>
      </c>
      <c r="B1" s="36" t="s">
        <v>116</v>
      </c>
    </row>
    <row r="2" spans="1:2" x14ac:dyDescent="0.25">
      <c r="A2" s="37" t="s">
        <v>35</v>
      </c>
      <c r="B2" s="38" t="s">
        <v>4</v>
      </c>
    </row>
    <row r="3" spans="1:2" x14ac:dyDescent="0.25">
      <c r="A3" s="37" t="s">
        <v>73</v>
      </c>
      <c r="B3" s="16" t="s">
        <v>73</v>
      </c>
    </row>
    <row r="4" spans="1:2" x14ac:dyDescent="0.25">
      <c r="A4" s="37" t="s">
        <v>36</v>
      </c>
      <c r="B4" s="38" t="s">
        <v>4</v>
      </c>
    </row>
    <row r="5" spans="1:2" x14ac:dyDescent="0.25">
      <c r="A5" s="37" t="s">
        <v>37</v>
      </c>
      <c r="B5" s="38" t="s">
        <v>5</v>
      </c>
    </row>
    <row r="6" spans="1:2" x14ac:dyDescent="0.25">
      <c r="A6" s="37" t="s">
        <v>38</v>
      </c>
      <c r="B6" s="38" t="s">
        <v>4</v>
      </c>
    </row>
    <row r="7" spans="1:2" x14ac:dyDescent="0.25">
      <c r="A7" s="37" t="s">
        <v>39</v>
      </c>
      <c r="B7" s="16" t="s">
        <v>39</v>
      </c>
    </row>
    <row r="8" spans="1:2" x14ac:dyDescent="0.25">
      <c r="A8" s="37" t="s">
        <v>40</v>
      </c>
      <c r="B8" s="16" t="s">
        <v>40</v>
      </c>
    </row>
    <row r="9" spans="1:2" x14ac:dyDescent="0.25">
      <c r="A9" s="37" t="s">
        <v>41</v>
      </c>
      <c r="B9" s="38" t="s">
        <v>4</v>
      </c>
    </row>
    <row r="10" spans="1:2" x14ac:dyDescent="0.25">
      <c r="A10" s="37" t="s">
        <v>42</v>
      </c>
      <c r="B10" s="38" t="s">
        <v>42</v>
      </c>
    </row>
    <row r="11" spans="1:2" x14ac:dyDescent="0.25">
      <c r="A11" s="37" t="s">
        <v>265</v>
      </c>
      <c r="B11" s="38" t="s">
        <v>4</v>
      </c>
    </row>
    <row r="12" spans="1:2" x14ac:dyDescent="0.25">
      <c r="A12" s="37" t="s">
        <v>43</v>
      </c>
      <c r="B12" s="38" t="s">
        <v>4</v>
      </c>
    </row>
    <row r="13" spans="1:2" x14ac:dyDescent="0.25">
      <c r="A13" s="37" t="s">
        <v>155</v>
      </c>
      <c r="B13" s="38" t="s">
        <v>4</v>
      </c>
    </row>
    <row r="14" spans="1:2" x14ac:dyDescent="0.25">
      <c r="A14" s="37" t="s">
        <v>44</v>
      </c>
      <c r="B14" s="38" t="s">
        <v>4</v>
      </c>
    </row>
    <row r="15" spans="1:2" x14ac:dyDescent="0.25">
      <c r="A15" s="37" t="s">
        <v>248</v>
      </c>
      <c r="B15" s="38" t="s">
        <v>4</v>
      </c>
    </row>
    <row r="16" spans="1:2" x14ac:dyDescent="0.25">
      <c r="A16" s="37" t="s">
        <v>46</v>
      </c>
      <c r="B16" s="38" t="s">
        <v>4</v>
      </c>
    </row>
    <row r="17" spans="1:2" x14ac:dyDescent="0.25">
      <c r="A17" s="37" t="s">
        <v>47</v>
      </c>
      <c r="B17" s="38" t="s">
        <v>5</v>
      </c>
    </row>
    <row r="18" spans="1:2" x14ac:dyDescent="0.25">
      <c r="A18" s="37" t="s">
        <v>48</v>
      </c>
      <c r="B18" s="38" t="s">
        <v>48</v>
      </c>
    </row>
    <row r="19" spans="1:2" x14ac:dyDescent="0.25">
      <c r="A19" s="37" t="s">
        <v>49</v>
      </c>
      <c r="B19" s="16" t="s">
        <v>49</v>
      </c>
    </row>
    <row r="20" spans="1:2" x14ac:dyDescent="0.25">
      <c r="A20" s="37" t="s">
        <v>50</v>
      </c>
      <c r="B20" s="16" t="s">
        <v>50</v>
      </c>
    </row>
    <row r="21" spans="1:2" x14ac:dyDescent="0.25">
      <c r="A21" s="37" t="s">
        <v>51</v>
      </c>
      <c r="B21" s="38" t="s">
        <v>5</v>
      </c>
    </row>
    <row r="22" spans="1:2" x14ac:dyDescent="0.25">
      <c r="A22" s="37" t="s">
        <v>52</v>
      </c>
      <c r="B22" s="38" t="s">
        <v>4</v>
      </c>
    </row>
    <row r="23" spans="1:2" x14ac:dyDescent="0.25">
      <c r="A23" s="37" t="s">
        <v>53</v>
      </c>
      <c r="B23" s="38" t="s">
        <v>5</v>
      </c>
    </row>
    <row r="24" spans="1:2" x14ac:dyDescent="0.25">
      <c r="A24" s="37" t="s">
        <v>7</v>
      </c>
      <c r="B24" s="16" t="s">
        <v>7</v>
      </c>
    </row>
    <row r="25" spans="1:2" x14ac:dyDescent="0.25">
      <c r="A25" s="37" t="s">
        <v>54</v>
      </c>
      <c r="B25" s="38" t="s">
        <v>6</v>
      </c>
    </row>
    <row r="26" spans="1:2" x14ac:dyDescent="0.25">
      <c r="A26" s="37" t="s">
        <v>55</v>
      </c>
      <c r="B26" s="38" t="s">
        <v>6</v>
      </c>
    </row>
    <row r="27" spans="1:2" x14ac:dyDescent="0.25">
      <c r="A27" s="34" t="s">
        <v>174</v>
      </c>
      <c r="B27" s="38" t="s">
        <v>4</v>
      </c>
    </row>
    <row r="28" spans="1:2" x14ac:dyDescent="0.25">
      <c r="A28" s="34" t="s">
        <v>264</v>
      </c>
      <c r="B28" s="38" t="s">
        <v>4</v>
      </c>
    </row>
    <row r="29" spans="1:2" x14ac:dyDescent="0.25">
      <c r="A29" s="34" t="s">
        <v>247</v>
      </c>
      <c r="B29" s="38" t="s">
        <v>4</v>
      </c>
    </row>
    <row r="30" spans="1:2" x14ac:dyDescent="0.25">
      <c r="A30" s="34" t="s">
        <v>242</v>
      </c>
      <c r="B30" s="15" t="s">
        <v>242</v>
      </c>
    </row>
    <row r="31" spans="1:2" x14ac:dyDescent="0.25">
      <c r="A31" s="34" t="s">
        <v>245</v>
      </c>
      <c r="B31" s="38" t="s">
        <v>274</v>
      </c>
    </row>
    <row r="32" spans="1:2" x14ac:dyDescent="0.25">
      <c r="A32" s="34" t="s">
        <v>273</v>
      </c>
      <c r="B32" s="38" t="s">
        <v>273</v>
      </c>
    </row>
    <row r="33" spans="1:2" x14ac:dyDescent="0.25">
      <c r="A33" s="37" t="s">
        <v>349</v>
      </c>
      <c r="B33" s="37" t="s">
        <v>349</v>
      </c>
    </row>
    <row r="34" spans="1:2" x14ac:dyDescent="0.25">
      <c r="A34" s="126" t="s">
        <v>276</v>
      </c>
      <c r="B34" s="126" t="s">
        <v>276</v>
      </c>
    </row>
    <row r="35" spans="1:2" x14ac:dyDescent="0.25">
      <c r="A35" s="199" t="s">
        <v>277</v>
      </c>
      <c r="B35" s="200" t="s">
        <v>277</v>
      </c>
    </row>
    <row r="36" spans="1:2" x14ac:dyDescent="0.25">
      <c r="A36" s="199" t="s">
        <v>292</v>
      </c>
      <c r="B36" s="200" t="s">
        <v>292</v>
      </c>
    </row>
    <row r="37" spans="1:2" x14ac:dyDescent="0.25">
      <c r="A37" s="37" t="s">
        <v>302</v>
      </c>
      <c r="B37" s="3" t="s">
        <v>302</v>
      </c>
    </row>
    <row r="38" spans="1:2" x14ac:dyDescent="0.25">
      <c r="A38" s="37" t="s">
        <v>271</v>
      </c>
      <c r="B38" s="38" t="s">
        <v>4</v>
      </c>
    </row>
  </sheetData>
  <autoFilter ref="A1:B27"/>
  <conditionalFormatting sqref="A1:A26">
    <cfRule type="containsText" dxfId="80" priority="196" operator="containsText" text="BRACOPS">
      <formula>NOT(ISERROR(SEARCH("BRACOPS",A1)))</formula>
    </cfRule>
    <cfRule type="containsText" dxfId="79" priority="197" operator="containsText" text="PRIVE">
      <formula>NOT(ISERROR(SEARCH("PRIVE",A1)))</formula>
    </cfRule>
    <cfRule type="containsText" dxfId="78" priority="198" operator="containsText" text="CHIREC">
      <formula>NOT(ISERROR(SEARCH("CHIREC",A1)))</formula>
    </cfRule>
    <cfRule type="containsText" dxfId="77" priority="199" operator="containsText" text="CHWAPI">
      <formula>NOT(ISERROR(SEARCH("CHWAPI",A1)))</formula>
    </cfRule>
    <cfRule type="containsText" dxfId="76" priority="200" operator="containsText" text="ERASME">
      <formula>NOT(ISERROR(SEARCH("ERASME",A1)))</formula>
    </cfRule>
    <cfRule type="containsText" dxfId="75" priority="201" operator="containsText" text="CHIREC EDITH CAVELL">
      <formula>NOT(ISERROR(SEARCH("CHIREC EDITH CAVELL",A1)))</formula>
    </cfRule>
  </conditionalFormatting>
  <conditionalFormatting sqref="B1">
    <cfRule type="containsText" dxfId="74" priority="70" operator="containsText" text="BRACOPS">
      <formula>NOT(ISERROR(SEARCH("BRACOPS",B1)))</formula>
    </cfRule>
    <cfRule type="containsText" dxfId="73" priority="71" operator="containsText" text="PRIVE">
      <formula>NOT(ISERROR(SEARCH("PRIVE",B1)))</formula>
    </cfRule>
    <cfRule type="containsText" dxfId="72" priority="72" operator="containsText" text="CHIREC">
      <formula>NOT(ISERROR(SEARCH("CHIREC",B1)))</formula>
    </cfRule>
    <cfRule type="containsText" dxfId="71" priority="73" operator="containsText" text="CHWAPI">
      <formula>NOT(ISERROR(SEARCH("CHWAPI",B1)))</formula>
    </cfRule>
    <cfRule type="containsText" dxfId="70" priority="74" operator="containsText" text="ERASME">
      <formula>NOT(ISERROR(SEARCH("ERASME",B1)))</formula>
    </cfRule>
    <cfRule type="containsText" dxfId="69" priority="75" operator="containsText" text="CHIREC EDITH CAVELL">
      <formula>NOT(ISERROR(SEARCH("CHIREC EDITH CAVELL",B1)))</formula>
    </cfRule>
  </conditionalFormatting>
  <conditionalFormatting sqref="B7">
    <cfRule type="containsText" dxfId="68" priority="58" operator="containsText" text="BRACOPS">
      <formula>NOT(ISERROR(SEARCH("BRACOPS",B7)))</formula>
    </cfRule>
    <cfRule type="containsText" dxfId="67" priority="59" operator="containsText" text="PRIVE">
      <formula>NOT(ISERROR(SEARCH("PRIVE",B7)))</formula>
    </cfRule>
    <cfRule type="containsText" dxfId="66" priority="60" operator="containsText" text="CHIREC">
      <formula>NOT(ISERROR(SEARCH("CHIREC",B7)))</formula>
    </cfRule>
    <cfRule type="containsText" dxfId="65" priority="61" operator="containsText" text="CHWAPI">
      <formula>NOT(ISERROR(SEARCH("CHWAPI",B7)))</formula>
    </cfRule>
    <cfRule type="containsText" dxfId="64" priority="62" operator="containsText" text="ERASME">
      <formula>NOT(ISERROR(SEARCH("ERASME",B7)))</formula>
    </cfRule>
    <cfRule type="containsText" dxfId="63" priority="63" operator="containsText" text="CHIREC EDITH CAVELL">
      <formula>NOT(ISERROR(SEARCH("CHIREC EDITH CAVELL",B7)))</formula>
    </cfRule>
  </conditionalFormatting>
  <conditionalFormatting sqref="B8">
    <cfRule type="containsText" dxfId="62" priority="64" operator="containsText" text="BRACOPS">
      <formula>NOT(ISERROR(SEARCH("BRACOPS",B8)))</formula>
    </cfRule>
    <cfRule type="containsText" dxfId="61" priority="65" operator="containsText" text="PRIVE">
      <formula>NOT(ISERROR(SEARCH("PRIVE",B8)))</formula>
    </cfRule>
    <cfRule type="containsText" dxfId="60" priority="66" operator="containsText" text="CHIREC">
      <formula>NOT(ISERROR(SEARCH("CHIREC",B8)))</formula>
    </cfRule>
    <cfRule type="containsText" dxfId="59" priority="67" operator="containsText" text="CHWAPI">
      <formula>NOT(ISERROR(SEARCH("CHWAPI",B8)))</formula>
    </cfRule>
    <cfRule type="containsText" dxfId="58" priority="68" operator="containsText" text="ERASME">
      <formula>NOT(ISERROR(SEARCH("ERASME",B8)))</formula>
    </cfRule>
    <cfRule type="containsText" dxfId="57" priority="69" operator="containsText" text="CHIREC EDITH CAVELL">
      <formula>NOT(ISERROR(SEARCH("CHIREC EDITH CAVELL",B8)))</formula>
    </cfRule>
  </conditionalFormatting>
  <conditionalFormatting sqref="B3">
    <cfRule type="containsText" dxfId="56" priority="52" operator="containsText" text="BRACOPS">
      <formula>NOT(ISERROR(SEARCH("BRACOPS",B3)))</formula>
    </cfRule>
    <cfRule type="containsText" dxfId="55" priority="53" operator="containsText" text="PRIVE">
      <formula>NOT(ISERROR(SEARCH("PRIVE",B3)))</formula>
    </cfRule>
    <cfRule type="containsText" dxfId="54" priority="54" operator="containsText" text="CHIREC">
      <formula>NOT(ISERROR(SEARCH("CHIREC",B3)))</formula>
    </cfRule>
    <cfRule type="containsText" dxfId="53" priority="55" operator="containsText" text="CHWAPI">
      <formula>NOT(ISERROR(SEARCH("CHWAPI",B3)))</formula>
    </cfRule>
    <cfRule type="containsText" dxfId="52" priority="56" operator="containsText" text="ERASME">
      <formula>NOT(ISERROR(SEARCH("ERASME",B3)))</formula>
    </cfRule>
    <cfRule type="containsText" dxfId="51" priority="57" operator="containsText" text="CHIREC EDITH CAVELL">
      <formula>NOT(ISERROR(SEARCH("CHIREC EDITH CAVELL",B3)))</formula>
    </cfRule>
  </conditionalFormatting>
  <conditionalFormatting sqref="B20">
    <cfRule type="containsText" dxfId="50" priority="46" operator="containsText" text="BRACOPS">
      <formula>NOT(ISERROR(SEARCH("BRACOPS",B20)))</formula>
    </cfRule>
    <cfRule type="containsText" dxfId="49" priority="47" operator="containsText" text="PRIVE">
      <formula>NOT(ISERROR(SEARCH("PRIVE",B20)))</formula>
    </cfRule>
    <cfRule type="containsText" dxfId="48" priority="48" operator="containsText" text="CHIREC">
      <formula>NOT(ISERROR(SEARCH("CHIREC",B20)))</formula>
    </cfRule>
    <cfRule type="containsText" dxfId="47" priority="49" operator="containsText" text="CHWAPI">
      <formula>NOT(ISERROR(SEARCH("CHWAPI",B20)))</formula>
    </cfRule>
    <cfRule type="containsText" dxfId="46" priority="50" operator="containsText" text="ERASME">
      <formula>NOT(ISERROR(SEARCH("ERASME",B20)))</formula>
    </cfRule>
    <cfRule type="containsText" dxfId="45" priority="51" operator="containsText" text="CHIREC EDITH CAVELL">
      <formula>NOT(ISERROR(SEARCH("CHIREC EDITH CAVELL",B20)))</formula>
    </cfRule>
  </conditionalFormatting>
  <conditionalFormatting sqref="B19">
    <cfRule type="containsText" dxfId="44" priority="40" operator="containsText" text="BRACOPS">
      <formula>NOT(ISERROR(SEARCH("BRACOPS",B19)))</formula>
    </cfRule>
    <cfRule type="containsText" dxfId="43" priority="41" operator="containsText" text="PRIVE">
      <formula>NOT(ISERROR(SEARCH("PRIVE",B19)))</formula>
    </cfRule>
    <cfRule type="containsText" dxfId="42" priority="42" operator="containsText" text="CHIREC">
      <formula>NOT(ISERROR(SEARCH("CHIREC",B19)))</formula>
    </cfRule>
    <cfRule type="containsText" dxfId="41" priority="43" operator="containsText" text="CHWAPI">
      <formula>NOT(ISERROR(SEARCH("CHWAPI",B19)))</formula>
    </cfRule>
    <cfRule type="containsText" dxfId="40" priority="44" operator="containsText" text="ERASME">
      <formula>NOT(ISERROR(SEARCH("ERASME",B19)))</formula>
    </cfRule>
    <cfRule type="containsText" dxfId="39" priority="45" operator="containsText" text="CHIREC EDITH CAVELL">
      <formula>NOT(ISERROR(SEARCH("CHIREC EDITH CAVELL",B19)))</formula>
    </cfRule>
  </conditionalFormatting>
  <conditionalFormatting sqref="B24">
    <cfRule type="containsText" dxfId="38" priority="34" operator="containsText" text="BRACOPS">
      <formula>NOT(ISERROR(SEARCH("BRACOPS",B24)))</formula>
    </cfRule>
    <cfRule type="containsText" dxfId="37" priority="35" operator="containsText" text="PRIVE">
      <formula>NOT(ISERROR(SEARCH("PRIVE",B24)))</formula>
    </cfRule>
    <cfRule type="containsText" dxfId="36" priority="36" operator="containsText" text="CHIREC">
      <formula>NOT(ISERROR(SEARCH("CHIREC",B24)))</formula>
    </cfRule>
    <cfRule type="containsText" dxfId="35" priority="37" operator="containsText" text="CHWAPI">
      <formula>NOT(ISERROR(SEARCH("CHWAPI",B24)))</formula>
    </cfRule>
    <cfRule type="containsText" dxfId="34" priority="38" operator="containsText" text="ERASME">
      <formula>NOT(ISERROR(SEARCH("ERASME",B24)))</formula>
    </cfRule>
    <cfRule type="containsText" dxfId="33" priority="39" operator="containsText" text="CHIREC EDITH CAVELL">
      <formula>NOT(ISERROR(SEARCH("CHIREC EDITH CAVELL",B24)))</formula>
    </cfRule>
  </conditionalFormatting>
  <conditionalFormatting sqref="A34:A36">
    <cfRule type="containsText" dxfId="32" priority="28" operator="containsText" text="BRACOPS">
      <formula>NOT(ISERROR(SEARCH("BRACOPS",A34)))</formula>
    </cfRule>
    <cfRule type="containsText" dxfId="31" priority="29" operator="containsText" text="PRIVE">
      <formula>NOT(ISERROR(SEARCH("PRIVE",A34)))</formula>
    </cfRule>
    <cfRule type="containsText" dxfId="30" priority="30" operator="containsText" text="CHIREC">
      <formula>NOT(ISERROR(SEARCH("CHIREC",A34)))</formula>
    </cfRule>
    <cfRule type="containsText" dxfId="29" priority="31" operator="containsText" text="CHWAPI">
      <formula>NOT(ISERROR(SEARCH("CHWAPI",A34)))</formula>
    </cfRule>
    <cfRule type="containsText" dxfId="28" priority="32" operator="containsText" text="ERASME">
      <formula>NOT(ISERROR(SEARCH("ERASME",A34)))</formula>
    </cfRule>
    <cfRule type="containsText" dxfId="27" priority="33" operator="containsText" text="CHIREC EDITH CAVELL">
      <formula>NOT(ISERROR(SEARCH("CHIREC EDITH CAVELL",A34)))</formula>
    </cfRule>
  </conditionalFormatting>
  <conditionalFormatting sqref="B34:B36">
    <cfRule type="containsText" dxfId="26" priority="22" operator="containsText" text="BRACOPS">
      <formula>NOT(ISERROR(SEARCH("BRACOPS",B34)))</formula>
    </cfRule>
    <cfRule type="containsText" dxfId="25" priority="23" operator="containsText" text="PRIVE">
      <formula>NOT(ISERROR(SEARCH("PRIVE",B34)))</formula>
    </cfRule>
    <cfRule type="containsText" dxfId="24" priority="24" operator="containsText" text="CHIREC">
      <formula>NOT(ISERROR(SEARCH("CHIREC",B34)))</formula>
    </cfRule>
    <cfRule type="containsText" dxfId="23" priority="25" operator="containsText" text="CHWAPI">
      <formula>NOT(ISERROR(SEARCH("CHWAPI",B34)))</formula>
    </cfRule>
    <cfRule type="containsText" dxfId="22" priority="26" operator="containsText" text="ERASME">
      <formula>NOT(ISERROR(SEARCH("ERASME",B34)))</formula>
    </cfRule>
    <cfRule type="containsText" dxfId="21" priority="27" operator="containsText" text="CHIREC EDITH CAVELL">
      <formula>NOT(ISERROR(SEARCH("CHIREC EDITH CAVELL",B34)))</formula>
    </cfRule>
  </conditionalFormatting>
  <conditionalFormatting sqref="A38">
    <cfRule type="containsText" dxfId="20" priority="16" operator="containsText" text="BRACOPS">
      <formula>NOT(ISERROR(SEARCH("BRACOPS",A38)))</formula>
    </cfRule>
    <cfRule type="containsText" dxfId="19" priority="17" operator="containsText" text="PRIVE">
      <formula>NOT(ISERROR(SEARCH("PRIVE",A38)))</formula>
    </cfRule>
    <cfRule type="containsText" dxfId="18" priority="18" operator="containsText" text="CHIREC">
      <formula>NOT(ISERROR(SEARCH("CHIREC",A38)))</formula>
    </cfRule>
    <cfRule type="containsText" dxfId="17" priority="19" operator="containsText" text="CHWAPI">
      <formula>NOT(ISERROR(SEARCH("CHWAPI",A38)))</formula>
    </cfRule>
    <cfRule type="containsText" dxfId="16" priority="20" operator="containsText" text="ERASME">
      <formula>NOT(ISERROR(SEARCH("ERASME",A38)))</formula>
    </cfRule>
    <cfRule type="containsText" dxfId="15" priority="21" operator="containsText" text="CHIREC EDITH CAVELL">
      <formula>NOT(ISERROR(SEARCH("CHIREC EDITH CAVELL",A38)))</formula>
    </cfRule>
  </conditionalFormatting>
  <conditionalFormatting sqref="A37">
    <cfRule type="containsText" dxfId="14" priority="11" operator="containsText" text="CHWAPI">
      <formula>NOT(ISERROR(SEARCH("CHWAPI",A37)))</formula>
    </cfRule>
    <cfRule type="containsText" dxfId="13" priority="12" operator="containsText" text="ERASME">
      <formula>NOT(ISERROR(SEARCH("ERASME",A37)))</formula>
    </cfRule>
    <cfRule type="containsText" dxfId="12" priority="13" operator="containsText" text="CHR">
      <formula>NOT(ISERROR(SEARCH("CHR",A37)))</formula>
    </cfRule>
    <cfRule type="containsText" dxfId="11" priority="14" operator="containsText" text="ERASME">
      <formula>NOT(ISERROR(SEARCH("ERASME",A37)))</formula>
    </cfRule>
    <cfRule type="containsText" dxfId="10" priority="15" operator="containsText" text="CHIREC">
      <formula>NOT(ISERROR(SEARCH("CHIREC",A37)))</formula>
    </cfRule>
  </conditionalFormatting>
  <conditionalFormatting sqref="B37">
    <cfRule type="containsText" dxfId="9" priority="6" operator="containsText" text="CHWAPI">
      <formula>NOT(ISERROR(SEARCH("CHWAPI",B37)))</formula>
    </cfRule>
    <cfRule type="containsText" dxfId="8" priority="7" operator="containsText" text="ERASME">
      <formula>NOT(ISERROR(SEARCH("ERASME",B37)))</formula>
    </cfRule>
    <cfRule type="containsText" dxfId="7" priority="8" operator="containsText" text="CHR">
      <formula>NOT(ISERROR(SEARCH("CHR",B37)))</formula>
    </cfRule>
    <cfRule type="containsText" dxfId="6" priority="9" operator="containsText" text="ERASME">
      <formula>NOT(ISERROR(SEARCH("ERASME",B37)))</formula>
    </cfRule>
    <cfRule type="containsText" dxfId="5" priority="10" operator="containsText" text="CHIREC">
      <formula>NOT(ISERROR(SEARCH("CHIREC",B37)))</formula>
    </cfRule>
  </conditionalFormatting>
  <conditionalFormatting sqref="A33:B33">
    <cfRule type="containsText" dxfId="4" priority="1" operator="containsText" text="CHWAPI">
      <formula>NOT(ISERROR(SEARCH("CHWAPI",A33)))</formula>
    </cfRule>
    <cfRule type="containsText" dxfId="3" priority="2" operator="containsText" text="ERASME">
      <formula>NOT(ISERROR(SEARCH("ERASME",A33)))</formula>
    </cfRule>
    <cfRule type="containsText" dxfId="2" priority="3" operator="containsText" text="CHR">
      <formula>NOT(ISERROR(SEARCH("CHR",A33)))</formula>
    </cfRule>
    <cfRule type="containsText" dxfId="1" priority="4" operator="containsText" text="ERASME">
      <formula>NOT(ISERROR(SEARCH("ERASME",A33)))</formula>
    </cfRule>
    <cfRule type="containsText" dxfId="0" priority="5" operator="containsText" text="CHIREC">
      <formula>NOT(ISERROR(SEARCH("CHIREC",A33)))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7030A0"/>
  </sheetPr>
  <dimension ref="A1:E55"/>
  <sheetViews>
    <sheetView workbookViewId="0">
      <selection activeCell="C13" sqref="C13"/>
    </sheetView>
  </sheetViews>
  <sheetFormatPr baseColWidth="10" defaultColWidth="11.42578125" defaultRowHeight="15" x14ac:dyDescent="0.25"/>
  <cols>
    <col min="1" max="1" width="21" customWidth="1"/>
    <col min="2" max="2" width="21.85546875" customWidth="1"/>
    <col min="3" max="3" width="25.42578125" customWidth="1"/>
    <col min="4" max="4" width="21" customWidth="1"/>
    <col min="5" max="5" width="23.85546875" customWidth="1"/>
    <col min="6" max="6" width="7.28515625" customWidth="1"/>
    <col min="7" max="7" width="17.28515625" customWidth="1"/>
    <col min="8" max="8" width="17" customWidth="1"/>
    <col min="9" max="9" width="3.140625" customWidth="1"/>
    <col min="10" max="10" width="8.5703125" customWidth="1"/>
    <col min="11" max="11" width="8.140625" customWidth="1"/>
    <col min="12" max="12" width="9" customWidth="1"/>
    <col min="13" max="13" width="8.42578125" customWidth="1"/>
    <col min="14" max="14" width="15" customWidth="1"/>
    <col min="15" max="15" width="9.42578125" customWidth="1"/>
    <col min="16" max="16" width="15.28515625" customWidth="1"/>
    <col min="17" max="17" width="7" customWidth="1"/>
    <col min="18" max="18" width="7.5703125" customWidth="1"/>
    <col min="19" max="19" width="8.42578125" customWidth="1"/>
    <col min="20" max="20" width="10.28515625" customWidth="1"/>
    <col min="21" max="21" width="13.85546875" customWidth="1"/>
    <col min="22" max="22" width="12.5703125" customWidth="1"/>
    <col min="23" max="23" width="23.85546875" bestFit="1" customWidth="1"/>
    <col min="24" max="26" width="23.85546875" customWidth="1"/>
    <col min="27" max="27" width="12.5703125" customWidth="1"/>
    <col min="28" max="28" width="6.28515625" customWidth="1"/>
    <col min="29" max="29" width="18" bestFit="1" customWidth="1"/>
    <col min="30" max="30" width="19.140625" bestFit="1" customWidth="1"/>
    <col min="31" max="31" width="22.28515625" bestFit="1" customWidth="1"/>
    <col min="32" max="32" width="14.28515625" bestFit="1" customWidth="1"/>
    <col min="33" max="33" width="9.28515625" customWidth="1"/>
    <col min="34" max="34" width="7.28515625" customWidth="1"/>
    <col min="35" max="35" width="17.28515625" bestFit="1" customWidth="1"/>
    <col min="36" max="36" width="17" bestFit="1" customWidth="1"/>
    <col min="37" max="37" width="3.140625" customWidth="1"/>
    <col min="38" max="38" width="8.5703125" customWidth="1"/>
    <col min="39" max="39" width="8.140625" customWidth="1"/>
    <col min="40" max="40" width="3.7109375" customWidth="1"/>
    <col min="41" max="41" width="9" customWidth="1"/>
    <col min="42" max="42" width="8.42578125" customWidth="1"/>
    <col min="43" max="43" width="6.28515625" customWidth="1"/>
    <col min="44" max="44" width="13.42578125" bestFit="1" customWidth="1"/>
    <col min="45" max="45" width="14.28515625" bestFit="1" customWidth="1"/>
    <col min="46" max="46" width="9.28515625" customWidth="1"/>
    <col min="47" max="47" width="7.28515625" customWidth="1"/>
    <col min="48" max="48" width="17.28515625" bestFit="1" customWidth="1"/>
    <col min="49" max="49" width="17" bestFit="1" customWidth="1"/>
    <col min="50" max="50" width="3.140625" customWidth="1"/>
    <col min="51" max="51" width="8.5703125" customWidth="1"/>
    <col min="52" max="52" width="8.140625" customWidth="1"/>
    <col min="53" max="53" width="3.7109375" customWidth="1"/>
    <col min="54" max="54" width="9" customWidth="1"/>
    <col min="55" max="55" width="8.42578125" customWidth="1"/>
    <col min="56" max="56" width="6.28515625" customWidth="1"/>
    <col min="57" max="57" width="14.7109375" bestFit="1" customWidth="1"/>
    <col min="58" max="58" width="18.85546875" bestFit="1" customWidth="1"/>
    <col min="59" max="59" width="22" bestFit="1" customWidth="1"/>
    <col min="60" max="60" width="5" customWidth="1"/>
    <col min="61" max="61" width="8" customWidth="1"/>
    <col min="62" max="62" width="14.42578125" bestFit="1" customWidth="1"/>
    <col min="63" max="63" width="17.5703125" bestFit="1" customWidth="1"/>
    <col min="64" max="64" width="17.42578125" bestFit="1" customWidth="1"/>
    <col min="65" max="65" width="20.5703125" bestFit="1" customWidth="1"/>
    <col min="66" max="66" width="17.28515625" bestFit="1" customWidth="1"/>
    <col min="67" max="67" width="20.42578125" bestFit="1" customWidth="1"/>
    <col min="68" max="68" width="18.7109375" bestFit="1" customWidth="1"/>
    <col min="69" max="69" width="21.85546875" bestFit="1" customWidth="1"/>
    <col min="70" max="70" width="19.85546875" bestFit="1" customWidth="1"/>
    <col min="71" max="71" width="23" bestFit="1" customWidth="1"/>
    <col min="72" max="72" width="12.7109375" bestFit="1" customWidth="1"/>
    <col min="73" max="73" width="15.7109375" bestFit="1" customWidth="1"/>
    <col min="74" max="74" width="18.5703125" bestFit="1" customWidth="1"/>
    <col min="75" max="75" width="21.7109375" bestFit="1" customWidth="1"/>
    <col min="76" max="76" width="19.85546875" bestFit="1" customWidth="1"/>
    <col min="77" max="77" width="23" bestFit="1" customWidth="1"/>
    <col min="78" max="78" width="13.28515625" bestFit="1" customWidth="1"/>
    <col min="79" max="79" width="16.42578125" bestFit="1" customWidth="1"/>
    <col min="80" max="80" width="21.42578125" bestFit="1" customWidth="1"/>
    <col min="81" max="81" width="24.5703125" bestFit="1" customWidth="1"/>
    <col min="82" max="82" width="5.5703125" customWidth="1"/>
    <col min="83" max="83" width="8.5703125" customWidth="1"/>
    <col min="84" max="84" width="10.85546875" customWidth="1"/>
    <col min="85" max="85" width="13.85546875" bestFit="1" customWidth="1"/>
    <col min="86" max="86" width="10.28515625" customWidth="1"/>
    <col min="87" max="87" width="13.28515625" bestFit="1" customWidth="1"/>
    <col min="88" max="88" width="12.5703125" bestFit="1" customWidth="1"/>
  </cols>
  <sheetData>
    <row r="1" spans="1:5" x14ac:dyDescent="0.25">
      <c r="A1" s="7" t="s">
        <v>17</v>
      </c>
      <c r="B1" s="47" t="s">
        <v>191</v>
      </c>
    </row>
    <row r="3" spans="1:5" x14ac:dyDescent="0.25">
      <c r="A3" s="7" t="s">
        <v>189</v>
      </c>
      <c r="B3" t="s">
        <v>82</v>
      </c>
      <c r="D3" s="7" t="s">
        <v>82</v>
      </c>
      <c r="E3" s="7" t="s">
        <v>194</v>
      </c>
    </row>
    <row r="4" spans="1:5" x14ac:dyDescent="0.25">
      <c r="A4" s="5" t="s">
        <v>192</v>
      </c>
      <c r="B4" s="8"/>
      <c r="D4" s="7" t="s">
        <v>189</v>
      </c>
      <c r="E4" s="47" t="s">
        <v>192</v>
      </c>
    </row>
    <row r="5" spans="1:5" x14ac:dyDescent="0.25">
      <c r="D5" s="5" t="s">
        <v>192</v>
      </c>
      <c r="E5" s="8"/>
    </row>
    <row r="28" spans="1:5" x14ac:dyDescent="0.25">
      <c r="E28" s="11"/>
    </row>
    <row r="29" spans="1:5" x14ac:dyDescent="0.25">
      <c r="A29" s="80" t="s">
        <v>17</v>
      </c>
      <c r="B29" s="80" t="s">
        <v>191</v>
      </c>
    </row>
    <row r="30" spans="1:5" x14ac:dyDescent="0.25">
      <c r="A30" s="80"/>
      <c r="B30" s="80"/>
    </row>
    <row r="31" spans="1:5" x14ac:dyDescent="0.25">
      <c r="A31" s="80" t="s">
        <v>189</v>
      </c>
      <c r="B31" s="80" t="s">
        <v>82</v>
      </c>
    </row>
    <row r="32" spans="1:5" x14ac:dyDescent="0.25">
      <c r="A32" s="81" t="s">
        <v>192</v>
      </c>
      <c r="B32" s="83" t="e">
        <v>#DIV/0!</v>
      </c>
    </row>
    <row r="52" spans="1:2" x14ac:dyDescent="0.25">
      <c r="A52" s="80" t="s">
        <v>17</v>
      </c>
      <c r="B52" s="80" t="s">
        <v>191</v>
      </c>
    </row>
    <row r="53" spans="1:2" x14ac:dyDescent="0.25">
      <c r="A53" s="80"/>
      <c r="B53" s="80"/>
    </row>
    <row r="54" spans="1:2" x14ac:dyDescent="0.25">
      <c r="A54" s="80" t="s">
        <v>189</v>
      </c>
      <c r="B54" s="80" t="s">
        <v>308</v>
      </c>
    </row>
    <row r="55" spans="1:2" x14ac:dyDescent="0.25">
      <c r="A55" s="81" t="s">
        <v>192</v>
      </c>
      <c r="B55" s="83" t="e">
        <v>#DIV/0!</v>
      </c>
    </row>
  </sheetData>
  <pageMargins left="0.7" right="0.7" top="0.75" bottom="0.75" header="0.3" footer="0.3"/>
  <pageSetup paperSize="9" orientation="portrait" r:id="rId5"/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7030A0"/>
  </sheetPr>
  <dimension ref="A1:BP8"/>
  <sheetViews>
    <sheetView topLeftCell="BI1" workbookViewId="0">
      <selection activeCell="BO16" sqref="BO16"/>
    </sheetView>
  </sheetViews>
  <sheetFormatPr baseColWidth="10" defaultColWidth="11.42578125" defaultRowHeight="15" x14ac:dyDescent="0.25"/>
  <cols>
    <col min="1" max="1" width="21" customWidth="1"/>
    <col min="2" max="2" width="21.85546875" customWidth="1"/>
    <col min="3" max="3" width="9.28515625" customWidth="1"/>
    <col min="4" max="4" width="7.28515625" customWidth="1"/>
    <col min="5" max="5" width="21" customWidth="1"/>
    <col min="6" max="6" width="23.85546875" customWidth="1"/>
    <col min="7" max="7" width="5" customWidth="1"/>
    <col min="8" max="8" width="12.140625" customWidth="1"/>
    <col min="9" max="9" width="15.28515625" customWidth="1"/>
    <col min="10" max="10" width="14.28515625" customWidth="1"/>
    <col min="11" max="11" width="9.28515625" customWidth="1"/>
    <col min="12" max="12" width="5.85546875" customWidth="1"/>
    <col min="13" max="13" width="9.28515625" customWidth="1"/>
    <col min="14" max="14" width="9.5703125" customWidth="1"/>
    <col min="15" max="15" width="17" customWidth="1"/>
    <col min="16" max="16" width="14.28515625" customWidth="1"/>
    <col min="17" max="17" width="12.85546875" customWidth="1"/>
    <col min="18" max="18" width="19.85546875" customWidth="1"/>
    <col min="19" max="19" width="12.42578125" customWidth="1"/>
    <col min="20" max="20" width="21" customWidth="1"/>
    <col min="21" max="21" width="16.42578125" customWidth="1"/>
    <col min="22" max="22" width="13" customWidth="1"/>
    <col min="23" max="23" width="17.28515625" customWidth="1"/>
    <col min="24" max="24" width="8.5703125" customWidth="1"/>
    <col min="25" max="25" width="15" customWidth="1"/>
    <col min="26" max="26" width="9.85546875" customWidth="1"/>
    <col min="27" max="27" width="17" customWidth="1"/>
    <col min="28" max="28" width="8.28515625" customWidth="1"/>
    <col min="29" max="29" width="3.140625" customWidth="1"/>
    <col min="30" max="30" width="8.85546875" customWidth="1"/>
    <col min="31" max="31" width="12.5703125" customWidth="1"/>
    <col min="32" max="32" width="18" customWidth="1"/>
    <col min="33" max="33" width="15.5703125" customWidth="1"/>
    <col min="34" max="34" width="15.42578125" customWidth="1"/>
    <col min="35" max="35" width="16.85546875" customWidth="1"/>
    <col min="36" max="36" width="18" customWidth="1"/>
    <col min="37" max="37" width="15.7109375" customWidth="1"/>
    <col min="38" max="38" width="17.7109375" customWidth="1"/>
    <col min="39" max="39" width="16.140625" customWidth="1"/>
    <col min="40" max="40" width="10.85546875" customWidth="1"/>
    <col min="41" max="41" width="14.85546875" customWidth="1"/>
    <col min="42" max="42" width="16.7109375" customWidth="1"/>
    <col min="43" max="43" width="18" customWidth="1"/>
    <col min="44" max="44" width="11.42578125" customWidth="1"/>
    <col min="45" max="45" width="12.42578125" customWidth="1"/>
    <col min="46" max="46" width="19.5703125" customWidth="1"/>
    <col min="47" max="47" width="11.5703125" customWidth="1"/>
    <col min="48" max="48" width="9.85546875" customWidth="1"/>
    <col min="49" max="49" width="5.85546875" customWidth="1"/>
    <col min="50" max="50" width="8.140625" customWidth="1"/>
    <col min="51" max="51" width="10.140625" customWidth="1"/>
    <col min="52" max="52" width="5.7109375" customWidth="1"/>
    <col min="53" max="53" width="8.28515625" customWidth="1"/>
    <col min="54" max="54" width="10.28515625" customWidth="1"/>
    <col min="55" max="55" width="3.7109375" customWidth="1"/>
    <col min="56" max="56" width="7.140625" customWidth="1"/>
    <col min="57" max="57" width="9" customWidth="1"/>
    <col min="58" max="58" width="8.42578125" customWidth="1"/>
    <col min="59" max="59" width="13.85546875" customWidth="1"/>
    <col min="60" max="60" width="10.7109375" customWidth="1"/>
    <col min="61" max="61" width="7" customWidth="1"/>
    <col min="62" max="62" width="10.28515625" customWidth="1"/>
    <col min="63" max="63" width="9.7109375" customWidth="1"/>
    <col min="64" max="64" width="8.42578125" customWidth="1"/>
    <col min="65" max="65" width="7.5703125" customWidth="1"/>
    <col min="66" max="66" width="7.28515625" customWidth="1"/>
    <col min="67" max="67" width="8.85546875" customWidth="1"/>
    <col min="68" max="68" width="12.5703125" customWidth="1"/>
    <col min="69" max="69" width="12.7109375" bestFit="1" customWidth="1"/>
    <col min="70" max="70" width="15.7109375" bestFit="1" customWidth="1"/>
    <col min="71" max="71" width="18.5703125" bestFit="1" customWidth="1"/>
    <col min="72" max="72" width="21.7109375" bestFit="1" customWidth="1"/>
    <col min="73" max="73" width="19.85546875" bestFit="1" customWidth="1"/>
    <col min="74" max="74" width="23" bestFit="1" customWidth="1"/>
    <col min="75" max="75" width="13.28515625" bestFit="1" customWidth="1"/>
    <col min="76" max="76" width="16.42578125" bestFit="1" customWidth="1"/>
    <col min="77" max="77" width="21.42578125" bestFit="1" customWidth="1"/>
    <col min="78" max="78" width="24.5703125" bestFit="1" customWidth="1"/>
    <col min="79" max="79" width="5.5703125" customWidth="1"/>
    <col min="80" max="80" width="8.5703125" customWidth="1"/>
    <col min="81" max="81" width="10.85546875" customWidth="1"/>
    <col min="82" max="82" width="13.85546875" bestFit="1" customWidth="1"/>
    <col min="83" max="83" width="10.28515625" customWidth="1"/>
    <col min="84" max="84" width="13.28515625" bestFit="1" customWidth="1"/>
    <col min="85" max="85" width="12.5703125" bestFit="1" customWidth="1"/>
  </cols>
  <sheetData>
    <row r="1" spans="1:68" x14ac:dyDescent="0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</row>
    <row r="2" spans="1:68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</row>
    <row r="3" spans="1:68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</row>
    <row r="4" spans="1:68" x14ac:dyDescent="0.25">
      <c r="A4" s="80" t="s">
        <v>17</v>
      </c>
      <c r="B4" s="80" t="s">
        <v>191</v>
      </c>
      <c r="C4" s="47"/>
      <c r="D4" s="47"/>
      <c r="E4" s="122" t="s">
        <v>17</v>
      </c>
      <c r="F4" s="122" t="s">
        <v>191</v>
      </c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</row>
    <row r="5" spans="1:68" x14ac:dyDescent="0.25">
      <c r="A5" s="80"/>
      <c r="B5" s="80"/>
      <c r="C5" s="47"/>
      <c r="D5" s="47"/>
      <c r="E5" s="122"/>
      <c r="F5" s="122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</row>
    <row r="6" spans="1:68" x14ac:dyDescent="0.25">
      <c r="A6" s="80" t="s">
        <v>189</v>
      </c>
      <c r="B6" s="80" t="s">
        <v>204</v>
      </c>
      <c r="E6" s="80" t="s">
        <v>204</v>
      </c>
      <c r="F6" s="80" t="s">
        <v>194</v>
      </c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</row>
    <row r="7" spans="1:68" x14ac:dyDescent="0.25">
      <c r="A7" s="81" t="s">
        <v>192</v>
      </c>
      <c r="B7" s="82"/>
      <c r="E7" s="80" t="s">
        <v>189</v>
      </c>
      <c r="F7" s="80" t="s">
        <v>314</v>
      </c>
      <c r="G7" s="80" t="s">
        <v>315</v>
      </c>
      <c r="H7" s="80" t="s">
        <v>237</v>
      </c>
      <c r="I7" s="80" t="s">
        <v>273</v>
      </c>
      <c r="J7" s="80" t="s">
        <v>40</v>
      </c>
      <c r="K7" s="80" t="s">
        <v>42</v>
      </c>
      <c r="L7" s="80" t="s">
        <v>275</v>
      </c>
      <c r="M7" s="80" t="s">
        <v>272</v>
      </c>
      <c r="N7" s="80" t="s">
        <v>337</v>
      </c>
      <c r="O7" s="80" t="s">
        <v>37</v>
      </c>
      <c r="P7" s="80" t="s">
        <v>53</v>
      </c>
      <c r="Q7" s="80" t="s">
        <v>316</v>
      </c>
      <c r="R7" s="80" t="s">
        <v>51</v>
      </c>
      <c r="S7" s="80" t="s">
        <v>317</v>
      </c>
      <c r="T7" s="80" t="s">
        <v>47</v>
      </c>
      <c r="U7" s="80" t="s">
        <v>318</v>
      </c>
      <c r="V7" s="80" t="s">
        <v>319</v>
      </c>
      <c r="W7" s="80" t="s">
        <v>39</v>
      </c>
      <c r="X7" s="80" t="s">
        <v>320</v>
      </c>
      <c r="Y7" s="80" t="s">
        <v>242</v>
      </c>
      <c r="Z7" s="80" t="s">
        <v>321</v>
      </c>
      <c r="AA7" s="80" t="s">
        <v>48</v>
      </c>
      <c r="AB7" s="80" t="s">
        <v>263</v>
      </c>
      <c r="AC7" s="80" t="s">
        <v>73</v>
      </c>
      <c r="AD7" s="80" t="s">
        <v>244</v>
      </c>
      <c r="AE7" s="80" t="s">
        <v>55</v>
      </c>
      <c r="AF7" s="80" t="s">
        <v>322</v>
      </c>
      <c r="AG7" s="80" t="s">
        <v>54</v>
      </c>
      <c r="AH7" s="80" t="s">
        <v>35</v>
      </c>
      <c r="AI7" s="80" t="s">
        <v>44</v>
      </c>
      <c r="AJ7" s="80" t="s">
        <v>43</v>
      </c>
      <c r="AK7" s="80" t="s">
        <v>323</v>
      </c>
      <c r="AL7" s="80" t="s">
        <v>271</v>
      </c>
      <c r="AM7" s="80" t="s">
        <v>248</v>
      </c>
      <c r="AN7" s="80" t="s">
        <v>38</v>
      </c>
      <c r="AO7" s="80" t="s">
        <v>155</v>
      </c>
      <c r="AP7" s="80" t="s">
        <v>52</v>
      </c>
      <c r="AQ7" s="80" t="s">
        <v>36</v>
      </c>
      <c r="AR7" s="80" t="s">
        <v>46</v>
      </c>
      <c r="AS7" s="80" t="s">
        <v>265</v>
      </c>
      <c r="AT7" s="80" t="s">
        <v>41</v>
      </c>
      <c r="AU7" s="80" t="s">
        <v>235</v>
      </c>
      <c r="AV7" s="80" t="s">
        <v>261</v>
      </c>
      <c r="AW7" s="80" t="s">
        <v>336</v>
      </c>
      <c r="AX7" s="80" t="s">
        <v>249</v>
      </c>
      <c r="AY7" s="80" t="s">
        <v>243</v>
      </c>
      <c r="AZ7" s="80" t="s">
        <v>324</v>
      </c>
      <c r="BA7" s="80" t="s">
        <v>174</v>
      </c>
      <c r="BB7" s="80" t="s">
        <v>236</v>
      </c>
      <c r="BC7" s="80" t="s">
        <v>50</v>
      </c>
      <c r="BD7" s="80" t="s">
        <v>239</v>
      </c>
      <c r="BE7" s="80" t="s">
        <v>7</v>
      </c>
      <c r="BF7" s="80" t="s">
        <v>49</v>
      </c>
      <c r="BG7" s="80" t="s">
        <v>349</v>
      </c>
      <c r="BH7" s="80" t="s">
        <v>350</v>
      </c>
      <c r="BI7" s="80" t="s">
        <v>276</v>
      </c>
      <c r="BJ7" s="80" t="s">
        <v>302</v>
      </c>
      <c r="BK7" s="80" t="s">
        <v>245</v>
      </c>
      <c r="BL7" s="80" t="s">
        <v>292</v>
      </c>
      <c r="BM7" s="80" t="s">
        <v>277</v>
      </c>
      <c r="BN7" s="80" t="s">
        <v>289</v>
      </c>
      <c r="BO7" s="80" t="s">
        <v>240</v>
      </c>
      <c r="BP7" s="80" t="s">
        <v>192</v>
      </c>
    </row>
    <row r="8" spans="1:68" x14ac:dyDescent="0.25">
      <c r="E8" s="81" t="s">
        <v>192</v>
      </c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</row>
  </sheetData>
  <pageMargins left="0.7" right="0.7" top="0.75" bottom="0.75" header="0.3" footer="0.3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 tint="-0.249977111117893"/>
  </sheetPr>
  <dimension ref="A2:O37"/>
  <sheetViews>
    <sheetView workbookViewId="0">
      <selection activeCell="O25" sqref="O25"/>
    </sheetView>
  </sheetViews>
  <sheetFormatPr baseColWidth="10" defaultRowHeight="15" x14ac:dyDescent="0.25"/>
  <cols>
    <col min="1" max="1" width="22.85546875" customWidth="1"/>
    <col min="2" max="2" width="23.85546875" customWidth="1"/>
    <col min="3" max="3" width="12.5703125" customWidth="1"/>
    <col min="4" max="4" width="10.5703125" customWidth="1"/>
    <col min="5" max="6" width="6" customWidth="1"/>
    <col min="7" max="7" width="5.85546875" customWidth="1"/>
    <col min="8" max="8" width="10" customWidth="1"/>
    <col min="9" max="9" width="7.7109375" customWidth="1"/>
    <col min="10" max="10" width="5.7109375" customWidth="1"/>
    <col min="11" max="11" width="10.42578125" customWidth="1"/>
    <col min="12" max="12" width="21" customWidth="1"/>
    <col min="13" max="13" width="17.5703125" customWidth="1"/>
    <col min="14" max="14" width="29.5703125" customWidth="1"/>
    <col min="15" max="15" width="38.28515625" customWidth="1"/>
    <col min="16" max="16" width="15.7109375" customWidth="1"/>
    <col min="17" max="17" width="9" customWidth="1"/>
    <col min="18" max="18" width="10" customWidth="1"/>
    <col min="19" max="19" width="6" customWidth="1"/>
    <col min="20" max="20" width="12.5703125" bestFit="1" customWidth="1"/>
  </cols>
  <sheetData>
    <row r="2" spans="1:15" x14ac:dyDescent="0.25">
      <c r="A2" s="122" t="s">
        <v>297</v>
      </c>
      <c r="N2" s="7" t="s">
        <v>8</v>
      </c>
      <c r="O2" s="47" t="s">
        <v>191</v>
      </c>
    </row>
    <row r="3" spans="1:15" x14ac:dyDescent="0.25">
      <c r="A3" s="7" t="s">
        <v>78</v>
      </c>
      <c r="B3" s="7" t="s">
        <v>194</v>
      </c>
      <c r="N3" s="122" t="s">
        <v>298</v>
      </c>
      <c r="O3" s="122"/>
    </row>
    <row r="4" spans="1:15" x14ac:dyDescent="0.25">
      <c r="A4" s="7" t="s">
        <v>189</v>
      </c>
      <c r="B4" s="47" t="s">
        <v>190</v>
      </c>
      <c r="C4" s="47" t="s">
        <v>192</v>
      </c>
      <c r="N4" s="7" t="s">
        <v>189</v>
      </c>
      <c r="O4" t="s">
        <v>296</v>
      </c>
    </row>
    <row r="5" spans="1:15" x14ac:dyDescent="0.25">
      <c r="A5" s="5" t="s">
        <v>212</v>
      </c>
      <c r="B5" s="8"/>
      <c r="C5" s="8"/>
      <c r="N5" s="5" t="s">
        <v>335</v>
      </c>
      <c r="O5" s="158">
        <v>1</v>
      </c>
    </row>
    <row r="6" spans="1:15" x14ac:dyDescent="0.25">
      <c r="A6" s="5" t="s">
        <v>213</v>
      </c>
      <c r="B6" s="8"/>
      <c r="C6" s="8"/>
      <c r="N6" s="5" t="s">
        <v>192</v>
      </c>
      <c r="O6" s="158">
        <v>1</v>
      </c>
    </row>
    <row r="7" spans="1:15" x14ac:dyDescent="0.25">
      <c r="A7" s="5" t="s">
        <v>209</v>
      </c>
      <c r="B7" s="8"/>
      <c r="C7" s="8"/>
    </row>
    <row r="8" spans="1:15" x14ac:dyDescent="0.25">
      <c r="A8" s="5" t="s">
        <v>210</v>
      </c>
      <c r="B8" s="8"/>
      <c r="C8" s="8"/>
    </row>
    <row r="9" spans="1:15" x14ac:dyDescent="0.25">
      <c r="A9" s="5" t="s">
        <v>211</v>
      </c>
      <c r="B9" s="8"/>
      <c r="C9" s="8"/>
    </row>
    <row r="10" spans="1:15" x14ac:dyDescent="0.25">
      <c r="A10" s="5" t="s">
        <v>253</v>
      </c>
      <c r="B10" s="8"/>
      <c r="C10" s="8"/>
    </row>
    <row r="11" spans="1:15" x14ac:dyDescent="0.25">
      <c r="A11" s="5" t="s">
        <v>254</v>
      </c>
      <c r="B11" s="8"/>
      <c r="C11" s="8"/>
    </row>
    <row r="12" spans="1:15" x14ac:dyDescent="0.25">
      <c r="A12" s="5" t="s">
        <v>282</v>
      </c>
      <c r="B12" s="8"/>
      <c r="C12" s="8"/>
    </row>
    <row r="13" spans="1:15" x14ac:dyDescent="0.25">
      <c r="A13" s="5" t="s">
        <v>256</v>
      </c>
      <c r="B13" s="8"/>
      <c r="C13" s="8"/>
    </row>
    <row r="14" spans="1:15" x14ac:dyDescent="0.25">
      <c r="A14" s="5" t="s">
        <v>257</v>
      </c>
      <c r="B14" s="8"/>
      <c r="C14" s="8"/>
    </row>
    <row r="15" spans="1:15" x14ac:dyDescent="0.25">
      <c r="A15" s="5" t="s">
        <v>192</v>
      </c>
      <c r="B15" s="8"/>
      <c r="C15" s="8"/>
    </row>
    <row r="16" spans="1:15" x14ac:dyDescent="0.25">
      <c r="F16" s="47"/>
      <c r="G16" s="47"/>
      <c r="H16" s="47"/>
      <c r="I16" s="47"/>
      <c r="J16" s="47"/>
      <c r="K16" s="47"/>
      <c r="L16" s="47"/>
      <c r="M16" s="47"/>
    </row>
    <row r="17" spans="1:13" x14ac:dyDescent="0.25">
      <c r="F17" s="47"/>
    </row>
    <row r="20" spans="1:13" x14ac:dyDescent="0.25">
      <c r="A20" s="7" t="s">
        <v>8</v>
      </c>
      <c r="B20" s="47" t="s">
        <v>191</v>
      </c>
    </row>
    <row r="22" spans="1:13" x14ac:dyDescent="0.25">
      <c r="A22" s="7" t="s">
        <v>189</v>
      </c>
      <c r="B22" t="s">
        <v>78</v>
      </c>
    </row>
    <row r="23" spans="1:13" x14ac:dyDescent="0.25">
      <c r="A23" s="5" t="s">
        <v>190</v>
      </c>
      <c r="B23" s="158" t="e">
        <v>#DIV/0!</v>
      </c>
      <c r="I23" s="47"/>
      <c r="J23" s="47"/>
      <c r="K23" s="47"/>
      <c r="L23" s="129" t="s">
        <v>300</v>
      </c>
      <c r="M23" s="129"/>
    </row>
    <row r="24" spans="1:13" x14ac:dyDescent="0.25">
      <c r="A24" s="5" t="s">
        <v>192</v>
      </c>
      <c r="B24" s="158" t="e">
        <v>#DIV/0!</v>
      </c>
      <c r="H24" t="s">
        <v>287</v>
      </c>
      <c r="I24">
        <v>2017</v>
      </c>
      <c r="J24">
        <v>2018</v>
      </c>
      <c r="L24" s="7" t="s">
        <v>189</v>
      </c>
      <c r="M24" t="s">
        <v>288</v>
      </c>
    </row>
    <row r="25" spans="1:13" x14ac:dyDescent="0.25">
      <c r="H25" t="s">
        <v>212</v>
      </c>
      <c r="I25" s="47">
        <v>27</v>
      </c>
      <c r="J25" s="47"/>
      <c r="L25" s="5" t="s">
        <v>212</v>
      </c>
      <c r="M25" s="8">
        <v>27</v>
      </c>
    </row>
    <row r="26" spans="1:13" x14ac:dyDescent="0.25">
      <c r="H26" s="47" t="s">
        <v>251</v>
      </c>
      <c r="I26" s="47">
        <v>29</v>
      </c>
      <c r="J26" s="47"/>
      <c r="L26" s="5" t="s">
        <v>251</v>
      </c>
      <c r="M26" s="8">
        <v>29</v>
      </c>
    </row>
    <row r="27" spans="1:13" x14ac:dyDescent="0.25">
      <c r="H27" s="47" t="s">
        <v>209</v>
      </c>
      <c r="I27" s="47">
        <v>30</v>
      </c>
      <c r="J27" s="47"/>
      <c r="L27" s="5" t="s">
        <v>209</v>
      </c>
      <c r="M27" s="8">
        <v>30</v>
      </c>
    </row>
    <row r="28" spans="1:13" x14ac:dyDescent="0.25">
      <c r="H28" s="47" t="s">
        <v>210</v>
      </c>
      <c r="I28" s="47">
        <v>29</v>
      </c>
      <c r="J28" s="47"/>
      <c r="L28" s="5" t="s">
        <v>210</v>
      </c>
      <c r="M28" s="8">
        <v>29</v>
      </c>
    </row>
    <row r="29" spans="1:13" x14ac:dyDescent="0.25">
      <c r="G29" s="47"/>
      <c r="H29" s="47" t="s">
        <v>211</v>
      </c>
      <c r="I29" s="47">
        <v>32</v>
      </c>
      <c r="J29" s="47"/>
      <c r="L29" s="5" t="s">
        <v>211</v>
      </c>
      <c r="M29" s="8">
        <v>32</v>
      </c>
    </row>
    <row r="30" spans="1:13" x14ac:dyDescent="0.25">
      <c r="G30" s="194"/>
      <c r="H30" s="47" t="s">
        <v>253</v>
      </c>
      <c r="I30" s="47">
        <v>21</v>
      </c>
      <c r="J30" s="47"/>
      <c r="L30" s="5" t="s">
        <v>253</v>
      </c>
      <c r="M30" s="8">
        <v>21</v>
      </c>
    </row>
    <row r="31" spans="1:13" x14ac:dyDescent="0.25">
      <c r="G31" s="194"/>
      <c r="H31" s="47" t="s">
        <v>254</v>
      </c>
      <c r="I31" s="47">
        <v>13</v>
      </c>
      <c r="J31" s="47"/>
      <c r="L31" s="5" t="s">
        <v>254</v>
      </c>
      <c r="M31" s="8">
        <v>13</v>
      </c>
    </row>
    <row r="32" spans="1:13" x14ac:dyDescent="0.25">
      <c r="H32" s="47" t="s">
        <v>255</v>
      </c>
      <c r="I32" s="47">
        <v>19</v>
      </c>
      <c r="L32" s="5" t="s">
        <v>255</v>
      </c>
      <c r="M32" s="8">
        <v>19</v>
      </c>
    </row>
    <row r="33" spans="8:13" x14ac:dyDescent="0.25">
      <c r="H33" s="47" t="s">
        <v>256</v>
      </c>
      <c r="I33" s="47">
        <v>25</v>
      </c>
      <c r="L33" s="5" t="s">
        <v>256</v>
      </c>
      <c r="M33" s="8">
        <v>25</v>
      </c>
    </row>
    <row r="34" spans="8:13" x14ac:dyDescent="0.25">
      <c r="H34" s="47" t="s">
        <v>257</v>
      </c>
      <c r="I34" s="47">
        <v>31</v>
      </c>
      <c r="L34" s="5" t="s">
        <v>257</v>
      </c>
      <c r="M34" s="8">
        <v>31</v>
      </c>
    </row>
    <row r="35" spans="8:13" x14ac:dyDescent="0.25">
      <c r="H35" s="47" t="s">
        <v>258</v>
      </c>
      <c r="I35" s="197"/>
      <c r="L35" s="5" t="s">
        <v>258</v>
      </c>
      <c r="M35" s="8"/>
    </row>
    <row r="36" spans="8:13" x14ac:dyDescent="0.25">
      <c r="H36" s="47" t="s">
        <v>259</v>
      </c>
      <c r="I36" s="198"/>
      <c r="L36" s="5" t="s">
        <v>259</v>
      </c>
      <c r="M36" s="8"/>
    </row>
    <row r="37" spans="8:13" x14ac:dyDescent="0.25">
      <c r="L37" s="5" t="s">
        <v>192</v>
      </c>
      <c r="M37" s="8">
        <v>256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50"/>
  </sheetPr>
  <dimension ref="A2:K17"/>
  <sheetViews>
    <sheetView workbookViewId="0">
      <selection activeCell="B4" sqref="B4"/>
    </sheetView>
  </sheetViews>
  <sheetFormatPr baseColWidth="10" defaultColWidth="11.42578125" defaultRowHeight="15" x14ac:dyDescent="0.25"/>
  <cols>
    <col min="1" max="1" width="25.42578125" customWidth="1"/>
    <col min="2" max="2" width="17" customWidth="1"/>
    <col min="3" max="3" width="12.5703125" customWidth="1"/>
    <col min="4" max="4" width="6" customWidth="1"/>
    <col min="5" max="5" width="4.7109375" customWidth="1"/>
    <col min="6" max="7" width="5.140625" customWidth="1"/>
    <col min="8" max="8" width="6.28515625" customWidth="1"/>
    <col min="9" max="9" width="10.140625" customWidth="1"/>
    <col min="10" max="10" width="17" customWidth="1"/>
    <col min="11" max="11" width="26.5703125" bestFit="1" customWidth="1"/>
    <col min="12" max="16" width="8.140625" customWidth="1"/>
    <col min="17" max="18" width="12.5703125" customWidth="1"/>
    <col min="19" max="19" width="8.140625" customWidth="1"/>
    <col min="20" max="20" width="9.5703125" customWidth="1"/>
    <col min="21" max="21" width="8.140625" customWidth="1"/>
    <col min="22" max="22" width="10" customWidth="1"/>
    <col min="23" max="23" width="8.140625" customWidth="1"/>
    <col min="24" max="24" width="10" customWidth="1"/>
    <col min="25" max="25" width="8.140625" customWidth="1"/>
    <col min="26" max="26" width="9.28515625" customWidth="1"/>
    <col min="27" max="27" width="8.140625" customWidth="1"/>
    <col min="28" max="30" width="7.7109375" customWidth="1"/>
    <col min="31" max="31" width="11.140625" customWidth="1"/>
    <col min="32" max="32" width="12.5703125" bestFit="1" customWidth="1"/>
  </cols>
  <sheetData>
    <row r="2" spans="1:11" x14ac:dyDescent="0.25">
      <c r="J2" s="88" t="s">
        <v>8</v>
      </c>
      <c r="K2" s="88" t="s">
        <v>191</v>
      </c>
    </row>
    <row r="3" spans="1:11" x14ac:dyDescent="0.25">
      <c r="A3" s="88" t="s">
        <v>79</v>
      </c>
      <c r="B3" s="88" t="s">
        <v>61</v>
      </c>
      <c r="C3" s="88"/>
      <c r="J3" s="88"/>
      <c r="K3" s="88"/>
    </row>
    <row r="4" spans="1:11" x14ac:dyDescent="0.25">
      <c r="A4" s="88" t="s">
        <v>8</v>
      </c>
      <c r="B4" s="88" t="s">
        <v>335</v>
      </c>
      <c r="C4" s="88" t="s">
        <v>192</v>
      </c>
      <c r="J4" s="88" t="s">
        <v>61</v>
      </c>
      <c r="K4" s="88" t="s">
        <v>80</v>
      </c>
    </row>
    <row r="5" spans="1:11" x14ac:dyDescent="0.25">
      <c r="A5" s="80" t="s">
        <v>212</v>
      </c>
      <c r="B5" s="82">
        <v>27</v>
      </c>
      <c r="C5" s="82">
        <v>27</v>
      </c>
      <c r="J5" s="80" t="s">
        <v>192</v>
      </c>
      <c r="K5" s="82">
        <v>0</v>
      </c>
    </row>
    <row r="6" spans="1:11" x14ac:dyDescent="0.25">
      <c r="A6" s="80" t="s">
        <v>213</v>
      </c>
      <c r="B6" s="82">
        <v>29</v>
      </c>
      <c r="C6" s="82">
        <v>29</v>
      </c>
    </row>
    <row r="7" spans="1:11" x14ac:dyDescent="0.25">
      <c r="A7" s="80" t="s">
        <v>209</v>
      </c>
      <c r="B7" s="82">
        <v>30</v>
      </c>
      <c r="C7" s="82">
        <v>30</v>
      </c>
    </row>
    <row r="8" spans="1:11" x14ac:dyDescent="0.25">
      <c r="A8" s="80" t="s">
        <v>210</v>
      </c>
      <c r="B8" s="82">
        <v>29</v>
      </c>
      <c r="C8" s="82">
        <v>29</v>
      </c>
    </row>
    <row r="9" spans="1:11" x14ac:dyDescent="0.25">
      <c r="A9" s="80" t="s">
        <v>211</v>
      </c>
      <c r="B9" s="82">
        <v>32</v>
      </c>
      <c r="C9" s="82">
        <v>32</v>
      </c>
    </row>
    <row r="10" spans="1:11" x14ac:dyDescent="0.25">
      <c r="A10" s="80" t="s">
        <v>253</v>
      </c>
      <c r="B10" s="82">
        <v>21</v>
      </c>
      <c r="C10" s="82">
        <v>21</v>
      </c>
    </row>
    <row r="11" spans="1:11" x14ac:dyDescent="0.25">
      <c r="A11" s="80" t="s">
        <v>254</v>
      </c>
      <c r="B11" s="82">
        <v>13</v>
      </c>
      <c r="C11" s="82">
        <v>13</v>
      </c>
    </row>
    <row r="12" spans="1:11" x14ac:dyDescent="0.25">
      <c r="A12" s="80" t="s">
        <v>282</v>
      </c>
      <c r="B12" s="82">
        <v>20</v>
      </c>
      <c r="C12" s="82">
        <v>20</v>
      </c>
    </row>
    <row r="13" spans="1:11" x14ac:dyDescent="0.25">
      <c r="A13" s="80" t="s">
        <v>256</v>
      </c>
      <c r="B13" s="82">
        <v>25</v>
      </c>
      <c r="C13" s="82">
        <v>25</v>
      </c>
    </row>
    <row r="14" spans="1:11" x14ac:dyDescent="0.25">
      <c r="A14" s="80" t="s">
        <v>257</v>
      </c>
      <c r="B14" s="82">
        <v>32</v>
      </c>
      <c r="C14" s="82">
        <v>32</v>
      </c>
    </row>
    <row r="15" spans="1:11" x14ac:dyDescent="0.25">
      <c r="A15" s="80" t="s">
        <v>307</v>
      </c>
      <c r="B15" s="82">
        <v>2</v>
      </c>
      <c r="C15" s="82">
        <v>2</v>
      </c>
    </row>
    <row r="16" spans="1:11" x14ac:dyDescent="0.25">
      <c r="A16" s="80" t="s">
        <v>259</v>
      </c>
      <c r="B16" s="82">
        <v>18</v>
      </c>
      <c r="C16" s="82">
        <v>18</v>
      </c>
    </row>
    <row r="17" spans="1:3" x14ac:dyDescent="0.25">
      <c r="A17" s="80" t="s">
        <v>192</v>
      </c>
      <c r="B17" s="82">
        <v>278</v>
      </c>
      <c r="C17" s="82">
        <v>278</v>
      </c>
    </row>
  </sheetData>
  <pageMargins left="0.7" right="0.7" top="0.75" bottom="0.75" header="0.3" footer="0.3"/>
  <pageSetup paperSize="9" orientation="portrait"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FF0000"/>
  </sheetPr>
  <dimension ref="A1:H55"/>
  <sheetViews>
    <sheetView topLeftCell="F34" workbookViewId="0">
      <selection activeCell="G47" sqref="G47:H51"/>
    </sheetView>
  </sheetViews>
  <sheetFormatPr baseColWidth="10" defaultColWidth="11.42578125" defaultRowHeight="15" x14ac:dyDescent="0.25"/>
  <cols>
    <col min="1" max="1" width="5.28515625" customWidth="1"/>
    <col min="2" max="2" width="8.85546875" customWidth="1"/>
    <col min="3" max="6" width="23.85546875" customWidth="1"/>
    <col min="7" max="7" width="21" customWidth="1"/>
    <col min="8" max="8" width="28" customWidth="1"/>
    <col min="9" max="9" width="10" customWidth="1"/>
    <col min="10" max="10" width="12.5703125" customWidth="1"/>
    <col min="11" max="11" width="9.7109375" customWidth="1"/>
    <col min="12" max="12" width="12.5703125" bestFit="1" customWidth="1"/>
  </cols>
  <sheetData>
    <row r="1" spans="1:8" x14ac:dyDescent="0.25">
      <c r="A1" s="201" t="s">
        <v>303</v>
      </c>
      <c r="B1" s="47"/>
      <c r="C1" s="47"/>
      <c r="D1" s="47"/>
      <c r="E1" s="47"/>
      <c r="F1" s="47"/>
      <c r="G1" s="47"/>
      <c r="H1" s="47"/>
    </row>
    <row r="2" spans="1:8" x14ac:dyDescent="0.25">
      <c r="A2" s="47"/>
      <c r="B2" s="47"/>
      <c r="C2" s="47"/>
      <c r="D2" s="47"/>
      <c r="E2" s="47"/>
      <c r="F2" s="47"/>
      <c r="G2" s="47"/>
      <c r="H2" s="47"/>
    </row>
    <row r="3" spans="1:8" x14ac:dyDescent="0.25">
      <c r="A3" s="7" t="s">
        <v>194</v>
      </c>
    </row>
    <row r="4" spans="1:8" x14ac:dyDescent="0.25">
      <c r="A4" s="47" t="s">
        <v>212</v>
      </c>
      <c r="B4" s="47" t="s">
        <v>213</v>
      </c>
      <c r="C4" s="47" t="s">
        <v>209</v>
      </c>
      <c r="D4" s="47" t="s">
        <v>210</v>
      </c>
      <c r="E4" s="47" t="s">
        <v>211</v>
      </c>
      <c r="F4" s="47" t="s">
        <v>253</v>
      </c>
      <c r="G4" s="47" t="s">
        <v>254</v>
      </c>
      <c r="H4" s="47" t="s">
        <v>192</v>
      </c>
    </row>
    <row r="10" spans="1:8" x14ac:dyDescent="0.25">
      <c r="A10" s="5"/>
      <c r="B10" s="134"/>
      <c r="C10" s="134"/>
      <c r="D10" s="134"/>
      <c r="E10" s="134"/>
      <c r="F10" s="134"/>
      <c r="G10" s="134"/>
      <c r="H10" s="134"/>
    </row>
    <row r="11" spans="1:8" x14ac:dyDescent="0.25">
      <c r="A11" s="5"/>
      <c r="B11" s="11"/>
      <c r="C11" s="11"/>
      <c r="D11" s="11"/>
      <c r="E11" s="11"/>
      <c r="F11" s="11"/>
      <c r="G11" s="11"/>
      <c r="H11" s="11"/>
    </row>
    <row r="12" spans="1:8" x14ac:dyDescent="0.25">
      <c r="A12" s="7" t="s">
        <v>8</v>
      </c>
      <c r="B12" s="47" t="s">
        <v>191</v>
      </c>
      <c r="C12" s="47"/>
      <c r="D12" s="47"/>
      <c r="E12" s="47"/>
      <c r="F12" s="47"/>
      <c r="G12" s="47"/>
      <c r="H12" s="47"/>
    </row>
    <row r="13" spans="1:8" x14ac:dyDescent="0.25">
      <c r="A13" s="47"/>
      <c r="B13" s="47"/>
      <c r="C13" s="47"/>
      <c r="D13" s="47"/>
      <c r="E13" s="47"/>
      <c r="F13" s="47"/>
      <c r="G13" s="47"/>
      <c r="H13" s="47"/>
    </row>
    <row r="14" spans="1:8" x14ac:dyDescent="0.25">
      <c r="C14" s="47"/>
      <c r="D14" s="47"/>
      <c r="E14" s="47"/>
      <c r="F14" s="47"/>
      <c r="G14" s="47"/>
      <c r="H14" s="47"/>
    </row>
    <row r="15" spans="1:8" x14ac:dyDescent="0.25">
      <c r="C15" s="47"/>
      <c r="D15" s="47"/>
      <c r="E15" s="47"/>
      <c r="F15" s="47"/>
      <c r="G15" s="47"/>
      <c r="H15" s="47"/>
    </row>
    <row r="16" spans="1:8" x14ac:dyDescent="0.25">
      <c r="C16" s="47"/>
      <c r="D16" s="47"/>
      <c r="E16" s="47"/>
      <c r="F16" s="47"/>
      <c r="G16" s="47"/>
      <c r="H16" s="47"/>
    </row>
    <row r="17" spans="1:8" x14ac:dyDescent="0.25">
      <c r="C17" s="47"/>
      <c r="D17" s="47"/>
      <c r="E17" s="47"/>
      <c r="F17" s="47"/>
      <c r="G17" s="47"/>
      <c r="H17" s="47"/>
    </row>
    <row r="18" spans="1:8" x14ac:dyDescent="0.25">
      <c r="C18" s="47"/>
      <c r="D18" s="47"/>
      <c r="E18" s="47"/>
      <c r="F18" s="47"/>
      <c r="G18" s="47"/>
      <c r="H18" s="47"/>
    </row>
    <row r="19" spans="1:8" x14ac:dyDescent="0.25">
      <c r="C19" s="47"/>
      <c r="D19" s="47"/>
      <c r="E19" s="47"/>
      <c r="F19" s="47"/>
      <c r="G19" s="47"/>
      <c r="H19" s="47"/>
    </row>
    <row r="20" spans="1:8" x14ac:dyDescent="0.25">
      <c r="A20" s="47"/>
      <c r="B20" s="47"/>
      <c r="C20" s="47"/>
      <c r="D20" s="47"/>
      <c r="E20" s="47"/>
      <c r="F20" s="47"/>
      <c r="G20" s="47"/>
      <c r="H20" s="47"/>
    </row>
    <row r="21" spans="1:8" x14ac:dyDescent="0.25">
      <c r="A21" s="7" t="s">
        <v>8</v>
      </c>
      <c r="B21" s="47" t="s">
        <v>191</v>
      </c>
      <c r="C21" s="47"/>
      <c r="D21" s="47"/>
      <c r="E21" s="47"/>
      <c r="F21" s="47"/>
      <c r="G21" s="47"/>
      <c r="H21" s="47"/>
    </row>
    <row r="22" spans="1:8" x14ac:dyDescent="0.25">
      <c r="A22" s="47"/>
      <c r="B22" s="47"/>
      <c r="C22" s="47"/>
      <c r="D22" s="47"/>
      <c r="E22" s="47"/>
      <c r="F22" s="47"/>
      <c r="G22" s="47"/>
      <c r="H22" s="47"/>
    </row>
    <row r="23" spans="1:8" x14ac:dyDescent="0.25">
      <c r="A23" s="7" t="s">
        <v>189</v>
      </c>
      <c r="B23" t="s">
        <v>348</v>
      </c>
    </row>
    <row r="24" spans="1:8" x14ac:dyDescent="0.25">
      <c r="A24" s="5" t="s">
        <v>309</v>
      </c>
      <c r="B24" s="158">
        <v>167</v>
      </c>
    </row>
    <row r="25" spans="1:8" x14ac:dyDescent="0.25">
      <c r="A25" s="5" t="s">
        <v>310</v>
      </c>
      <c r="B25" s="158">
        <v>14</v>
      </c>
    </row>
    <row r="27" spans="1:8" x14ac:dyDescent="0.25">
      <c r="G27" s="7" t="s">
        <v>8</v>
      </c>
      <c r="H27" s="47" t="s">
        <v>191</v>
      </c>
    </row>
    <row r="29" spans="1:8" x14ac:dyDescent="0.25">
      <c r="B29" s="47"/>
      <c r="C29" s="47"/>
      <c r="D29" s="47"/>
      <c r="E29" s="47"/>
      <c r="F29" s="47"/>
      <c r="G29" s="7" t="s">
        <v>189</v>
      </c>
      <c r="H29" t="s">
        <v>348</v>
      </c>
    </row>
    <row r="30" spans="1:8" x14ac:dyDescent="0.25">
      <c r="B30" s="47"/>
      <c r="C30" s="47"/>
      <c r="D30" s="47"/>
      <c r="E30" s="47"/>
      <c r="F30" s="47"/>
      <c r="G30" s="5" t="s">
        <v>192</v>
      </c>
      <c r="H30" s="8"/>
    </row>
    <row r="31" spans="1:8" x14ac:dyDescent="0.25">
      <c r="A31" s="7" t="s">
        <v>8</v>
      </c>
      <c r="B31" s="47" t="s">
        <v>191</v>
      </c>
      <c r="C31" s="47"/>
      <c r="D31" s="47"/>
      <c r="E31" s="47"/>
      <c r="F31" s="47"/>
    </row>
    <row r="32" spans="1:8" x14ac:dyDescent="0.25">
      <c r="A32" s="47"/>
      <c r="B32" s="47"/>
      <c r="C32" s="47"/>
      <c r="D32" s="47"/>
      <c r="E32" s="47"/>
      <c r="F32" s="47"/>
    </row>
    <row r="33" spans="1:8" x14ac:dyDescent="0.25">
      <c r="A33" s="7" t="s">
        <v>189</v>
      </c>
      <c r="B33" t="s">
        <v>343</v>
      </c>
      <c r="C33" s="47"/>
      <c r="D33" s="47"/>
      <c r="E33" s="47"/>
      <c r="F33" s="47"/>
    </row>
    <row r="34" spans="1:8" x14ac:dyDescent="0.25">
      <c r="A34" s="5" t="s">
        <v>339</v>
      </c>
      <c r="B34" s="11">
        <v>0.64341085271317833</v>
      </c>
      <c r="C34" s="47"/>
      <c r="D34" s="47"/>
      <c r="E34" s="47"/>
      <c r="F34" s="47"/>
    </row>
    <row r="35" spans="1:8" x14ac:dyDescent="0.25">
      <c r="A35" s="5" t="s">
        <v>340</v>
      </c>
      <c r="B35" s="11">
        <v>8.5271317829457363E-2</v>
      </c>
      <c r="C35" s="47"/>
      <c r="D35" s="47"/>
      <c r="E35" s="47"/>
      <c r="F35" s="47"/>
    </row>
    <row r="36" spans="1:8" x14ac:dyDescent="0.25">
      <c r="A36" s="5" t="s">
        <v>341</v>
      </c>
      <c r="B36" s="11">
        <v>7.7519379844961239E-3</v>
      </c>
      <c r="C36" s="47"/>
      <c r="D36" s="47"/>
      <c r="E36" s="47"/>
      <c r="F36" s="47"/>
    </row>
    <row r="37" spans="1:8" x14ac:dyDescent="0.25">
      <c r="A37" s="5" t="s">
        <v>342</v>
      </c>
      <c r="B37" s="11">
        <v>0.26356589147286824</v>
      </c>
      <c r="C37" s="47"/>
      <c r="D37" s="47"/>
      <c r="E37" s="47"/>
      <c r="F37" s="47"/>
    </row>
    <row r="38" spans="1:8" x14ac:dyDescent="0.25">
      <c r="A38" s="47"/>
      <c r="B38" s="47"/>
      <c r="C38" s="47"/>
      <c r="D38" s="47"/>
      <c r="E38" s="47"/>
      <c r="F38" s="47"/>
    </row>
    <row r="39" spans="1:8" x14ac:dyDescent="0.25">
      <c r="C39" s="47"/>
      <c r="D39" s="47"/>
      <c r="E39" s="47"/>
      <c r="F39" s="47"/>
    </row>
    <row r="40" spans="1:8" x14ac:dyDescent="0.25">
      <c r="A40" s="7" t="s">
        <v>8</v>
      </c>
      <c r="B40" s="47" t="s">
        <v>191</v>
      </c>
      <c r="C40" s="47"/>
      <c r="D40" s="47"/>
      <c r="E40" s="47"/>
      <c r="F40" s="47"/>
    </row>
    <row r="41" spans="1:8" x14ac:dyDescent="0.25">
      <c r="A41" s="47"/>
      <c r="B41" s="47"/>
      <c r="C41" s="47"/>
      <c r="D41" s="47"/>
      <c r="E41" s="47"/>
      <c r="F41" s="47"/>
    </row>
    <row r="42" spans="1:8" x14ac:dyDescent="0.25">
      <c r="A42" s="7" t="s">
        <v>189</v>
      </c>
      <c r="B42" t="s">
        <v>343</v>
      </c>
    </row>
    <row r="43" spans="1:8" x14ac:dyDescent="0.25">
      <c r="A43" s="5" t="s">
        <v>339</v>
      </c>
      <c r="B43" s="11"/>
    </row>
    <row r="44" spans="1:8" x14ac:dyDescent="0.25">
      <c r="A44" s="254" t="s">
        <v>309</v>
      </c>
      <c r="B44" s="134">
        <v>0.62403100775193798</v>
      </c>
    </row>
    <row r="45" spans="1:8" x14ac:dyDescent="0.25">
      <c r="A45" s="254" t="s">
        <v>310</v>
      </c>
      <c r="B45" s="134">
        <v>1.937984496124031E-2</v>
      </c>
    </row>
    <row r="46" spans="1:8" x14ac:dyDescent="0.25">
      <c r="A46" s="5" t="s">
        <v>340</v>
      </c>
      <c r="B46" s="134"/>
    </row>
    <row r="47" spans="1:8" x14ac:dyDescent="0.25">
      <c r="A47" s="254" t="s">
        <v>309</v>
      </c>
      <c r="B47" s="134">
        <v>6.589147286821706E-2</v>
      </c>
      <c r="G47" s="7" t="s">
        <v>8</v>
      </c>
      <c r="H47" s="47" t="s">
        <v>191</v>
      </c>
    </row>
    <row r="48" spans="1:8" x14ac:dyDescent="0.25">
      <c r="A48" s="254" t="s">
        <v>310</v>
      </c>
      <c r="B48" s="134">
        <v>1.937984496124031E-2</v>
      </c>
      <c r="C48" s="47"/>
      <c r="D48" s="47"/>
      <c r="E48" s="47"/>
      <c r="F48" s="47"/>
      <c r="G48" s="47"/>
      <c r="H48" s="47"/>
    </row>
    <row r="49" spans="1:8" x14ac:dyDescent="0.25">
      <c r="A49" s="5" t="s">
        <v>341</v>
      </c>
      <c r="B49" s="134"/>
      <c r="C49" s="47"/>
      <c r="D49" s="47"/>
      <c r="E49" s="47"/>
      <c r="F49" s="47"/>
      <c r="G49" s="7" t="s">
        <v>348</v>
      </c>
      <c r="H49" s="7" t="s">
        <v>194</v>
      </c>
    </row>
    <row r="50" spans="1:8" x14ac:dyDescent="0.25">
      <c r="A50" s="254" t="s">
        <v>309</v>
      </c>
      <c r="B50" s="134">
        <v>3.875968992248062E-3</v>
      </c>
      <c r="C50" s="47"/>
      <c r="D50" s="47"/>
      <c r="E50" s="47"/>
      <c r="F50" s="47"/>
      <c r="G50" s="7" t="s">
        <v>189</v>
      </c>
      <c r="H50" s="255" t="s">
        <v>192</v>
      </c>
    </row>
    <row r="51" spans="1:8" x14ac:dyDescent="0.25">
      <c r="A51" s="254" t="s">
        <v>310</v>
      </c>
      <c r="B51" s="134">
        <v>3.875968992248062E-3</v>
      </c>
      <c r="C51" s="47"/>
      <c r="D51" s="47"/>
      <c r="E51" s="47"/>
      <c r="F51" s="47"/>
      <c r="G51" s="5" t="s">
        <v>192</v>
      </c>
      <c r="H51" s="11" t="e">
        <v>#DIV/0!</v>
      </c>
    </row>
    <row r="52" spans="1:8" x14ac:dyDescent="0.25">
      <c r="A52" s="5" t="s">
        <v>342</v>
      </c>
      <c r="B52" s="134"/>
      <c r="C52" s="47"/>
      <c r="D52" s="47"/>
      <c r="E52" s="47"/>
      <c r="F52" s="47"/>
    </row>
    <row r="53" spans="1:8" x14ac:dyDescent="0.25">
      <c r="A53" s="254" t="s">
        <v>309</v>
      </c>
      <c r="B53" s="134">
        <v>0.22480620155038761</v>
      </c>
      <c r="C53" s="47"/>
      <c r="D53" s="47"/>
      <c r="E53" s="47"/>
      <c r="F53" s="47"/>
    </row>
    <row r="54" spans="1:8" x14ac:dyDescent="0.25">
      <c r="A54" s="254" t="s">
        <v>310</v>
      </c>
      <c r="B54" s="134">
        <v>3.875968992248062E-2</v>
      </c>
      <c r="C54" s="47"/>
      <c r="D54" s="47"/>
      <c r="E54" s="47"/>
      <c r="F54" s="47"/>
    </row>
    <row r="55" spans="1:8" x14ac:dyDescent="0.25">
      <c r="A55" s="7" t="s">
        <v>8</v>
      </c>
      <c r="B55" s="47" t="s">
        <v>193</v>
      </c>
      <c r="C55" s="47"/>
      <c r="D55" s="47"/>
      <c r="E55" s="47"/>
      <c r="F55" s="47"/>
    </row>
  </sheetData>
  <pageMargins left="0.7" right="0.7" top="0.75" bottom="0.75" header="0.3" footer="0.3"/>
  <drawing r:id="rId9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9" tint="-0.249977111117893"/>
  </sheetPr>
  <dimension ref="A2:H5"/>
  <sheetViews>
    <sheetView workbookViewId="0">
      <selection activeCell="G2" sqref="G2:H5"/>
    </sheetView>
  </sheetViews>
  <sheetFormatPr baseColWidth="10" defaultColWidth="11.42578125" defaultRowHeight="15" x14ac:dyDescent="0.25"/>
  <cols>
    <col min="1" max="1" width="21" customWidth="1"/>
    <col min="2" max="2" width="23.85546875" customWidth="1"/>
    <col min="3" max="3" width="10" customWidth="1"/>
    <col min="4" max="4" width="12.5703125" customWidth="1"/>
    <col min="5" max="5" width="5.140625" customWidth="1"/>
    <col min="6" max="6" width="12.5703125" customWidth="1"/>
    <col min="7" max="7" width="21" customWidth="1"/>
    <col min="8" max="8" width="21.85546875" bestFit="1" customWidth="1"/>
    <col min="9" max="9" width="2.42578125" bestFit="1" customWidth="1"/>
    <col min="10" max="10" width="12.5703125" bestFit="1" customWidth="1"/>
  </cols>
  <sheetData>
    <row r="2" spans="1:8" x14ac:dyDescent="0.25">
      <c r="G2" s="88" t="s">
        <v>8</v>
      </c>
      <c r="H2" s="88" t="s">
        <v>191</v>
      </c>
    </row>
    <row r="3" spans="1:8" x14ac:dyDescent="0.25">
      <c r="A3" s="88" t="s">
        <v>98</v>
      </c>
      <c r="B3" s="88" t="s">
        <v>194</v>
      </c>
      <c r="G3" s="88"/>
      <c r="H3" s="88"/>
    </row>
    <row r="4" spans="1:8" x14ac:dyDescent="0.25">
      <c r="A4" s="88" t="s">
        <v>189</v>
      </c>
      <c r="B4" s="88" t="s">
        <v>192</v>
      </c>
      <c r="G4" s="88" t="s">
        <v>189</v>
      </c>
      <c r="H4" s="88" t="s">
        <v>81</v>
      </c>
    </row>
    <row r="5" spans="1:8" x14ac:dyDescent="0.25">
      <c r="A5" s="81" t="s">
        <v>192</v>
      </c>
      <c r="B5" s="83" t="e">
        <v>#DIV/0!</v>
      </c>
      <c r="G5" s="81" t="s">
        <v>192</v>
      </c>
      <c r="H5" s="82">
        <v>0</v>
      </c>
    </row>
  </sheetData>
  <pageMargins left="0.7" right="0.7" top="0.75" bottom="0.75" header="0.3" footer="0.3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7030A0"/>
  </sheetPr>
  <dimension ref="A1:Q6"/>
  <sheetViews>
    <sheetView topLeftCell="F4" workbookViewId="0">
      <selection activeCell="I6" sqref="I6"/>
    </sheetView>
  </sheetViews>
  <sheetFormatPr baseColWidth="10" defaultColWidth="11.42578125" defaultRowHeight="15" x14ac:dyDescent="0.25"/>
  <cols>
    <col min="1" max="1" width="21" customWidth="1"/>
    <col min="2" max="2" width="21.85546875" customWidth="1"/>
    <col min="3" max="3" width="23.140625" customWidth="1"/>
    <col min="4" max="4" width="21.85546875" customWidth="1"/>
    <col min="5" max="5" width="22.28515625" customWidth="1"/>
    <col min="7" max="7" width="21" bestFit="1" customWidth="1"/>
    <col min="8" max="8" width="21.85546875" bestFit="1" customWidth="1"/>
    <col min="9" max="9" width="23.140625" bestFit="1" customWidth="1"/>
    <col min="10" max="10" width="21.85546875" bestFit="1" customWidth="1"/>
    <col min="11" max="11" width="22.28515625" bestFit="1" customWidth="1"/>
    <col min="12" max="12" width="15.42578125" customWidth="1"/>
    <col min="13" max="13" width="21" customWidth="1"/>
    <col min="14" max="14" width="22.5703125" customWidth="1"/>
    <col min="15" max="15" width="23.140625" customWidth="1"/>
    <col min="16" max="16" width="22.85546875" customWidth="1"/>
    <col min="17" max="17" width="25.7109375" customWidth="1"/>
    <col min="18" max="18" width="9" customWidth="1"/>
    <col min="19" max="19" width="8.42578125" customWidth="1"/>
    <col min="20" max="20" width="12.5703125" customWidth="1"/>
    <col min="21" max="21" width="19.85546875" bestFit="1" customWidth="1"/>
    <col min="22" max="22" width="22" bestFit="1" customWidth="1"/>
    <col min="23" max="23" width="21" bestFit="1" customWidth="1"/>
    <col min="24" max="24" width="22" bestFit="1" customWidth="1"/>
    <col min="25" max="25" width="11.42578125" bestFit="1" customWidth="1"/>
    <col min="26" max="26" width="22" bestFit="1" customWidth="1"/>
    <col min="27" max="27" width="19.140625" bestFit="1" customWidth="1"/>
    <col min="28" max="28" width="22" bestFit="1" customWidth="1"/>
    <col min="29" max="29" width="11.42578125" bestFit="1" customWidth="1"/>
    <col min="30" max="30" width="22" bestFit="1" customWidth="1"/>
    <col min="31" max="31" width="18.85546875" bestFit="1" customWidth="1"/>
    <col min="32" max="32" width="22" bestFit="1" customWidth="1"/>
    <col min="33" max="33" width="11.42578125" bestFit="1" customWidth="1"/>
    <col min="34" max="34" width="22" bestFit="1" customWidth="1"/>
    <col min="35" max="35" width="11.42578125" bestFit="1" customWidth="1"/>
    <col min="36" max="36" width="22" bestFit="1" customWidth="1"/>
    <col min="37" max="37" width="11.42578125" bestFit="1" customWidth="1"/>
    <col min="38" max="38" width="22" bestFit="1" customWidth="1"/>
    <col min="39" max="39" width="12.5703125" bestFit="1" customWidth="1"/>
    <col min="40" max="40" width="22" bestFit="1" customWidth="1"/>
    <col min="41" max="41" width="15.5703125" bestFit="1" customWidth="1"/>
    <col min="42" max="42" width="22" bestFit="1" customWidth="1"/>
    <col min="43" max="43" width="11.42578125" bestFit="1" customWidth="1"/>
    <col min="44" max="44" width="22" bestFit="1" customWidth="1"/>
    <col min="45" max="45" width="15.42578125" bestFit="1" customWidth="1"/>
    <col min="46" max="46" width="22" bestFit="1" customWidth="1"/>
    <col min="47" max="47" width="16.85546875" bestFit="1" customWidth="1"/>
    <col min="48" max="48" width="22" bestFit="1" customWidth="1"/>
    <col min="49" max="49" width="18" bestFit="1" customWidth="1"/>
    <col min="50" max="50" width="22" bestFit="1" customWidth="1"/>
    <col min="51" max="51" width="11.42578125" bestFit="1" customWidth="1"/>
    <col min="52" max="52" width="22" bestFit="1" customWidth="1"/>
    <col min="53" max="53" width="16.7109375" bestFit="1" customWidth="1"/>
    <col min="54" max="54" width="22" bestFit="1" customWidth="1"/>
    <col min="55" max="55" width="18" bestFit="1" customWidth="1"/>
    <col min="56" max="56" width="22" bestFit="1" customWidth="1"/>
    <col min="57" max="57" width="11.42578125" bestFit="1" customWidth="1"/>
    <col min="58" max="58" width="22" bestFit="1" customWidth="1"/>
    <col min="59" max="59" width="19.5703125" bestFit="1" customWidth="1"/>
    <col min="60" max="60" width="22" bestFit="1" customWidth="1"/>
    <col min="61" max="61" width="11.42578125" bestFit="1" customWidth="1"/>
    <col min="62" max="62" width="22" bestFit="1" customWidth="1"/>
    <col min="63" max="63" width="11.42578125" bestFit="1" customWidth="1"/>
    <col min="64" max="64" width="22" bestFit="1" customWidth="1"/>
    <col min="65" max="65" width="11.42578125" bestFit="1" customWidth="1"/>
    <col min="66" max="66" width="22" bestFit="1" customWidth="1"/>
    <col min="67" max="67" width="11.42578125" bestFit="1" customWidth="1"/>
    <col min="68" max="68" width="22" bestFit="1" customWidth="1"/>
    <col min="69" max="69" width="11.42578125" bestFit="1" customWidth="1"/>
    <col min="70" max="70" width="22" bestFit="1" customWidth="1"/>
    <col min="71" max="71" width="11.42578125" bestFit="1" customWidth="1"/>
    <col min="72" max="72" width="22" bestFit="1" customWidth="1"/>
    <col min="73" max="73" width="11.42578125" bestFit="1" customWidth="1"/>
    <col min="74" max="74" width="22" bestFit="1" customWidth="1"/>
    <col min="75" max="75" width="16.42578125" bestFit="1" customWidth="1"/>
    <col min="76" max="76" width="27" bestFit="1" customWidth="1"/>
    <col min="77" max="86" width="10.7109375" bestFit="1" customWidth="1"/>
    <col min="87" max="87" width="11.140625" bestFit="1" customWidth="1"/>
  </cols>
  <sheetData>
    <row r="1" spans="1:17" x14ac:dyDescent="0.25">
      <c r="A1" s="7" t="s">
        <v>60</v>
      </c>
      <c r="B1" s="47" t="s">
        <v>193</v>
      </c>
      <c r="C1" s="10" t="s">
        <v>100</v>
      </c>
      <c r="G1" s="101" t="s">
        <v>60</v>
      </c>
      <c r="H1" s="101" t="s">
        <v>193</v>
      </c>
      <c r="I1" s="102" t="s">
        <v>84</v>
      </c>
      <c r="J1" s="101"/>
      <c r="K1" s="101"/>
      <c r="M1" s="7" t="s">
        <v>60</v>
      </c>
      <c r="N1" s="47" t="s">
        <v>191</v>
      </c>
      <c r="O1" s="10" t="s">
        <v>89</v>
      </c>
    </row>
    <row r="2" spans="1:17" x14ac:dyDescent="0.25">
      <c r="A2" s="7" t="s">
        <v>99</v>
      </c>
      <c r="B2" s="47" t="s">
        <v>191</v>
      </c>
      <c r="C2" s="10" t="s">
        <v>85</v>
      </c>
      <c r="G2" s="101" t="s">
        <v>99</v>
      </c>
      <c r="H2" s="101" t="s">
        <v>191</v>
      </c>
      <c r="I2" s="102" t="s">
        <v>85</v>
      </c>
      <c r="J2" s="101" t="s">
        <v>86</v>
      </c>
      <c r="K2" s="101"/>
      <c r="M2" s="7" t="s">
        <v>99</v>
      </c>
      <c r="N2" s="47" t="s">
        <v>191</v>
      </c>
      <c r="O2" s="10" t="s">
        <v>85</v>
      </c>
    </row>
    <row r="3" spans="1:17" x14ac:dyDescent="0.25">
      <c r="G3" s="101"/>
      <c r="H3" s="101"/>
      <c r="I3" s="101"/>
      <c r="J3" s="101"/>
      <c r="K3" s="101"/>
    </row>
    <row r="4" spans="1:17" x14ac:dyDescent="0.25">
      <c r="B4" s="7" t="s">
        <v>87</v>
      </c>
      <c r="G4" s="13"/>
      <c r="H4" s="13" t="s">
        <v>87</v>
      </c>
      <c r="I4" s="13"/>
      <c r="J4" s="13"/>
      <c r="K4" s="13"/>
      <c r="N4" s="7" t="s">
        <v>87</v>
      </c>
    </row>
    <row r="5" spans="1:17" x14ac:dyDescent="0.25">
      <c r="A5" s="7" t="s">
        <v>189</v>
      </c>
      <c r="B5" s="47" t="s">
        <v>126</v>
      </c>
      <c r="C5" s="47" t="s">
        <v>83</v>
      </c>
      <c r="D5" s="47" t="s">
        <v>125</v>
      </c>
      <c r="E5" s="47" t="s">
        <v>88</v>
      </c>
      <c r="G5" s="13" t="s">
        <v>189</v>
      </c>
      <c r="H5" s="13" t="s">
        <v>126</v>
      </c>
      <c r="I5" s="13" t="s">
        <v>83</v>
      </c>
      <c r="J5" s="13" t="s">
        <v>125</v>
      </c>
      <c r="K5" s="13" t="s">
        <v>88</v>
      </c>
      <c r="M5" s="7" t="s">
        <v>189</v>
      </c>
      <c r="N5" s="47" t="s">
        <v>127</v>
      </c>
      <c r="O5" s="47" t="s">
        <v>83</v>
      </c>
      <c r="P5" s="47" t="s">
        <v>128</v>
      </c>
      <c r="Q5" s="47" t="s">
        <v>129</v>
      </c>
    </row>
    <row r="6" spans="1:17" x14ac:dyDescent="0.25">
      <c r="A6" s="5" t="s">
        <v>192</v>
      </c>
      <c r="B6" s="8"/>
      <c r="C6" s="9"/>
      <c r="D6" s="8"/>
      <c r="E6" s="9"/>
      <c r="G6" s="100" t="s">
        <v>192</v>
      </c>
      <c r="H6" s="41"/>
      <c r="I6" s="132"/>
      <c r="J6" s="163"/>
      <c r="K6" s="163"/>
      <c r="M6" s="5" t="s">
        <v>192</v>
      </c>
      <c r="N6" s="8"/>
      <c r="O6" s="9"/>
      <c r="P6" s="8"/>
      <c r="Q6" s="8"/>
    </row>
  </sheetData>
  <pageMargins left="0.7" right="0.7" top="0.75" bottom="0.75" header="0.3" footer="0.3"/>
  <pageSetup paperSize="9" orientation="portrait"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7030A0"/>
  </sheetPr>
  <dimension ref="A1:K16"/>
  <sheetViews>
    <sheetView workbookViewId="0">
      <selection activeCell="D3" sqref="D3"/>
    </sheetView>
  </sheetViews>
  <sheetFormatPr baseColWidth="10" defaultColWidth="11.42578125" defaultRowHeight="15" x14ac:dyDescent="0.25"/>
  <cols>
    <col min="1" max="1" width="19.5703125" bestFit="1" customWidth="1"/>
    <col min="2" max="2" width="14.28515625" customWidth="1"/>
    <col min="3" max="3" width="14.7109375" customWidth="1"/>
    <col min="5" max="5" width="19.5703125" bestFit="1" customWidth="1"/>
    <col min="7" max="7" width="19.42578125" bestFit="1" customWidth="1"/>
    <col min="9" max="9" width="19.5703125" bestFit="1" customWidth="1"/>
    <col min="11" max="11" width="14.7109375" bestFit="1" customWidth="1"/>
  </cols>
  <sheetData>
    <row r="1" spans="1:11" x14ac:dyDescent="0.25">
      <c r="A1" t="s">
        <v>60</v>
      </c>
      <c r="C1" s="20" t="s">
        <v>100</v>
      </c>
      <c r="E1" s="88" t="s">
        <v>60</v>
      </c>
      <c r="F1" s="88"/>
      <c r="G1" s="87" t="s">
        <v>84</v>
      </c>
      <c r="H1" s="21"/>
      <c r="I1" t="s">
        <v>60</v>
      </c>
      <c r="K1" s="10" t="s">
        <v>89</v>
      </c>
    </row>
    <row r="2" spans="1:11" ht="45" x14ac:dyDescent="0.25">
      <c r="A2" s="17" t="s">
        <v>130</v>
      </c>
      <c r="B2" s="18" t="s">
        <v>90</v>
      </c>
      <c r="C2" s="18" t="s">
        <v>131</v>
      </c>
      <c r="D2" t="s">
        <v>135</v>
      </c>
      <c r="E2" s="89" t="s">
        <v>130</v>
      </c>
      <c r="F2" s="90" t="s">
        <v>83</v>
      </c>
      <c r="G2" s="90" t="s">
        <v>306</v>
      </c>
      <c r="H2" s="6"/>
      <c r="I2" s="17" t="s">
        <v>130</v>
      </c>
      <c r="J2" s="18" t="s">
        <v>90</v>
      </c>
      <c r="K2" s="18" t="s">
        <v>131</v>
      </c>
    </row>
    <row r="3" spans="1:11" x14ac:dyDescent="0.25">
      <c r="A3" s="85" t="s">
        <v>252</v>
      </c>
      <c r="B3" s="19" t="e">
        <f>AVERAGEIF('Données '!BO2:BO28,"&lt;&gt;(Inconnu)")</f>
        <v>#DIV/0!</v>
      </c>
      <c r="C3" s="19" t="e">
        <f>MEDIAN('Données '!BO2:BO28)</f>
        <v>#NUM!</v>
      </c>
      <c r="D3" t="s">
        <v>175</v>
      </c>
      <c r="E3" s="85" t="s">
        <v>252</v>
      </c>
      <c r="F3" s="131" t="e">
        <f>AVERAGEIF('Données '!BP2:BP28,"&lt;&gt;(Inconnu)")</f>
        <v>#DIV/0!</v>
      </c>
      <c r="G3" s="86" t="e">
        <f>MEDIAN('Données '!BP2:BP28)</f>
        <v>#NUM!</v>
      </c>
      <c r="H3" s="6"/>
      <c r="I3" s="85" t="s">
        <v>252</v>
      </c>
      <c r="J3" s="19" t="e">
        <f>AVERAGEIF('Données '!BQ2:BQ28,"&lt;&gt;(Inconnu)")</f>
        <v>#DIV/0!</v>
      </c>
      <c r="K3" s="19" t="e">
        <f>MEDIAN('Données '!BQ2:BQ28)</f>
        <v>#NUM!</v>
      </c>
    </row>
    <row r="4" spans="1:11" x14ac:dyDescent="0.25">
      <c r="A4" s="85" t="s">
        <v>251</v>
      </c>
      <c r="B4" s="19"/>
      <c r="C4" s="19"/>
      <c r="E4" s="85" t="s">
        <v>251</v>
      </c>
      <c r="F4" s="131"/>
      <c r="G4" s="86"/>
      <c r="H4" s="6"/>
      <c r="I4" s="85" t="s">
        <v>251</v>
      </c>
      <c r="J4" s="19"/>
      <c r="K4" s="19"/>
    </row>
    <row r="5" spans="1:11" x14ac:dyDescent="0.25">
      <c r="A5" s="85" t="s">
        <v>209</v>
      </c>
      <c r="B5" s="19"/>
      <c r="C5" s="19"/>
      <c r="E5" s="85" t="s">
        <v>209</v>
      </c>
      <c r="F5" s="131"/>
      <c r="G5" s="86"/>
      <c r="H5" s="6"/>
      <c r="I5" s="85" t="s">
        <v>209</v>
      </c>
      <c r="J5" s="19"/>
      <c r="K5" s="19"/>
    </row>
    <row r="6" spans="1:11" x14ac:dyDescent="0.25">
      <c r="A6" s="85" t="s">
        <v>210</v>
      </c>
      <c r="B6" s="19"/>
      <c r="C6" s="19"/>
      <c r="E6" s="85" t="s">
        <v>210</v>
      </c>
      <c r="F6" s="131"/>
      <c r="G6" s="86"/>
      <c r="H6" s="6"/>
      <c r="I6" s="85" t="s">
        <v>210</v>
      </c>
      <c r="J6" s="19"/>
      <c r="K6" s="19"/>
    </row>
    <row r="7" spans="1:11" x14ac:dyDescent="0.25">
      <c r="A7" s="85" t="s">
        <v>211</v>
      </c>
      <c r="B7" s="19"/>
      <c r="C7" s="19"/>
      <c r="E7" s="85" t="s">
        <v>211</v>
      </c>
      <c r="F7" s="131"/>
      <c r="G7" s="86"/>
      <c r="H7" s="6"/>
      <c r="I7" s="85" t="s">
        <v>211</v>
      </c>
      <c r="J7" s="19"/>
      <c r="K7" s="19"/>
    </row>
    <row r="8" spans="1:11" x14ac:dyDescent="0.25">
      <c r="A8" s="85" t="s">
        <v>253</v>
      </c>
      <c r="B8" s="19"/>
      <c r="C8" s="19"/>
      <c r="E8" s="85" t="s">
        <v>253</v>
      </c>
      <c r="F8" s="131"/>
      <c r="G8" s="86"/>
      <c r="H8" s="6"/>
      <c r="I8" s="85" t="s">
        <v>253</v>
      </c>
      <c r="J8" s="19"/>
      <c r="K8" s="19"/>
    </row>
    <row r="9" spans="1:11" x14ac:dyDescent="0.25">
      <c r="A9" s="85" t="s">
        <v>254</v>
      </c>
      <c r="B9" s="19"/>
      <c r="C9" s="19"/>
      <c r="E9" s="85" t="s">
        <v>254</v>
      </c>
      <c r="F9" s="131"/>
      <c r="G9" s="86"/>
      <c r="H9" s="6"/>
      <c r="I9" s="85" t="s">
        <v>254</v>
      </c>
      <c r="J9" s="19"/>
      <c r="K9" s="19"/>
    </row>
    <row r="10" spans="1:11" x14ac:dyDescent="0.25">
      <c r="A10" s="85" t="s">
        <v>255</v>
      </c>
      <c r="B10" s="19"/>
      <c r="C10" s="19"/>
      <c r="E10" s="85" t="s">
        <v>255</v>
      </c>
      <c r="F10" s="131"/>
      <c r="G10" s="86"/>
      <c r="H10" s="6"/>
      <c r="I10" s="85" t="s">
        <v>255</v>
      </c>
      <c r="J10" s="19"/>
      <c r="K10" s="19"/>
    </row>
    <row r="11" spans="1:11" x14ac:dyDescent="0.25">
      <c r="A11" s="85" t="s">
        <v>256</v>
      </c>
      <c r="B11" s="19"/>
      <c r="C11" s="19"/>
      <c r="E11" s="85" t="s">
        <v>256</v>
      </c>
      <c r="F11" s="131"/>
      <c r="G11" s="86"/>
      <c r="H11" s="6"/>
      <c r="I11" s="85" t="s">
        <v>256</v>
      </c>
      <c r="J11" s="19"/>
      <c r="K11" s="19"/>
    </row>
    <row r="12" spans="1:11" x14ac:dyDescent="0.25">
      <c r="A12" s="85" t="s">
        <v>257</v>
      </c>
      <c r="B12" s="19"/>
      <c r="C12" s="19"/>
      <c r="E12" s="85" t="s">
        <v>257</v>
      </c>
      <c r="F12" s="131"/>
      <c r="G12" s="86"/>
      <c r="H12" s="6"/>
      <c r="I12" s="85" t="s">
        <v>257</v>
      </c>
      <c r="J12" s="19"/>
      <c r="K12" s="19"/>
    </row>
    <row r="13" spans="1:11" x14ac:dyDescent="0.25">
      <c r="A13" s="85" t="s">
        <v>258</v>
      </c>
      <c r="B13" s="19"/>
      <c r="C13" s="19"/>
      <c r="E13" s="85" t="s">
        <v>258</v>
      </c>
      <c r="F13" s="131"/>
      <c r="G13" s="86"/>
      <c r="H13" s="6"/>
      <c r="I13" s="85" t="s">
        <v>258</v>
      </c>
      <c r="J13" s="19"/>
      <c r="K13" s="19"/>
    </row>
    <row r="14" spans="1:11" x14ac:dyDescent="0.25">
      <c r="A14" s="85" t="s">
        <v>259</v>
      </c>
      <c r="B14" s="19"/>
      <c r="C14" s="19"/>
      <c r="E14" s="85" t="s">
        <v>259</v>
      </c>
      <c r="F14" s="131"/>
      <c r="G14" s="86"/>
      <c r="H14" s="6"/>
      <c r="I14" s="85" t="s">
        <v>259</v>
      </c>
      <c r="J14" s="19"/>
      <c r="K14" s="19"/>
    </row>
    <row r="15" spans="1:11" x14ac:dyDescent="0.25">
      <c r="H15" s="6"/>
    </row>
    <row r="16" spans="1:11" x14ac:dyDescent="0.25">
      <c r="E16" s="91" t="s">
        <v>182</v>
      </c>
      <c r="F16" s="88"/>
      <c r="H16" s="6"/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rgb="FFFFFF00"/>
  </sheetPr>
  <dimension ref="A1:Q6"/>
  <sheetViews>
    <sheetView topLeftCell="F1" workbookViewId="0">
      <selection activeCell="I2" sqref="I2"/>
    </sheetView>
  </sheetViews>
  <sheetFormatPr baseColWidth="10" defaultColWidth="11.42578125" defaultRowHeight="15" x14ac:dyDescent="0.25"/>
  <cols>
    <col min="1" max="1" width="21" bestFit="1" customWidth="1"/>
    <col min="2" max="2" width="23.5703125" bestFit="1" customWidth="1"/>
    <col min="3" max="3" width="25.140625" bestFit="1" customWidth="1"/>
    <col min="4" max="4" width="23.85546875" bestFit="1" customWidth="1"/>
    <col min="5" max="5" width="24.28515625" bestFit="1" customWidth="1"/>
    <col min="7" max="7" width="21" customWidth="1"/>
    <col min="8" max="8" width="23.5703125" customWidth="1"/>
    <col min="9" max="9" width="25.140625" customWidth="1"/>
    <col min="10" max="10" width="24.85546875" customWidth="1"/>
    <col min="11" max="11" width="24.28515625" customWidth="1"/>
    <col min="12" max="12" width="15.42578125" bestFit="1" customWidth="1"/>
    <col min="13" max="13" width="21" customWidth="1"/>
    <col min="14" max="14" width="23.5703125" customWidth="1"/>
    <col min="15" max="15" width="25.140625" customWidth="1"/>
    <col min="16" max="16" width="24.85546875" customWidth="1"/>
    <col min="17" max="17" width="24.28515625" customWidth="1"/>
    <col min="18" max="18" width="9" customWidth="1"/>
    <col min="19" max="19" width="8.42578125" customWidth="1"/>
    <col min="20" max="20" width="12.5703125" customWidth="1"/>
    <col min="21" max="21" width="19.85546875" bestFit="1" customWidth="1"/>
    <col min="22" max="22" width="22" bestFit="1" customWidth="1"/>
    <col min="23" max="23" width="21" bestFit="1" customWidth="1"/>
    <col min="24" max="24" width="22" bestFit="1" customWidth="1"/>
    <col min="25" max="25" width="11.42578125" bestFit="1" customWidth="1"/>
    <col min="26" max="26" width="22" bestFit="1" customWidth="1"/>
    <col min="27" max="27" width="19.140625" bestFit="1" customWidth="1"/>
    <col min="28" max="28" width="22" bestFit="1" customWidth="1"/>
    <col min="29" max="29" width="11.42578125" bestFit="1" customWidth="1"/>
    <col min="30" max="30" width="22" bestFit="1" customWidth="1"/>
    <col min="31" max="31" width="18.85546875" bestFit="1" customWidth="1"/>
    <col min="32" max="32" width="22" bestFit="1" customWidth="1"/>
    <col min="33" max="33" width="11.42578125" bestFit="1" customWidth="1"/>
    <col min="34" max="34" width="22" bestFit="1" customWidth="1"/>
    <col min="35" max="35" width="11.42578125" bestFit="1" customWidth="1"/>
    <col min="36" max="36" width="22" bestFit="1" customWidth="1"/>
    <col min="37" max="37" width="11.42578125" bestFit="1" customWidth="1"/>
    <col min="38" max="38" width="22" bestFit="1" customWidth="1"/>
    <col min="39" max="39" width="12.5703125" bestFit="1" customWidth="1"/>
    <col min="40" max="40" width="22" bestFit="1" customWidth="1"/>
    <col min="41" max="41" width="15.5703125" bestFit="1" customWidth="1"/>
    <col min="42" max="42" width="22" bestFit="1" customWidth="1"/>
    <col min="43" max="43" width="11.42578125" bestFit="1" customWidth="1"/>
    <col min="44" max="44" width="22" bestFit="1" customWidth="1"/>
    <col min="45" max="45" width="15.42578125" bestFit="1" customWidth="1"/>
    <col min="46" max="46" width="22" bestFit="1" customWidth="1"/>
    <col min="47" max="47" width="16.85546875" bestFit="1" customWidth="1"/>
    <col min="48" max="48" width="22" bestFit="1" customWidth="1"/>
    <col min="49" max="49" width="18" bestFit="1" customWidth="1"/>
    <col min="50" max="50" width="22" bestFit="1" customWidth="1"/>
    <col min="51" max="51" width="11.42578125" bestFit="1" customWidth="1"/>
    <col min="52" max="52" width="22" bestFit="1" customWidth="1"/>
    <col min="53" max="53" width="16.7109375" bestFit="1" customWidth="1"/>
    <col min="54" max="54" width="22" bestFit="1" customWidth="1"/>
    <col min="55" max="55" width="18" bestFit="1" customWidth="1"/>
    <col min="56" max="56" width="22" bestFit="1" customWidth="1"/>
    <col min="57" max="57" width="11.42578125" bestFit="1" customWidth="1"/>
    <col min="58" max="58" width="22" bestFit="1" customWidth="1"/>
    <col min="59" max="59" width="19.5703125" bestFit="1" customWidth="1"/>
    <col min="60" max="60" width="22" bestFit="1" customWidth="1"/>
    <col min="61" max="61" width="11.42578125" bestFit="1" customWidth="1"/>
    <col min="62" max="62" width="22" bestFit="1" customWidth="1"/>
    <col min="63" max="63" width="11.42578125" bestFit="1" customWidth="1"/>
    <col min="64" max="64" width="22" bestFit="1" customWidth="1"/>
    <col min="65" max="65" width="11.42578125" bestFit="1" customWidth="1"/>
    <col min="66" max="66" width="22" bestFit="1" customWidth="1"/>
    <col min="67" max="67" width="11.42578125" bestFit="1" customWidth="1"/>
    <col min="68" max="68" width="22" bestFit="1" customWidth="1"/>
    <col min="69" max="69" width="11.42578125" bestFit="1" customWidth="1"/>
    <col min="70" max="70" width="22" bestFit="1" customWidth="1"/>
    <col min="71" max="71" width="11.42578125" bestFit="1" customWidth="1"/>
    <col min="72" max="72" width="22" bestFit="1" customWidth="1"/>
    <col min="73" max="73" width="11.42578125" bestFit="1" customWidth="1"/>
    <col min="74" max="74" width="22" bestFit="1" customWidth="1"/>
    <col min="75" max="75" width="16.42578125" bestFit="1" customWidth="1"/>
    <col min="76" max="76" width="27" bestFit="1" customWidth="1"/>
    <col min="77" max="86" width="10.7109375" bestFit="1" customWidth="1"/>
    <col min="87" max="87" width="11.140625" bestFit="1" customWidth="1"/>
  </cols>
  <sheetData>
    <row r="1" spans="1:17" x14ac:dyDescent="0.25">
      <c r="A1" s="7" t="s">
        <v>60</v>
      </c>
      <c r="B1" s="47" t="s">
        <v>193</v>
      </c>
      <c r="C1" s="10" t="s">
        <v>100</v>
      </c>
      <c r="G1" s="88" t="s">
        <v>60</v>
      </c>
      <c r="H1" s="88" t="s">
        <v>193</v>
      </c>
      <c r="I1" s="87" t="s">
        <v>84</v>
      </c>
      <c r="J1" s="87"/>
      <c r="K1" s="87"/>
      <c r="M1" s="7" t="s">
        <v>60</v>
      </c>
      <c r="N1" s="47" t="s">
        <v>191</v>
      </c>
      <c r="O1" s="10" t="s">
        <v>89</v>
      </c>
    </row>
    <row r="2" spans="1:17" x14ac:dyDescent="0.25">
      <c r="A2" s="7" t="s">
        <v>101</v>
      </c>
      <c r="B2" s="47" t="s">
        <v>191</v>
      </c>
      <c r="C2" s="10" t="s">
        <v>85</v>
      </c>
      <c r="G2" s="88" t="s">
        <v>101</v>
      </c>
      <c r="H2" s="88" t="s">
        <v>191</v>
      </c>
      <c r="I2" s="87" t="s">
        <v>85</v>
      </c>
      <c r="J2" s="87"/>
      <c r="K2" s="87"/>
      <c r="M2" s="7" t="s">
        <v>101</v>
      </c>
      <c r="N2" s="47" t="s">
        <v>191</v>
      </c>
      <c r="O2" s="10" t="s">
        <v>85</v>
      </c>
    </row>
    <row r="3" spans="1:17" x14ac:dyDescent="0.25">
      <c r="G3" s="88"/>
      <c r="H3" s="88"/>
      <c r="I3" s="88"/>
      <c r="J3" s="88"/>
      <c r="K3" s="88"/>
    </row>
    <row r="4" spans="1:17" x14ac:dyDescent="0.25">
      <c r="B4" s="7" t="s">
        <v>87</v>
      </c>
      <c r="G4" s="88"/>
      <c r="H4" s="88" t="s">
        <v>87</v>
      </c>
      <c r="I4" s="88"/>
      <c r="J4" s="88"/>
      <c r="K4" s="88"/>
      <c r="N4" s="7" t="s">
        <v>87</v>
      </c>
    </row>
    <row r="5" spans="1:17" x14ac:dyDescent="0.25">
      <c r="A5" s="7" t="s">
        <v>189</v>
      </c>
      <c r="B5" s="47" t="s">
        <v>138</v>
      </c>
      <c r="C5" s="47" t="s">
        <v>90</v>
      </c>
      <c r="D5" s="47" t="s">
        <v>139</v>
      </c>
      <c r="E5" s="47" t="s">
        <v>102</v>
      </c>
      <c r="G5" s="88" t="s">
        <v>189</v>
      </c>
      <c r="H5" s="88" t="s">
        <v>138</v>
      </c>
      <c r="I5" s="88" t="s">
        <v>90</v>
      </c>
      <c r="J5" s="88" t="s">
        <v>140</v>
      </c>
      <c r="K5" s="88" t="s">
        <v>102</v>
      </c>
      <c r="M5" s="7" t="s">
        <v>189</v>
      </c>
      <c r="N5" s="47" t="s">
        <v>138</v>
      </c>
      <c r="O5" s="47" t="s">
        <v>90</v>
      </c>
      <c r="P5" s="47" t="s">
        <v>140</v>
      </c>
      <c r="Q5" s="47" t="s">
        <v>102</v>
      </c>
    </row>
    <row r="6" spans="1:17" x14ac:dyDescent="0.25">
      <c r="A6" s="5" t="s">
        <v>192</v>
      </c>
      <c r="B6" s="8"/>
      <c r="C6" s="9"/>
      <c r="D6" s="8"/>
      <c r="E6" s="9"/>
      <c r="G6" s="81" t="s">
        <v>192</v>
      </c>
      <c r="H6" s="82"/>
      <c r="I6" s="132"/>
      <c r="J6" s="82"/>
      <c r="K6" s="84"/>
      <c r="M6" s="5" t="s">
        <v>192</v>
      </c>
      <c r="N6" s="8"/>
      <c r="O6" s="9"/>
      <c r="P6" s="8"/>
      <c r="Q6" s="9"/>
    </row>
  </sheetData>
  <pageMargins left="0.7" right="0.7" top="0.75" bottom="0.75" header="0.3" footer="0.3"/>
  <pageSetup paperSize="9" orientation="portrait"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FFFF00"/>
  </sheetPr>
  <dimension ref="A1:K15"/>
  <sheetViews>
    <sheetView workbookViewId="0">
      <selection activeCell="G4" sqref="G4"/>
    </sheetView>
  </sheetViews>
  <sheetFormatPr baseColWidth="10" defaultColWidth="11.42578125" defaultRowHeight="15" x14ac:dyDescent="0.25"/>
  <cols>
    <col min="1" max="1" width="19.5703125" bestFit="1" customWidth="1"/>
    <col min="2" max="2" width="14.28515625" customWidth="1"/>
    <col min="3" max="3" width="14.7109375" customWidth="1"/>
    <col min="5" max="5" width="19.5703125" bestFit="1" customWidth="1"/>
    <col min="7" max="7" width="19.42578125" bestFit="1" customWidth="1"/>
    <col min="9" max="9" width="19.5703125" bestFit="1" customWidth="1"/>
    <col min="11" max="11" width="14.7109375" bestFit="1" customWidth="1"/>
  </cols>
  <sheetData>
    <row r="1" spans="1:11" x14ac:dyDescent="0.25">
      <c r="A1" t="s">
        <v>60</v>
      </c>
      <c r="C1" s="20" t="s">
        <v>100</v>
      </c>
      <c r="E1" s="88" t="s">
        <v>60</v>
      </c>
      <c r="F1" s="88"/>
      <c r="G1" s="87" t="s">
        <v>84</v>
      </c>
      <c r="H1" s="21"/>
      <c r="I1" t="s">
        <v>60</v>
      </c>
      <c r="K1" s="10" t="s">
        <v>89</v>
      </c>
    </row>
    <row r="2" spans="1:11" ht="45" x14ac:dyDescent="0.25">
      <c r="A2" s="17" t="s">
        <v>130</v>
      </c>
      <c r="B2" s="18" t="s">
        <v>90</v>
      </c>
      <c r="C2" s="18" t="s">
        <v>131</v>
      </c>
      <c r="D2" t="s">
        <v>135</v>
      </c>
      <c r="E2" s="89" t="s">
        <v>130</v>
      </c>
      <c r="F2" s="90" t="s">
        <v>90</v>
      </c>
      <c r="G2" s="90" t="s">
        <v>131</v>
      </c>
      <c r="H2" s="6"/>
      <c r="I2" s="17" t="s">
        <v>130</v>
      </c>
      <c r="J2" s="18" t="s">
        <v>90</v>
      </c>
      <c r="K2" s="18" t="s">
        <v>131</v>
      </c>
    </row>
    <row r="3" spans="1:11" x14ac:dyDescent="0.25">
      <c r="A3" s="85" t="s">
        <v>252</v>
      </c>
      <c r="B3" s="19" t="e">
        <f>AVERAGEIF('Données '!BL2:BL28,"&lt;&gt;(Inconnu)")</f>
        <v>#DIV/0!</v>
      </c>
      <c r="C3" s="19" t="e">
        <f>MEDIAN('Données '!BL2:BL28)</f>
        <v>#NUM!</v>
      </c>
      <c r="D3" t="s">
        <v>134</v>
      </c>
      <c r="E3" s="85" t="s">
        <v>252</v>
      </c>
      <c r="F3" s="131" t="e">
        <f>AVERAGEIF('Données '!BM2:BM28,"&lt;&gt;(Inconnu)")</f>
        <v>#DIV/0!</v>
      </c>
      <c r="G3" s="86" t="e">
        <f>MEDIAN('Données '!BM2:BM28)</f>
        <v>#NUM!</v>
      </c>
      <c r="H3" s="6"/>
      <c r="I3" s="85" t="s">
        <v>252</v>
      </c>
      <c r="J3" s="19" t="e">
        <f>AVERAGEIF('Données '!BN2:BN28,"&lt;&gt;(Inconnu)")</f>
        <v>#DIV/0!</v>
      </c>
      <c r="K3" s="19" t="e">
        <f>MEDIAN('Données '!BN2:BN28)</f>
        <v>#NUM!</v>
      </c>
    </row>
    <row r="4" spans="1:11" x14ac:dyDescent="0.25">
      <c r="A4" s="85" t="s">
        <v>251</v>
      </c>
      <c r="B4" s="19"/>
      <c r="C4" s="19"/>
      <c r="E4" s="85" t="s">
        <v>251</v>
      </c>
      <c r="F4" s="131"/>
      <c r="G4" s="86"/>
      <c r="H4" s="6"/>
      <c r="I4" s="85" t="s">
        <v>251</v>
      </c>
      <c r="J4" s="19"/>
      <c r="K4" s="19"/>
    </row>
    <row r="5" spans="1:11" x14ac:dyDescent="0.25">
      <c r="A5" s="85" t="s">
        <v>209</v>
      </c>
      <c r="B5" s="19"/>
      <c r="C5" s="19"/>
      <c r="E5" s="85" t="s">
        <v>209</v>
      </c>
      <c r="F5" s="131"/>
      <c r="G5" s="86"/>
      <c r="H5" s="6"/>
      <c r="I5" s="85" t="s">
        <v>209</v>
      </c>
      <c r="J5" s="19"/>
      <c r="K5" s="19"/>
    </row>
    <row r="6" spans="1:11" x14ac:dyDescent="0.25">
      <c r="A6" s="85" t="s">
        <v>210</v>
      </c>
      <c r="B6" s="19"/>
      <c r="C6" s="19"/>
      <c r="E6" s="85" t="s">
        <v>210</v>
      </c>
      <c r="F6" s="131"/>
      <c r="G6" s="86"/>
      <c r="H6" s="6"/>
      <c r="I6" s="85" t="s">
        <v>210</v>
      </c>
      <c r="J6" s="19"/>
      <c r="K6" s="19"/>
    </row>
    <row r="7" spans="1:11" x14ac:dyDescent="0.25">
      <c r="A7" s="85" t="s">
        <v>211</v>
      </c>
      <c r="B7" s="19"/>
      <c r="C7" s="19"/>
      <c r="E7" s="85" t="s">
        <v>211</v>
      </c>
      <c r="F7" s="131"/>
      <c r="G7" s="86"/>
      <c r="H7" s="6"/>
      <c r="I7" s="85" t="s">
        <v>211</v>
      </c>
      <c r="J7" s="19"/>
      <c r="K7" s="19"/>
    </row>
    <row r="8" spans="1:11" x14ac:dyDescent="0.25">
      <c r="A8" s="85" t="s">
        <v>253</v>
      </c>
      <c r="B8" s="19"/>
      <c r="C8" s="19"/>
      <c r="E8" s="85" t="s">
        <v>253</v>
      </c>
      <c r="F8" s="131"/>
      <c r="G8" s="86"/>
      <c r="H8" s="6"/>
      <c r="I8" s="85" t="s">
        <v>253</v>
      </c>
      <c r="J8" s="19"/>
      <c r="K8" s="19"/>
    </row>
    <row r="9" spans="1:11" x14ac:dyDescent="0.25">
      <c r="A9" s="85" t="s">
        <v>254</v>
      </c>
      <c r="B9" s="19"/>
      <c r="C9" s="19"/>
      <c r="E9" s="85" t="s">
        <v>254</v>
      </c>
      <c r="F9" s="131"/>
      <c r="G9" s="86"/>
      <c r="H9" s="6"/>
      <c r="I9" s="85" t="s">
        <v>254</v>
      </c>
      <c r="J9" s="19"/>
      <c r="K9" s="19"/>
    </row>
    <row r="10" spans="1:11" x14ac:dyDescent="0.25">
      <c r="A10" s="85" t="s">
        <v>255</v>
      </c>
      <c r="B10" s="19"/>
      <c r="C10" s="19"/>
      <c r="E10" s="85" t="s">
        <v>255</v>
      </c>
      <c r="F10" s="131"/>
      <c r="G10" s="86"/>
      <c r="H10" s="6"/>
      <c r="I10" s="85" t="s">
        <v>255</v>
      </c>
      <c r="J10" s="19"/>
      <c r="K10" s="19"/>
    </row>
    <row r="11" spans="1:11" x14ac:dyDescent="0.25">
      <c r="A11" s="85" t="s">
        <v>256</v>
      </c>
      <c r="B11" s="19"/>
      <c r="C11" s="19"/>
      <c r="E11" s="85" t="s">
        <v>256</v>
      </c>
      <c r="F11" s="131"/>
      <c r="G11" s="86"/>
      <c r="H11" s="6"/>
      <c r="I11" s="85" t="s">
        <v>256</v>
      </c>
      <c r="J11" s="19"/>
      <c r="K11" s="19"/>
    </row>
    <row r="12" spans="1:11" x14ac:dyDescent="0.25">
      <c r="A12" s="85" t="s">
        <v>257</v>
      </c>
      <c r="B12" s="19"/>
      <c r="C12" s="19"/>
      <c r="E12" s="85" t="s">
        <v>257</v>
      </c>
      <c r="F12" s="131"/>
      <c r="G12" s="86"/>
      <c r="H12" s="6"/>
      <c r="I12" s="85" t="s">
        <v>257</v>
      </c>
      <c r="J12" s="19"/>
      <c r="K12" s="19"/>
    </row>
    <row r="13" spans="1:11" x14ac:dyDescent="0.25">
      <c r="A13" s="85" t="s">
        <v>258</v>
      </c>
      <c r="B13" s="19"/>
      <c r="C13" s="19"/>
      <c r="E13" s="85" t="s">
        <v>258</v>
      </c>
      <c r="F13" s="131"/>
      <c r="G13" s="86"/>
      <c r="H13" s="6"/>
      <c r="I13" s="85" t="s">
        <v>258</v>
      </c>
      <c r="J13" s="19"/>
      <c r="K13" s="19"/>
    </row>
    <row r="14" spans="1:11" x14ac:dyDescent="0.25">
      <c r="A14" s="85" t="s">
        <v>259</v>
      </c>
      <c r="B14" s="19"/>
      <c r="C14" s="19"/>
      <c r="E14" s="85" t="s">
        <v>259</v>
      </c>
      <c r="F14" s="131"/>
      <c r="G14" s="86"/>
      <c r="H14" s="6"/>
      <c r="I14" s="85" t="s">
        <v>259</v>
      </c>
      <c r="J14" s="19"/>
      <c r="K14" s="19"/>
    </row>
    <row r="15" spans="1:11" x14ac:dyDescent="0.25">
      <c r="E15" s="92" t="s">
        <v>183</v>
      </c>
      <c r="F15" s="88"/>
      <c r="H15" s="6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rgb="FF99FFCC"/>
  </sheetPr>
  <dimension ref="A1:I42"/>
  <sheetViews>
    <sheetView workbookViewId="0">
      <selection activeCell="E18" sqref="E18"/>
    </sheetView>
  </sheetViews>
  <sheetFormatPr baseColWidth="10" defaultColWidth="11.42578125" defaultRowHeight="15" x14ac:dyDescent="0.25"/>
  <cols>
    <col min="1" max="1" width="21" customWidth="1"/>
    <col min="2" max="2" width="24.28515625" customWidth="1"/>
    <col min="3" max="3" width="8.140625" customWidth="1"/>
    <col min="4" max="4" width="27.85546875" customWidth="1"/>
    <col min="5" max="5" width="23.85546875" customWidth="1"/>
    <col min="6" max="6" width="4.28515625" customWidth="1"/>
    <col min="7" max="9" width="12.5703125" customWidth="1"/>
    <col min="10" max="10" width="29.28515625" customWidth="1"/>
    <col min="11" max="11" width="27.85546875" bestFit="1" customWidth="1"/>
    <col min="12" max="12" width="22" bestFit="1" customWidth="1"/>
    <col min="13" max="13" width="21" bestFit="1" customWidth="1"/>
    <col min="14" max="14" width="22" bestFit="1" customWidth="1"/>
    <col min="15" max="15" width="11.42578125" bestFit="1" customWidth="1"/>
    <col min="16" max="16" width="22" bestFit="1" customWidth="1"/>
    <col min="17" max="17" width="19.140625" bestFit="1" customWidth="1"/>
    <col min="18" max="18" width="22" bestFit="1" customWidth="1"/>
    <col min="19" max="19" width="11.42578125" bestFit="1" customWidth="1"/>
    <col min="20" max="20" width="22" bestFit="1" customWidth="1"/>
    <col min="21" max="21" width="18.85546875" bestFit="1" customWidth="1"/>
    <col min="22" max="22" width="22" bestFit="1" customWidth="1"/>
    <col min="23" max="23" width="11.42578125" bestFit="1" customWidth="1"/>
    <col min="24" max="24" width="22" bestFit="1" customWidth="1"/>
    <col min="25" max="25" width="11.42578125" bestFit="1" customWidth="1"/>
    <col min="26" max="26" width="22" bestFit="1" customWidth="1"/>
    <col min="27" max="27" width="11.42578125" bestFit="1" customWidth="1"/>
    <col min="28" max="28" width="22" bestFit="1" customWidth="1"/>
    <col min="29" max="29" width="12.5703125" bestFit="1" customWidth="1"/>
    <col min="30" max="30" width="22" bestFit="1" customWidth="1"/>
    <col min="31" max="31" width="15.5703125" bestFit="1" customWidth="1"/>
    <col min="32" max="32" width="22" bestFit="1" customWidth="1"/>
    <col min="33" max="33" width="11.42578125" bestFit="1" customWidth="1"/>
    <col min="34" max="34" width="22" bestFit="1" customWidth="1"/>
    <col min="35" max="35" width="15.42578125" bestFit="1" customWidth="1"/>
    <col min="36" max="36" width="22" bestFit="1" customWidth="1"/>
    <col min="37" max="37" width="16.85546875" bestFit="1" customWidth="1"/>
    <col min="38" max="38" width="22" bestFit="1" customWidth="1"/>
    <col min="39" max="39" width="18" bestFit="1" customWidth="1"/>
    <col min="40" max="40" width="22" bestFit="1" customWidth="1"/>
    <col min="41" max="41" width="11.42578125" bestFit="1" customWidth="1"/>
    <col min="42" max="42" width="22" bestFit="1" customWidth="1"/>
    <col min="43" max="43" width="16.7109375" bestFit="1" customWidth="1"/>
    <col min="44" max="44" width="22" bestFit="1" customWidth="1"/>
    <col min="45" max="45" width="18" bestFit="1" customWidth="1"/>
    <col min="46" max="46" width="22" bestFit="1" customWidth="1"/>
    <col min="47" max="47" width="11.42578125" bestFit="1" customWidth="1"/>
    <col min="48" max="48" width="22" bestFit="1" customWidth="1"/>
    <col min="49" max="49" width="19.5703125" bestFit="1" customWidth="1"/>
    <col min="50" max="50" width="22" bestFit="1" customWidth="1"/>
    <col min="51" max="51" width="11.42578125" bestFit="1" customWidth="1"/>
    <col min="52" max="52" width="22" bestFit="1" customWidth="1"/>
    <col min="53" max="53" width="11.42578125" bestFit="1" customWidth="1"/>
    <col min="54" max="54" width="22" bestFit="1" customWidth="1"/>
    <col min="55" max="55" width="11.42578125" bestFit="1" customWidth="1"/>
    <col min="56" max="56" width="22" bestFit="1" customWidth="1"/>
    <col min="57" max="57" width="11.42578125" bestFit="1" customWidth="1"/>
    <col min="58" max="58" width="22" bestFit="1" customWidth="1"/>
    <col min="59" max="59" width="11.42578125" bestFit="1" customWidth="1"/>
    <col min="60" max="60" width="22" bestFit="1" customWidth="1"/>
    <col min="61" max="61" width="11.42578125" bestFit="1" customWidth="1"/>
    <col min="62" max="62" width="22" bestFit="1" customWidth="1"/>
    <col min="63" max="63" width="11.42578125" bestFit="1" customWidth="1"/>
    <col min="64" max="64" width="22" bestFit="1" customWidth="1"/>
    <col min="65" max="65" width="16.42578125" bestFit="1" customWidth="1"/>
    <col min="66" max="66" width="27" bestFit="1" customWidth="1"/>
    <col min="67" max="76" width="10.7109375" bestFit="1" customWidth="1"/>
    <col min="77" max="77" width="11.140625" bestFit="1" customWidth="1"/>
  </cols>
  <sheetData>
    <row r="1" spans="1:5" x14ac:dyDescent="0.25">
      <c r="A1" s="88" t="s">
        <v>17</v>
      </c>
      <c r="B1" s="88" t="s">
        <v>191</v>
      </c>
    </row>
    <row r="2" spans="1:5" x14ac:dyDescent="0.25">
      <c r="A2" s="88"/>
      <c r="B2" s="88"/>
    </row>
    <row r="3" spans="1:5" x14ac:dyDescent="0.25">
      <c r="A3" s="88" t="s">
        <v>189</v>
      </c>
      <c r="B3" s="88" t="s">
        <v>91</v>
      </c>
      <c r="D3" s="88" t="s">
        <v>103</v>
      </c>
      <c r="E3" s="88" t="s">
        <v>194</v>
      </c>
    </row>
    <row r="4" spans="1:5" x14ac:dyDescent="0.25">
      <c r="A4" s="81" t="s">
        <v>192</v>
      </c>
      <c r="B4" s="82">
        <v>0</v>
      </c>
      <c r="D4" s="88" t="s">
        <v>189</v>
      </c>
      <c r="E4" s="88" t="s">
        <v>192</v>
      </c>
    </row>
    <row r="5" spans="1:5" x14ac:dyDescent="0.25">
      <c r="D5" s="81" t="s">
        <v>192</v>
      </c>
      <c r="E5" s="82">
        <v>0</v>
      </c>
    </row>
    <row r="8" spans="1:5" x14ac:dyDescent="0.25">
      <c r="A8" s="88" t="s">
        <v>17</v>
      </c>
      <c r="B8" s="88" t="s">
        <v>191</v>
      </c>
    </row>
    <row r="9" spans="1:5" x14ac:dyDescent="0.25">
      <c r="A9" s="88"/>
      <c r="B9" s="88"/>
    </row>
    <row r="10" spans="1:5" x14ac:dyDescent="0.25">
      <c r="A10" s="88" t="s">
        <v>189</v>
      </c>
      <c r="B10" s="88" t="s">
        <v>91</v>
      </c>
    </row>
    <row r="11" spans="1:5" x14ac:dyDescent="0.25">
      <c r="A11" s="81" t="s">
        <v>192</v>
      </c>
      <c r="B11" s="169" t="e">
        <v>#DIV/0!</v>
      </c>
    </row>
    <row r="18" spans="1:9" x14ac:dyDescent="0.25">
      <c r="I18" t="s">
        <v>311</v>
      </c>
    </row>
    <row r="19" spans="1:9" x14ac:dyDescent="0.25">
      <c r="I19" t="s">
        <v>312</v>
      </c>
    </row>
    <row r="23" spans="1:9" x14ac:dyDescent="0.25">
      <c r="A23" s="122"/>
      <c r="B23" s="122"/>
      <c r="C23" s="122"/>
      <c r="D23" s="122"/>
      <c r="E23" s="122"/>
      <c r="F23" s="122"/>
      <c r="G23" s="122"/>
      <c r="H23" s="122"/>
    </row>
    <row r="24" spans="1:9" ht="15.75" thickBot="1" x14ac:dyDescent="0.3">
      <c r="A24" s="122"/>
      <c r="B24" s="122"/>
      <c r="C24" s="122"/>
      <c r="D24" s="122"/>
      <c r="E24" s="122"/>
      <c r="F24" s="122"/>
      <c r="G24" s="122"/>
      <c r="H24" s="122"/>
    </row>
    <row r="25" spans="1:9" x14ac:dyDescent="0.25">
      <c r="A25" s="173" t="s">
        <v>252</v>
      </c>
      <c r="B25" s="176">
        <f>2/25</f>
        <v>0.08</v>
      </c>
      <c r="C25" s="122"/>
      <c r="D25" s="122"/>
      <c r="E25" s="122"/>
      <c r="F25" s="122"/>
      <c r="G25" s="122"/>
      <c r="H25" s="122"/>
    </row>
    <row r="26" spans="1:9" x14ac:dyDescent="0.25">
      <c r="A26" s="174" t="s">
        <v>251</v>
      </c>
      <c r="B26" s="177"/>
      <c r="C26" s="122"/>
      <c r="D26" s="122"/>
      <c r="E26" s="122"/>
      <c r="F26" s="122"/>
      <c r="G26" s="122"/>
      <c r="H26" s="122"/>
    </row>
    <row r="27" spans="1:9" x14ac:dyDescent="0.25">
      <c r="A27" s="174" t="s">
        <v>209</v>
      </c>
      <c r="B27" s="177"/>
      <c r="C27" s="122"/>
      <c r="D27" s="122"/>
      <c r="E27" s="122"/>
      <c r="F27" s="122"/>
      <c r="G27" s="122"/>
      <c r="H27" s="122"/>
    </row>
    <row r="28" spans="1:9" x14ac:dyDescent="0.25">
      <c r="A28" s="174" t="s">
        <v>210</v>
      </c>
      <c r="B28" s="177"/>
      <c r="C28" s="122"/>
      <c r="D28" s="122"/>
      <c r="E28" s="122"/>
      <c r="F28" s="122"/>
      <c r="G28" s="122"/>
      <c r="H28" s="122"/>
    </row>
    <row r="29" spans="1:9" x14ac:dyDescent="0.25">
      <c r="A29" s="174" t="s">
        <v>211</v>
      </c>
      <c r="B29" s="177"/>
      <c r="C29" s="122"/>
      <c r="D29" s="122"/>
      <c r="E29" s="122"/>
      <c r="F29" s="122"/>
      <c r="G29" s="122"/>
      <c r="H29" s="122"/>
    </row>
    <row r="30" spans="1:9" x14ac:dyDescent="0.25">
      <c r="A30" s="174" t="s">
        <v>253</v>
      </c>
      <c r="B30" s="177"/>
      <c r="C30" s="122"/>
      <c r="D30" s="122"/>
      <c r="E30" s="122"/>
      <c r="F30" s="122"/>
      <c r="G30" s="122"/>
      <c r="H30" s="122"/>
    </row>
    <row r="31" spans="1:9" x14ac:dyDescent="0.25">
      <c r="A31" s="174" t="s">
        <v>254</v>
      </c>
      <c r="B31" s="177"/>
      <c r="C31" s="122"/>
      <c r="D31" s="122"/>
      <c r="E31" s="122"/>
      <c r="F31" s="122"/>
      <c r="G31" s="122"/>
      <c r="H31" s="122"/>
    </row>
    <row r="32" spans="1:9" x14ac:dyDescent="0.25">
      <c r="A32" s="174" t="s">
        <v>255</v>
      </c>
      <c r="B32" s="177"/>
      <c r="C32" s="122"/>
      <c r="D32" s="122"/>
      <c r="E32" s="122"/>
      <c r="F32" s="122"/>
      <c r="G32" s="122"/>
      <c r="H32" s="122"/>
    </row>
    <row r="33" spans="1:8" x14ac:dyDescent="0.25">
      <c r="A33" s="174" t="s">
        <v>256</v>
      </c>
      <c r="B33" s="177"/>
      <c r="C33" s="122"/>
      <c r="D33" s="122"/>
      <c r="E33" s="122"/>
      <c r="F33" s="122"/>
      <c r="G33" s="122"/>
      <c r="H33" s="122"/>
    </row>
    <row r="34" spans="1:8" x14ac:dyDescent="0.25">
      <c r="A34" s="174" t="s">
        <v>257</v>
      </c>
      <c r="B34" s="177"/>
      <c r="C34" s="122"/>
      <c r="D34" s="122"/>
      <c r="E34" s="122"/>
      <c r="F34" s="122"/>
      <c r="G34" s="122"/>
      <c r="H34" s="122"/>
    </row>
    <row r="35" spans="1:8" x14ac:dyDescent="0.25">
      <c r="A35" s="174" t="s">
        <v>258</v>
      </c>
      <c r="B35" s="177"/>
      <c r="C35" s="122"/>
      <c r="D35" s="122"/>
      <c r="E35" s="122"/>
      <c r="F35" s="122"/>
      <c r="G35" s="122"/>
      <c r="H35" s="122"/>
    </row>
    <row r="36" spans="1:8" ht="15.75" thickBot="1" x14ac:dyDescent="0.3">
      <c r="A36" s="175" t="s">
        <v>259</v>
      </c>
      <c r="B36" s="178"/>
      <c r="C36" s="122"/>
      <c r="D36" s="122"/>
      <c r="E36" s="122"/>
      <c r="F36" s="122"/>
      <c r="G36" s="122"/>
      <c r="H36" s="122"/>
    </row>
    <row r="37" spans="1:8" x14ac:dyDescent="0.25">
      <c r="A37" s="122"/>
      <c r="B37" s="122"/>
      <c r="C37" s="122"/>
      <c r="D37" s="122"/>
      <c r="E37" s="122"/>
      <c r="F37" s="122"/>
      <c r="G37" s="122"/>
      <c r="H37" s="122"/>
    </row>
    <row r="38" spans="1:8" x14ac:dyDescent="0.25">
      <c r="A38" s="122"/>
      <c r="B38" s="122"/>
      <c r="C38" s="122"/>
      <c r="D38" s="122"/>
      <c r="E38" s="122"/>
      <c r="F38" s="122"/>
      <c r="G38" s="122"/>
      <c r="H38" s="122"/>
    </row>
    <row r="39" spans="1:8" x14ac:dyDescent="0.25">
      <c r="A39" s="122"/>
      <c r="B39" s="122"/>
      <c r="C39" s="122"/>
      <c r="D39" s="122"/>
      <c r="E39" s="122"/>
      <c r="F39" s="122"/>
      <c r="G39" s="122"/>
      <c r="H39" s="122"/>
    </row>
    <row r="40" spans="1:8" x14ac:dyDescent="0.25">
      <c r="A40" s="122"/>
      <c r="B40" s="122"/>
      <c r="C40" s="122"/>
      <c r="D40" s="122"/>
      <c r="E40" s="122"/>
      <c r="F40" s="122"/>
      <c r="G40" s="122"/>
      <c r="H40" s="122"/>
    </row>
    <row r="42" spans="1:8" x14ac:dyDescent="0.25">
      <c r="D42" t="s">
        <v>313</v>
      </c>
    </row>
  </sheetData>
  <pageMargins left="0.7" right="0.7" top="0.75" bottom="0.75" header="0.3" footer="0.3"/>
  <pageSetup paperSize="9" orientation="portrait" r:id="rId4"/>
  <drawing r:id="rId5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'Pivot-Rév&lt;24h'!B25:B36</xm:f>
              <xm:sqref>B42</xm:sqref>
            </x14:sparkline>
          </x14:sparklines>
        </x14:sparklineGroup>
      </x14:sparklineGroup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theme="8" tint="-0.249977111117893"/>
  </sheetPr>
  <dimension ref="A1:F17"/>
  <sheetViews>
    <sheetView workbookViewId="0">
      <selection activeCell="E11" sqref="E11"/>
    </sheetView>
  </sheetViews>
  <sheetFormatPr baseColWidth="10" defaultColWidth="11.42578125" defaultRowHeight="15" x14ac:dyDescent="0.25"/>
  <cols>
    <col min="1" max="1" width="21" customWidth="1"/>
    <col min="2" max="2" width="26.85546875" customWidth="1"/>
    <col min="3" max="3" width="3.5703125" customWidth="1"/>
    <col min="4" max="4" width="6.28515625" customWidth="1"/>
    <col min="5" max="5" width="26.85546875" customWidth="1"/>
    <col min="6" max="6" width="23.85546875" customWidth="1"/>
    <col min="7" max="7" width="3.5703125" customWidth="1"/>
    <col min="8" max="8" width="7.140625" customWidth="1"/>
    <col min="9" max="10" width="12.5703125" customWidth="1"/>
    <col min="11" max="11" width="2" customWidth="1"/>
    <col min="12" max="13" width="9.7109375" customWidth="1"/>
    <col min="14" max="14" width="7.140625" customWidth="1"/>
    <col min="15" max="15" width="12.5703125" bestFit="1" customWidth="1"/>
  </cols>
  <sheetData>
    <row r="1" spans="1:6" x14ac:dyDescent="0.25">
      <c r="A1" s="13" t="s">
        <v>110</v>
      </c>
    </row>
    <row r="4" spans="1:6" x14ac:dyDescent="0.25">
      <c r="A4" s="88" t="s">
        <v>17</v>
      </c>
      <c r="B4" s="88" t="s">
        <v>191</v>
      </c>
    </row>
    <row r="5" spans="1:6" x14ac:dyDescent="0.25">
      <c r="A5" s="88"/>
      <c r="B5" s="88"/>
      <c r="E5" s="88" t="s">
        <v>104</v>
      </c>
      <c r="F5" s="88" t="s">
        <v>194</v>
      </c>
    </row>
    <row r="6" spans="1:6" x14ac:dyDescent="0.25">
      <c r="A6" s="88" t="s">
        <v>189</v>
      </c>
      <c r="B6" s="88" t="s">
        <v>104</v>
      </c>
      <c r="E6" s="88"/>
      <c r="F6" s="88" t="s">
        <v>192</v>
      </c>
    </row>
    <row r="7" spans="1:6" x14ac:dyDescent="0.25">
      <c r="A7" s="81" t="s">
        <v>192</v>
      </c>
      <c r="B7" s="82">
        <v>0</v>
      </c>
      <c r="E7" s="88" t="s">
        <v>189</v>
      </c>
      <c r="F7" s="88"/>
    </row>
    <row r="8" spans="1:6" x14ac:dyDescent="0.25">
      <c r="E8" s="81" t="s">
        <v>192</v>
      </c>
      <c r="F8" s="82">
        <v>0</v>
      </c>
    </row>
    <row r="14" spans="1:6" x14ac:dyDescent="0.25">
      <c r="A14" s="88" t="s">
        <v>17</v>
      </c>
      <c r="B14" s="88" t="s">
        <v>191</v>
      </c>
    </row>
    <row r="15" spans="1:6" x14ac:dyDescent="0.25">
      <c r="A15" s="88"/>
      <c r="B15" s="88"/>
    </row>
    <row r="16" spans="1:6" x14ac:dyDescent="0.25">
      <c r="A16" s="88" t="s">
        <v>189</v>
      </c>
      <c r="B16" s="88" t="s">
        <v>104</v>
      </c>
    </row>
    <row r="17" spans="1:2" x14ac:dyDescent="0.25">
      <c r="A17" s="81" t="s">
        <v>192</v>
      </c>
      <c r="B17" s="83" t="e">
        <v>#DIV/0!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theme="8" tint="-0.249977111117893"/>
  </sheetPr>
  <dimension ref="A1:F8"/>
  <sheetViews>
    <sheetView workbookViewId="0">
      <selection activeCell="F11" sqref="F11"/>
    </sheetView>
  </sheetViews>
  <sheetFormatPr baseColWidth="10" defaultColWidth="11.42578125" defaultRowHeight="15" x14ac:dyDescent="0.25"/>
  <cols>
    <col min="1" max="1" width="21" customWidth="1"/>
    <col min="2" max="2" width="23.28515625" customWidth="1"/>
    <col min="3" max="3" width="3.5703125" customWidth="1"/>
    <col min="4" max="4" width="6.28515625" customWidth="1"/>
    <col min="5" max="5" width="26.85546875" customWidth="1"/>
    <col min="6" max="6" width="23.85546875" customWidth="1"/>
    <col min="7" max="8" width="3.5703125" customWidth="1"/>
    <col min="9" max="9" width="12.5703125" customWidth="1"/>
    <col min="10" max="10" width="10.7109375" customWidth="1"/>
    <col min="11" max="11" width="6.140625" customWidth="1"/>
    <col min="12" max="13" width="9.7109375" customWidth="1"/>
    <col min="14" max="14" width="12.5703125" bestFit="1" customWidth="1"/>
  </cols>
  <sheetData>
    <row r="1" spans="1:6" x14ac:dyDescent="0.25">
      <c r="A1" s="13" t="s">
        <v>111</v>
      </c>
    </row>
    <row r="4" spans="1:6" ht="13.5" customHeight="1" x14ac:dyDescent="0.25">
      <c r="A4" s="93" t="s">
        <v>17</v>
      </c>
      <c r="B4" s="93" t="s">
        <v>191</v>
      </c>
    </row>
    <row r="5" spans="1:6" x14ac:dyDescent="0.25">
      <c r="A5" s="93" t="s">
        <v>59</v>
      </c>
      <c r="B5" s="93" t="s">
        <v>190</v>
      </c>
    </row>
    <row r="6" spans="1:6" x14ac:dyDescent="0.25">
      <c r="A6" s="93"/>
      <c r="B6" s="93"/>
      <c r="E6" s="93" t="s">
        <v>104</v>
      </c>
      <c r="F6" s="93" t="s">
        <v>194</v>
      </c>
    </row>
    <row r="7" spans="1:6" x14ac:dyDescent="0.25">
      <c r="A7" s="93" t="s">
        <v>189</v>
      </c>
      <c r="B7" s="93" t="s">
        <v>92</v>
      </c>
      <c r="E7" s="93" t="s">
        <v>189</v>
      </c>
      <c r="F7" s="93" t="s">
        <v>192</v>
      </c>
    </row>
    <row r="8" spans="1:6" x14ac:dyDescent="0.25">
      <c r="A8" s="81" t="s">
        <v>192</v>
      </c>
      <c r="B8" s="83" t="e">
        <v>#DIV/0!</v>
      </c>
      <c r="E8" s="81" t="s">
        <v>192</v>
      </c>
      <c r="F8" s="169" t="e">
        <v>#DIV/0!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tabColor theme="1"/>
  </sheetPr>
  <dimension ref="A1:J34"/>
  <sheetViews>
    <sheetView topLeftCell="C13" workbookViewId="0">
      <selection activeCell="O32" sqref="O32"/>
    </sheetView>
  </sheetViews>
  <sheetFormatPr baseColWidth="10" defaultColWidth="11.42578125" defaultRowHeight="15" x14ac:dyDescent="0.25"/>
  <cols>
    <col min="1" max="1" width="12.5703125" customWidth="1"/>
    <col min="2" max="2" width="21.85546875" customWidth="1"/>
    <col min="3" max="3" width="12.5703125" customWidth="1"/>
    <col min="4" max="4" width="23" customWidth="1"/>
    <col min="5" max="5" width="23.85546875" customWidth="1"/>
    <col min="6" max="6" width="9" customWidth="1"/>
    <col min="7" max="8" width="12.5703125" customWidth="1"/>
    <col min="9" max="9" width="23" customWidth="1"/>
    <col min="10" max="10" width="23.85546875" customWidth="1"/>
    <col min="11" max="11" width="9" customWidth="1"/>
    <col min="12" max="13" width="12.5703125" customWidth="1"/>
    <col min="14" max="14" width="23" bestFit="1" customWidth="1"/>
    <col min="15" max="15" width="18.42578125" customWidth="1"/>
    <col min="16" max="16" width="23" customWidth="1"/>
    <col min="17" max="17" width="23.42578125" bestFit="1" customWidth="1"/>
    <col min="18" max="18" width="28" bestFit="1" customWidth="1"/>
  </cols>
  <sheetData>
    <row r="1" spans="1:10" x14ac:dyDescent="0.25">
      <c r="A1" s="322" t="s">
        <v>112</v>
      </c>
      <c r="B1" s="322"/>
      <c r="I1" s="94" t="s">
        <v>60</v>
      </c>
      <c r="J1" s="94" t="s">
        <v>193</v>
      </c>
    </row>
    <row r="2" spans="1:10" x14ac:dyDescent="0.25">
      <c r="A2" s="7" t="s">
        <v>17</v>
      </c>
      <c r="B2" s="47" t="s">
        <v>191</v>
      </c>
    </row>
    <row r="3" spans="1:10" x14ac:dyDescent="0.25">
      <c r="D3" s="93" t="s">
        <v>166</v>
      </c>
      <c r="E3" s="93" t="s">
        <v>205</v>
      </c>
      <c r="F3" s="93"/>
      <c r="G3" s="93"/>
      <c r="I3" s="93" t="s">
        <v>344</v>
      </c>
      <c r="J3" s="94" t="s">
        <v>194</v>
      </c>
    </row>
    <row r="4" spans="1:10" x14ac:dyDescent="0.25">
      <c r="D4" s="93"/>
      <c r="E4" s="93"/>
      <c r="F4" s="93"/>
      <c r="G4" s="93"/>
      <c r="I4" s="93" t="s">
        <v>189</v>
      </c>
      <c r="J4" s="93" t="s">
        <v>192</v>
      </c>
    </row>
    <row r="5" spans="1:10" x14ac:dyDescent="0.25">
      <c r="D5" s="93" t="s">
        <v>60</v>
      </c>
      <c r="E5" s="93" t="s">
        <v>193</v>
      </c>
      <c r="F5" s="93"/>
      <c r="G5" s="93"/>
      <c r="I5" s="97" t="s">
        <v>192</v>
      </c>
      <c r="J5" s="252" t="e">
        <v>#DIV/0!</v>
      </c>
    </row>
    <row r="6" spans="1:10" x14ac:dyDescent="0.25">
      <c r="D6" s="93"/>
      <c r="E6" s="93"/>
      <c r="F6" s="93"/>
      <c r="G6" s="93"/>
    </row>
    <row r="7" spans="1:10" x14ac:dyDescent="0.25">
      <c r="D7" s="93" t="s">
        <v>344</v>
      </c>
      <c r="E7" s="251" t="s">
        <v>194</v>
      </c>
    </row>
    <row r="8" spans="1:10" x14ac:dyDescent="0.25">
      <c r="D8" s="93" t="s">
        <v>189</v>
      </c>
      <c r="E8" s="93" t="s">
        <v>192</v>
      </c>
    </row>
    <row r="9" spans="1:10" x14ac:dyDescent="0.25">
      <c r="D9" s="95" t="s">
        <v>192</v>
      </c>
      <c r="E9" s="96"/>
    </row>
    <row r="15" spans="1:10" x14ac:dyDescent="0.25">
      <c r="H15" s="171"/>
    </row>
    <row r="16" spans="1:10" x14ac:dyDescent="0.25">
      <c r="H16" s="171"/>
      <c r="I16" s="171"/>
      <c r="J16" s="171"/>
    </row>
    <row r="17" spans="1:10" x14ac:dyDescent="0.25">
      <c r="A17" s="47"/>
      <c r="B17" s="47"/>
      <c r="C17" s="171"/>
      <c r="H17" s="171"/>
      <c r="I17" s="171"/>
      <c r="J17" s="171"/>
    </row>
    <row r="18" spans="1:10" x14ac:dyDescent="0.25">
      <c r="C18" s="171"/>
    </row>
    <row r="22" spans="1:10" ht="15.75" thickBot="1" x14ac:dyDescent="0.3"/>
    <row r="23" spans="1:10" x14ac:dyDescent="0.25">
      <c r="D23" s="195" t="s">
        <v>212</v>
      </c>
      <c r="E23" s="196">
        <f>11/26</f>
        <v>0.42307692307692307</v>
      </c>
      <c r="F23" s="171"/>
      <c r="G23" s="171"/>
      <c r="H23" s="171"/>
      <c r="I23" s="171"/>
      <c r="J23" s="171"/>
    </row>
    <row r="24" spans="1:10" x14ac:dyDescent="0.25">
      <c r="D24" s="182" t="s">
        <v>251</v>
      </c>
      <c r="E24" s="177"/>
      <c r="F24" s="122"/>
      <c r="G24" s="122"/>
      <c r="H24" s="122"/>
      <c r="I24" s="122"/>
      <c r="J24" s="122"/>
    </row>
    <row r="25" spans="1:10" x14ac:dyDescent="0.25">
      <c r="D25" s="182" t="s">
        <v>209</v>
      </c>
      <c r="E25" s="177"/>
      <c r="F25" s="122"/>
      <c r="G25" s="122"/>
      <c r="H25" s="122"/>
      <c r="I25" s="122"/>
      <c r="J25" s="122"/>
    </row>
    <row r="26" spans="1:10" x14ac:dyDescent="0.25">
      <c r="D26" s="182" t="s">
        <v>210</v>
      </c>
      <c r="E26" s="177"/>
      <c r="F26" s="122"/>
      <c r="G26" s="122"/>
      <c r="H26" s="122"/>
      <c r="I26" s="122"/>
      <c r="J26" s="122"/>
    </row>
    <row r="27" spans="1:10" x14ac:dyDescent="0.25">
      <c r="D27" s="182" t="s">
        <v>211</v>
      </c>
      <c r="E27" s="177"/>
      <c r="F27" s="122"/>
      <c r="G27" s="122"/>
      <c r="H27" s="122"/>
      <c r="I27" s="122"/>
      <c r="J27" s="122"/>
    </row>
    <row r="28" spans="1:10" x14ac:dyDescent="0.25">
      <c r="D28" s="182" t="s">
        <v>253</v>
      </c>
      <c r="E28" s="177"/>
      <c r="F28" s="122"/>
      <c r="G28" s="122"/>
      <c r="H28" s="122"/>
      <c r="I28" s="122"/>
      <c r="J28" s="122"/>
    </row>
    <row r="29" spans="1:10" x14ac:dyDescent="0.25">
      <c r="D29" s="182" t="s">
        <v>254</v>
      </c>
      <c r="E29" s="177"/>
      <c r="F29" s="122"/>
      <c r="G29" s="122"/>
      <c r="H29" s="122"/>
      <c r="I29" s="122"/>
      <c r="J29" s="122"/>
    </row>
    <row r="30" spans="1:10" x14ac:dyDescent="0.25">
      <c r="D30" s="182" t="s">
        <v>255</v>
      </c>
      <c r="E30" s="177"/>
      <c r="F30" s="122"/>
      <c r="G30" s="122"/>
      <c r="H30" s="122"/>
      <c r="I30" s="122"/>
      <c r="J30" s="122"/>
    </row>
    <row r="31" spans="1:10" x14ac:dyDescent="0.25">
      <c r="D31" s="182" t="s">
        <v>256</v>
      </c>
      <c r="E31" s="177"/>
      <c r="F31" s="122"/>
      <c r="G31" s="122"/>
      <c r="H31" s="122"/>
      <c r="I31" s="122"/>
      <c r="J31" s="122"/>
    </row>
    <row r="32" spans="1:10" x14ac:dyDescent="0.25">
      <c r="D32" s="182" t="s">
        <v>257</v>
      </c>
      <c r="E32" s="177"/>
      <c r="F32" s="122"/>
      <c r="G32" s="122"/>
      <c r="H32" s="122"/>
      <c r="I32" s="122"/>
      <c r="J32" s="122"/>
    </row>
    <row r="33" spans="4:10" x14ac:dyDescent="0.25">
      <c r="D33" s="182" t="s">
        <v>258</v>
      </c>
      <c r="E33" s="177"/>
      <c r="F33" s="122"/>
      <c r="G33" s="122"/>
      <c r="H33" s="122"/>
      <c r="I33" s="122"/>
      <c r="J33" s="122"/>
    </row>
    <row r="34" spans="4:10" ht="15.75" thickBot="1" x14ac:dyDescent="0.3">
      <c r="D34" s="183" t="s">
        <v>259</v>
      </c>
      <c r="E34" s="178"/>
      <c r="F34" s="122"/>
      <c r="G34" s="122"/>
      <c r="H34" s="122"/>
      <c r="I34" s="122"/>
      <c r="J34" s="122"/>
    </row>
  </sheetData>
  <mergeCells count="1">
    <mergeCell ref="A1:B1"/>
  </mergeCells>
  <pageMargins left="0.7" right="0.7" top="0.75" bottom="0.75" header="0.3" footer="0.3"/>
  <drawing r:id="rId4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tabColor theme="1"/>
  </sheetPr>
  <dimension ref="A1:B23"/>
  <sheetViews>
    <sheetView workbookViewId="0">
      <selection activeCell="D31" sqref="D31"/>
    </sheetView>
  </sheetViews>
  <sheetFormatPr baseColWidth="10" defaultColWidth="11.42578125" defaultRowHeight="15" x14ac:dyDescent="0.25"/>
  <cols>
    <col min="1" max="1" width="21" customWidth="1"/>
    <col min="2" max="2" width="21.85546875" customWidth="1"/>
    <col min="3" max="3" width="21.28515625" customWidth="1"/>
    <col min="4" max="4" width="12.5703125" customWidth="1"/>
    <col min="5" max="5" width="23" customWidth="1"/>
    <col min="6" max="6" width="23.85546875" customWidth="1"/>
    <col min="7" max="7" width="7.28515625" customWidth="1"/>
    <col min="8" max="8" width="12.5703125" customWidth="1"/>
    <col min="9" max="9" width="15.42578125" customWidth="1"/>
    <col min="10" max="10" width="10.140625" customWidth="1"/>
    <col min="11" max="11" width="6.140625" customWidth="1"/>
    <col min="12" max="12" width="12.5703125" customWidth="1"/>
    <col min="13" max="13" width="23" bestFit="1" customWidth="1"/>
    <col min="14" max="14" width="18.42578125" bestFit="1" customWidth="1"/>
    <col min="15" max="15" width="23" bestFit="1" customWidth="1"/>
    <col min="16" max="16" width="18.42578125" customWidth="1"/>
    <col min="17" max="17" width="23" customWidth="1"/>
    <col min="18" max="18" width="23.42578125" bestFit="1" customWidth="1"/>
    <col min="19" max="19" width="28" bestFit="1" customWidth="1"/>
  </cols>
  <sheetData>
    <row r="1" spans="1:2" x14ac:dyDescent="0.25">
      <c r="A1" s="322" t="s">
        <v>113</v>
      </c>
      <c r="B1" s="322"/>
    </row>
    <row r="3" spans="1:2" x14ac:dyDescent="0.25">
      <c r="A3" s="93" t="s">
        <v>17</v>
      </c>
      <c r="B3" s="93" t="s">
        <v>191</v>
      </c>
    </row>
    <row r="4" spans="1:2" x14ac:dyDescent="0.25">
      <c r="A4" s="7" t="s">
        <v>60</v>
      </c>
      <c r="B4" s="47" t="s">
        <v>193</v>
      </c>
    </row>
    <row r="5" spans="1:2" x14ac:dyDescent="0.25">
      <c r="A5" s="93"/>
      <c r="B5" s="93"/>
    </row>
    <row r="6" spans="1:2" x14ac:dyDescent="0.25">
      <c r="A6" s="7" t="s">
        <v>189</v>
      </c>
      <c r="B6" s="93" t="s">
        <v>344</v>
      </c>
    </row>
    <row r="7" spans="1:2" x14ac:dyDescent="0.25">
      <c r="A7" s="95" t="s">
        <v>192</v>
      </c>
      <c r="B7" s="264" t="e">
        <v>#DIV/0!</v>
      </c>
    </row>
    <row r="19" spans="1:2" x14ac:dyDescent="0.25">
      <c r="A19" s="7" t="s">
        <v>333</v>
      </c>
      <c r="B19" s="47" t="s">
        <v>193</v>
      </c>
    </row>
    <row r="20" spans="1:2" x14ac:dyDescent="0.25">
      <c r="A20" s="7" t="s">
        <v>60</v>
      </c>
      <c r="B20" s="47" t="s">
        <v>191</v>
      </c>
    </row>
    <row r="21" spans="1:2" x14ac:dyDescent="0.25">
      <c r="A21" s="93"/>
      <c r="B21" s="93"/>
    </row>
    <row r="22" spans="1:2" x14ac:dyDescent="0.25">
      <c r="A22" s="93" t="s">
        <v>189</v>
      </c>
    </row>
    <row r="23" spans="1:2" x14ac:dyDescent="0.25">
      <c r="A23" s="95" t="s">
        <v>192</v>
      </c>
    </row>
  </sheetData>
  <mergeCells count="1">
    <mergeCell ref="A1:B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>
    <tabColor theme="3" tint="0.39997558519241921"/>
  </sheetPr>
  <dimension ref="A3:G29"/>
  <sheetViews>
    <sheetView workbookViewId="0">
      <selection activeCell="A3" sqref="A3:C15"/>
    </sheetView>
  </sheetViews>
  <sheetFormatPr baseColWidth="10" defaultRowHeight="15" x14ac:dyDescent="0.25"/>
  <cols>
    <col min="1" max="1" width="21" customWidth="1"/>
    <col min="2" max="2" width="23.85546875" customWidth="1"/>
    <col min="3" max="3" width="12.5703125" customWidth="1"/>
    <col min="4" max="4" width="12.5703125" bestFit="1" customWidth="1"/>
    <col min="6" max="6" width="21" customWidth="1"/>
    <col min="7" max="7" width="21.85546875" customWidth="1"/>
  </cols>
  <sheetData>
    <row r="3" spans="1:7" x14ac:dyDescent="0.25">
      <c r="A3" s="7" t="s">
        <v>279</v>
      </c>
      <c r="B3" s="7" t="s">
        <v>194</v>
      </c>
    </row>
    <row r="4" spans="1:7" x14ac:dyDescent="0.25">
      <c r="A4" s="7" t="s">
        <v>189</v>
      </c>
      <c r="B4" s="47" t="s">
        <v>284</v>
      </c>
      <c r="C4" s="47" t="s">
        <v>192</v>
      </c>
      <c r="F4" s="7" t="s">
        <v>60</v>
      </c>
      <c r="G4" s="47" t="s">
        <v>193</v>
      </c>
    </row>
    <row r="5" spans="1:7" x14ac:dyDescent="0.25">
      <c r="A5" s="5" t="s">
        <v>212</v>
      </c>
      <c r="B5" s="8">
        <v>27</v>
      </c>
      <c r="C5" s="8">
        <v>27</v>
      </c>
      <c r="F5" s="7" t="s">
        <v>8</v>
      </c>
      <c r="G5" s="47" t="s">
        <v>191</v>
      </c>
    </row>
    <row r="6" spans="1:7" x14ac:dyDescent="0.25">
      <c r="A6" s="5" t="s">
        <v>213</v>
      </c>
      <c r="B6" s="8">
        <v>29</v>
      </c>
      <c r="C6" s="8">
        <v>29</v>
      </c>
      <c r="F6" s="47"/>
      <c r="G6" s="47"/>
    </row>
    <row r="7" spans="1:7" x14ac:dyDescent="0.25">
      <c r="A7" s="5" t="s">
        <v>209</v>
      </c>
      <c r="B7" s="8">
        <v>30</v>
      </c>
      <c r="C7" s="8">
        <v>30</v>
      </c>
      <c r="F7" s="7" t="s">
        <v>189</v>
      </c>
      <c r="G7" t="s">
        <v>279</v>
      </c>
    </row>
    <row r="8" spans="1:7" x14ac:dyDescent="0.25">
      <c r="A8" s="5" t="s">
        <v>210</v>
      </c>
      <c r="B8" s="8">
        <v>29</v>
      </c>
      <c r="C8" s="8">
        <v>29</v>
      </c>
      <c r="F8" s="5" t="s">
        <v>284</v>
      </c>
      <c r="G8" s="134">
        <v>1</v>
      </c>
    </row>
    <row r="9" spans="1:7" x14ac:dyDescent="0.25">
      <c r="A9" s="5" t="s">
        <v>211</v>
      </c>
      <c r="B9" s="8">
        <v>32</v>
      </c>
      <c r="C9" s="8">
        <v>32</v>
      </c>
      <c r="F9" s="5" t="s">
        <v>192</v>
      </c>
      <c r="G9" s="134">
        <v>1</v>
      </c>
    </row>
    <row r="10" spans="1:7" x14ac:dyDescent="0.25">
      <c r="A10" s="5" t="s">
        <v>253</v>
      </c>
      <c r="B10" s="8">
        <v>21</v>
      </c>
      <c r="C10" s="8">
        <v>21</v>
      </c>
    </row>
    <row r="11" spans="1:7" x14ac:dyDescent="0.25">
      <c r="A11" s="5" t="s">
        <v>254</v>
      </c>
      <c r="B11" s="8">
        <v>13</v>
      </c>
      <c r="C11" s="8">
        <v>13</v>
      </c>
    </row>
    <row r="12" spans="1:7" x14ac:dyDescent="0.25">
      <c r="A12" s="5" t="s">
        <v>282</v>
      </c>
      <c r="B12" s="8">
        <v>20</v>
      </c>
      <c r="C12" s="8">
        <v>20</v>
      </c>
    </row>
    <row r="13" spans="1:7" x14ac:dyDescent="0.25">
      <c r="A13" s="5" t="s">
        <v>256</v>
      </c>
      <c r="B13" s="8">
        <v>25</v>
      </c>
      <c r="C13" s="8">
        <v>25</v>
      </c>
      <c r="E13" s="47"/>
      <c r="F13" s="47"/>
      <c r="G13" s="47"/>
    </row>
    <row r="14" spans="1:7" x14ac:dyDescent="0.25">
      <c r="A14" s="5" t="s">
        <v>257</v>
      </c>
      <c r="B14" s="8">
        <v>32</v>
      </c>
      <c r="C14" s="8">
        <v>32</v>
      </c>
    </row>
    <row r="15" spans="1:7" x14ac:dyDescent="0.25">
      <c r="A15" s="5" t="s">
        <v>192</v>
      </c>
      <c r="B15" s="8">
        <v>258</v>
      </c>
      <c r="C15" s="8">
        <v>258</v>
      </c>
    </row>
    <row r="17" spans="1:2" ht="15.75" thickBot="1" x14ac:dyDescent="0.3"/>
    <row r="18" spans="1:2" x14ac:dyDescent="0.25">
      <c r="A18" s="184" t="s">
        <v>212</v>
      </c>
      <c r="B18" s="179">
        <f>0/27</f>
        <v>0</v>
      </c>
    </row>
    <row r="19" spans="1:2" x14ac:dyDescent="0.25">
      <c r="A19" s="185" t="s">
        <v>251</v>
      </c>
      <c r="B19" s="180">
        <f>0/29</f>
        <v>0</v>
      </c>
    </row>
    <row r="20" spans="1:2" x14ac:dyDescent="0.25">
      <c r="A20" s="185" t="s">
        <v>209</v>
      </c>
      <c r="B20" s="180">
        <f>1/30</f>
        <v>3.3333333333333333E-2</v>
      </c>
    </row>
    <row r="21" spans="1:2" x14ac:dyDescent="0.25">
      <c r="A21" s="185" t="s">
        <v>210</v>
      </c>
      <c r="B21" s="180">
        <f>0/29</f>
        <v>0</v>
      </c>
    </row>
    <row r="22" spans="1:2" x14ac:dyDescent="0.25">
      <c r="A22" s="185" t="s">
        <v>211</v>
      </c>
      <c r="B22" s="180">
        <f>3/32</f>
        <v>9.375E-2</v>
      </c>
    </row>
    <row r="23" spans="1:2" x14ac:dyDescent="0.25">
      <c r="A23" s="185" t="s">
        <v>253</v>
      </c>
      <c r="B23" s="180">
        <f>1/21</f>
        <v>4.7619047619047616E-2</v>
      </c>
    </row>
    <row r="24" spans="1:2" x14ac:dyDescent="0.25">
      <c r="A24" s="185" t="s">
        <v>254</v>
      </c>
      <c r="B24" s="180">
        <f>0/13</f>
        <v>0</v>
      </c>
    </row>
    <row r="25" spans="1:2" x14ac:dyDescent="0.25">
      <c r="A25" s="185" t="s">
        <v>255</v>
      </c>
      <c r="B25" s="180">
        <f>0/20</f>
        <v>0</v>
      </c>
    </row>
    <row r="26" spans="1:2" x14ac:dyDescent="0.25">
      <c r="A26" s="185" t="s">
        <v>256</v>
      </c>
      <c r="B26" s="180">
        <f>0/25</f>
        <v>0</v>
      </c>
    </row>
    <row r="27" spans="1:2" x14ac:dyDescent="0.25">
      <c r="A27" s="185" t="s">
        <v>257</v>
      </c>
      <c r="B27" s="180"/>
    </row>
    <row r="28" spans="1:2" x14ac:dyDescent="0.25">
      <c r="A28" s="185" t="s">
        <v>258</v>
      </c>
      <c r="B28" s="180"/>
    </row>
    <row r="29" spans="1:2" ht="15.75" thickBot="1" x14ac:dyDescent="0.3">
      <c r="A29" s="186" t="s">
        <v>259</v>
      </c>
      <c r="B29" s="181"/>
    </row>
  </sheetData>
  <pageMargins left="0.7" right="0.7" top="0.75" bottom="0.75" header="0.3" footer="0.3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>
    <tabColor theme="3" tint="0.39997558519241921"/>
  </sheetPr>
  <dimension ref="A1"/>
  <sheetViews>
    <sheetView workbookViewId="0">
      <selection activeCell="Q12" sqref="Q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>
    <tabColor rgb="FF00B0F0"/>
  </sheetPr>
  <dimension ref="A3:G29"/>
  <sheetViews>
    <sheetView workbookViewId="0">
      <selection activeCell="M21" sqref="M21"/>
    </sheetView>
  </sheetViews>
  <sheetFormatPr baseColWidth="10" defaultRowHeight="15" x14ac:dyDescent="0.25"/>
  <cols>
    <col min="1" max="1" width="21" customWidth="1"/>
    <col min="2" max="2" width="23.85546875" customWidth="1"/>
    <col min="3" max="3" width="12.5703125" customWidth="1"/>
    <col min="4" max="4" width="12.5703125" bestFit="1" customWidth="1"/>
    <col min="6" max="6" width="21" customWidth="1"/>
    <col min="7" max="7" width="21.85546875" customWidth="1"/>
  </cols>
  <sheetData>
    <row r="3" spans="1:7" x14ac:dyDescent="0.25">
      <c r="A3" s="7" t="s">
        <v>281</v>
      </c>
      <c r="B3" s="7" t="s">
        <v>194</v>
      </c>
    </row>
    <row r="4" spans="1:7" x14ac:dyDescent="0.25">
      <c r="A4" s="7" t="s">
        <v>189</v>
      </c>
      <c r="B4" s="47" t="s">
        <v>284</v>
      </c>
      <c r="C4" s="47" t="s">
        <v>192</v>
      </c>
    </row>
    <row r="5" spans="1:7" x14ac:dyDescent="0.25">
      <c r="A5" s="5" t="s">
        <v>212</v>
      </c>
      <c r="B5" s="8">
        <v>27</v>
      </c>
      <c r="C5" s="8">
        <v>27</v>
      </c>
      <c r="F5" s="7" t="s">
        <v>8</v>
      </c>
      <c r="G5" s="47" t="s">
        <v>191</v>
      </c>
    </row>
    <row r="6" spans="1:7" x14ac:dyDescent="0.25">
      <c r="A6" s="5" t="s">
        <v>213</v>
      </c>
      <c r="B6" s="8">
        <v>29</v>
      </c>
      <c r="C6" s="8">
        <v>29</v>
      </c>
      <c r="F6" s="7" t="s">
        <v>60</v>
      </c>
      <c r="G6" s="47" t="s">
        <v>193</v>
      </c>
    </row>
    <row r="7" spans="1:7" x14ac:dyDescent="0.25">
      <c r="A7" s="5" t="s">
        <v>209</v>
      </c>
      <c r="B7" s="8">
        <v>30</v>
      </c>
      <c r="C7" s="8">
        <v>30</v>
      </c>
    </row>
    <row r="8" spans="1:7" x14ac:dyDescent="0.25">
      <c r="A8" s="5" t="s">
        <v>210</v>
      </c>
      <c r="B8" s="8">
        <v>29</v>
      </c>
      <c r="C8" s="8">
        <v>29</v>
      </c>
      <c r="F8" s="7" t="s">
        <v>189</v>
      </c>
      <c r="G8" t="s">
        <v>281</v>
      </c>
    </row>
    <row r="9" spans="1:7" x14ac:dyDescent="0.25">
      <c r="A9" s="5" t="s">
        <v>211</v>
      </c>
      <c r="B9" s="8">
        <v>32</v>
      </c>
      <c r="C9" s="8">
        <v>32</v>
      </c>
      <c r="F9" s="5" t="s">
        <v>284</v>
      </c>
      <c r="G9" s="158">
        <v>1</v>
      </c>
    </row>
    <row r="10" spans="1:7" x14ac:dyDescent="0.25">
      <c r="A10" s="5" t="s">
        <v>253</v>
      </c>
      <c r="B10" s="8">
        <v>21</v>
      </c>
      <c r="C10" s="8">
        <v>21</v>
      </c>
      <c r="F10" s="5" t="s">
        <v>192</v>
      </c>
      <c r="G10" s="158">
        <v>1</v>
      </c>
    </row>
    <row r="11" spans="1:7" x14ac:dyDescent="0.25">
      <c r="A11" s="5" t="s">
        <v>254</v>
      </c>
      <c r="B11" s="8">
        <v>13</v>
      </c>
      <c r="C11" s="8">
        <v>13</v>
      </c>
    </row>
    <row r="12" spans="1:7" x14ac:dyDescent="0.25">
      <c r="A12" s="5" t="s">
        <v>282</v>
      </c>
      <c r="B12" s="8">
        <v>20</v>
      </c>
      <c r="C12" s="8">
        <v>20</v>
      </c>
    </row>
    <row r="13" spans="1:7" x14ac:dyDescent="0.25">
      <c r="A13" s="5" t="s">
        <v>256</v>
      </c>
      <c r="B13" s="8">
        <v>25</v>
      </c>
      <c r="C13" s="8">
        <v>25</v>
      </c>
      <c r="D13" s="47"/>
      <c r="E13" s="47"/>
      <c r="F13" s="47"/>
      <c r="G13" s="47"/>
    </row>
    <row r="14" spans="1:7" x14ac:dyDescent="0.25">
      <c r="A14" s="5" t="s">
        <v>257</v>
      </c>
      <c r="B14" s="8">
        <v>32</v>
      </c>
      <c r="C14" s="8">
        <v>32</v>
      </c>
      <c r="D14" s="47"/>
      <c r="E14" s="47"/>
      <c r="F14" s="47"/>
      <c r="G14" s="47"/>
    </row>
    <row r="15" spans="1:7" x14ac:dyDescent="0.25">
      <c r="A15" s="5" t="s">
        <v>192</v>
      </c>
      <c r="B15" s="8">
        <v>258</v>
      </c>
      <c r="C15" s="8">
        <v>258</v>
      </c>
      <c r="D15" s="47"/>
      <c r="E15" s="47"/>
      <c r="F15" s="47"/>
      <c r="G15" s="47"/>
    </row>
    <row r="16" spans="1:7" x14ac:dyDescent="0.25">
      <c r="A16" s="5"/>
      <c r="B16" s="8"/>
      <c r="C16" s="8"/>
      <c r="D16" s="47"/>
      <c r="E16" s="47"/>
      <c r="F16" s="47"/>
      <c r="G16" s="47"/>
    </row>
    <row r="17" spans="1:7" ht="15.75" thickBot="1" x14ac:dyDescent="0.3">
      <c r="A17" s="170"/>
      <c r="B17" s="187"/>
      <c r="C17" s="187"/>
      <c r="D17" s="122"/>
      <c r="E17" s="122"/>
      <c r="F17" s="122"/>
      <c r="G17" s="122"/>
    </row>
    <row r="18" spans="1:7" x14ac:dyDescent="0.25">
      <c r="A18" s="188" t="s">
        <v>212</v>
      </c>
      <c r="B18" s="176">
        <f>0/27</f>
        <v>0</v>
      </c>
      <c r="C18" s="122"/>
      <c r="D18" s="122"/>
      <c r="E18" s="122"/>
      <c r="F18" s="122"/>
      <c r="G18" s="122"/>
    </row>
    <row r="19" spans="1:7" x14ac:dyDescent="0.25">
      <c r="A19" s="189" t="s">
        <v>251</v>
      </c>
      <c r="B19" s="177">
        <f>0/27</f>
        <v>0</v>
      </c>
      <c r="C19" s="122"/>
      <c r="D19" s="122"/>
      <c r="E19" s="122"/>
      <c r="F19" s="122"/>
      <c r="G19" s="122"/>
    </row>
    <row r="20" spans="1:7" x14ac:dyDescent="0.25">
      <c r="A20" s="189" t="s">
        <v>209</v>
      </c>
      <c r="B20" s="177">
        <f>0/30</f>
        <v>0</v>
      </c>
      <c r="C20" s="122"/>
      <c r="D20" s="122"/>
      <c r="E20" s="122"/>
      <c r="F20" s="122"/>
      <c r="G20" s="122"/>
    </row>
    <row r="21" spans="1:7" x14ac:dyDescent="0.25">
      <c r="A21" s="189" t="s">
        <v>210</v>
      </c>
      <c r="B21" s="177">
        <f>0/29</f>
        <v>0</v>
      </c>
      <c r="C21" s="122"/>
      <c r="D21" s="122"/>
      <c r="E21" s="122"/>
      <c r="F21" s="122"/>
      <c r="G21" s="122"/>
    </row>
    <row r="22" spans="1:7" x14ac:dyDescent="0.25">
      <c r="A22" s="189" t="s">
        <v>211</v>
      </c>
      <c r="B22" s="177">
        <f>0/32</f>
        <v>0</v>
      </c>
      <c r="C22" s="122"/>
      <c r="D22" s="122"/>
      <c r="E22" s="122"/>
      <c r="F22" s="122"/>
      <c r="G22" s="122"/>
    </row>
    <row r="23" spans="1:7" x14ac:dyDescent="0.25">
      <c r="A23" s="189" t="s">
        <v>253</v>
      </c>
      <c r="B23" s="177"/>
      <c r="C23" s="122"/>
      <c r="D23" s="122"/>
      <c r="E23" s="122"/>
      <c r="F23" s="122"/>
      <c r="G23" s="122"/>
    </row>
    <row r="24" spans="1:7" x14ac:dyDescent="0.25">
      <c r="A24" s="189" t="s">
        <v>254</v>
      </c>
      <c r="B24" s="177"/>
      <c r="C24" s="122"/>
      <c r="D24" s="122"/>
      <c r="E24" s="122"/>
      <c r="F24" s="122"/>
      <c r="G24" s="122"/>
    </row>
    <row r="25" spans="1:7" x14ac:dyDescent="0.25">
      <c r="A25" s="189" t="s">
        <v>255</v>
      </c>
      <c r="B25" s="177"/>
      <c r="C25" s="122"/>
      <c r="D25" s="122"/>
      <c r="E25" s="122"/>
      <c r="F25" s="122"/>
      <c r="G25" s="122"/>
    </row>
    <row r="26" spans="1:7" x14ac:dyDescent="0.25">
      <c r="A26" s="189" t="s">
        <v>256</v>
      </c>
      <c r="B26" s="177"/>
      <c r="C26" s="122"/>
      <c r="D26" s="122"/>
      <c r="E26" s="122"/>
      <c r="F26" s="122"/>
      <c r="G26" s="122"/>
    </row>
    <row r="27" spans="1:7" x14ac:dyDescent="0.25">
      <c r="A27" s="189" t="s">
        <v>257</v>
      </c>
      <c r="B27" s="177"/>
      <c r="C27" s="122"/>
      <c r="D27" s="122"/>
      <c r="E27" s="122"/>
      <c r="F27" s="122"/>
      <c r="G27" s="122"/>
    </row>
    <row r="28" spans="1:7" x14ac:dyDescent="0.25">
      <c r="A28" s="189" t="s">
        <v>258</v>
      </c>
      <c r="B28" s="177"/>
      <c r="C28" s="122"/>
      <c r="D28" s="122"/>
      <c r="E28" s="122"/>
      <c r="F28" s="122"/>
      <c r="G28" s="122"/>
    </row>
    <row r="29" spans="1:7" ht="15.75" thickBot="1" x14ac:dyDescent="0.3">
      <c r="A29" s="190" t="s">
        <v>259</v>
      </c>
      <c r="B29" s="178"/>
      <c r="C29" s="122"/>
      <c r="D29" s="122"/>
      <c r="E29" s="122"/>
      <c r="F29" s="122"/>
      <c r="G29" s="122"/>
    </row>
  </sheetData>
  <pageMargins left="0.7" right="0.7" top="0.75" bottom="0.75" header="0.3" footer="0.3"/>
  <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>
    <tabColor theme="5" tint="0.59999389629810485"/>
  </sheetPr>
  <dimension ref="A1:J55"/>
  <sheetViews>
    <sheetView topLeftCell="A28" workbookViewId="0">
      <selection activeCell="A33" sqref="A33:C38"/>
    </sheetView>
  </sheetViews>
  <sheetFormatPr baseColWidth="10" defaultColWidth="11.42578125" defaultRowHeight="15" x14ac:dyDescent="0.25"/>
  <cols>
    <col min="1" max="1" width="21" customWidth="1"/>
    <col min="2" max="2" width="27.85546875" customWidth="1"/>
    <col min="3" max="3" width="25.85546875" customWidth="1"/>
    <col min="4" max="6" width="6.42578125" customWidth="1"/>
    <col min="7" max="7" width="21" customWidth="1"/>
    <col min="8" max="8" width="27.85546875" customWidth="1"/>
    <col min="9" max="9" width="9.5703125" customWidth="1"/>
    <col min="10" max="11" width="12.5703125" customWidth="1"/>
    <col min="12" max="12" width="8" customWidth="1"/>
    <col min="13" max="13" width="12.5703125" bestFit="1" customWidth="1"/>
  </cols>
  <sheetData>
    <row r="1" spans="1:10" x14ac:dyDescent="0.25">
      <c r="D1" s="6"/>
      <c r="E1" s="6"/>
    </row>
    <row r="2" spans="1:10" x14ac:dyDescent="0.25">
      <c r="A2" s="7" t="s">
        <v>17</v>
      </c>
      <c r="B2" s="47" t="s">
        <v>191</v>
      </c>
      <c r="D2" s="6"/>
      <c r="E2" s="6"/>
      <c r="G2" s="7" t="s">
        <v>17</v>
      </c>
      <c r="H2" s="47" t="s">
        <v>191</v>
      </c>
    </row>
    <row r="3" spans="1:10" x14ac:dyDescent="0.25">
      <c r="A3" s="7" t="s">
        <v>60</v>
      </c>
      <c r="B3" s="47" t="s">
        <v>193</v>
      </c>
      <c r="D3" s="6"/>
      <c r="E3" s="6"/>
      <c r="G3" s="7" t="s">
        <v>60</v>
      </c>
      <c r="H3" s="47" t="s">
        <v>193</v>
      </c>
    </row>
    <row r="4" spans="1:10" x14ac:dyDescent="0.25">
      <c r="D4" s="6"/>
      <c r="E4" s="6"/>
    </row>
    <row r="5" spans="1:10" x14ac:dyDescent="0.25">
      <c r="B5" s="7" t="s">
        <v>87</v>
      </c>
      <c r="D5" s="6"/>
      <c r="E5" s="6"/>
      <c r="G5" s="7" t="s">
        <v>189</v>
      </c>
      <c r="H5" t="s">
        <v>345</v>
      </c>
    </row>
    <row r="6" spans="1:10" x14ac:dyDescent="0.25">
      <c r="A6" s="7" t="s">
        <v>189</v>
      </c>
      <c r="B6" s="47" t="s">
        <v>345</v>
      </c>
      <c r="C6" s="47" t="s">
        <v>105</v>
      </c>
      <c r="D6" s="6"/>
      <c r="E6" s="6"/>
      <c r="G6" s="5" t="s">
        <v>192</v>
      </c>
      <c r="H6" s="11" t="e">
        <v>#DIV/0!</v>
      </c>
    </row>
    <row r="7" spans="1:10" x14ac:dyDescent="0.25">
      <c r="A7" s="5" t="s">
        <v>192</v>
      </c>
      <c r="B7" s="8">
        <v>0</v>
      </c>
      <c r="C7" s="8">
        <v>0</v>
      </c>
      <c r="D7" s="41"/>
      <c r="E7" s="41"/>
    </row>
    <row r="8" spans="1:10" x14ac:dyDescent="0.25">
      <c r="D8" s="41"/>
      <c r="E8" s="41"/>
    </row>
    <row r="9" spans="1:10" x14ac:dyDescent="0.25">
      <c r="D9" s="41"/>
      <c r="E9" s="41"/>
    </row>
    <row r="10" spans="1:10" x14ac:dyDescent="0.25">
      <c r="D10" s="6"/>
      <c r="E10" s="6"/>
    </row>
    <row r="11" spans="1:10" x14ac:dyDescent="0.25">
      <c r="D11" s="6"/>
      <c r="E11" s="6"/>
    </row>
    <row r="12" spans="1:10" x14ac:dyDescent="0.25">
      <c r="D12" s="6"/>
      <c r="E12" s="6"/>
    </row>
    <row r="13" spans="1:10" x14ac:dyDescent="0.25">
      <c r="A13" s="325" t="s">
        <v>158</v>
      </c>
      <c r="B13" s="325"/>
      <c r="C13" s="325"/>
      <c r="D13" s="14"/>
      <c r="E13" s="14"/>
      <c r="G13" s="325" t="s">
        <v>172</v>
      </c>
      <c r="H13" s="325"/>
      <c r="I13" s="325"/>
      <c r="J13" s="325"/>
    </row>
    <row r="14" spans="1:10" x14ac:dyDescent="0.25">
      <c r="D14" s="6"/>
      <c r="E14" s="6"/>
    </row>
    <row r="15" spans="1:10" x14ac:dyDescent="0.25">
      <c r="A15" s="7" t="s">
        <v>17</v>
      </c>
      <c r="B15" s="47" t="s">
        <v>191</v>
      </c>
      <c r="D15" s="6"/>
      <c r="E15" s="6"/>
      <c r="G15" s="7" t="s">
        <v>60</v>
      </c>
      <c r="H15" s="47" t="s">
        <v>193</v>
      </c>
    </row>
    <row r="16" spans="1:10" x14ac:dyDescent="0.25">
      <c r="A16" s="7" t="s">
        <v>60</v>
      </c>
      <c r="B16" s="47" t="s">
        <v>193</v>
      </c>
      <c r="D16" s="6"/>
      <c r="E16" s="6"/>
    </row>
    <row r="17" spans="1:10" x14ac:dyDescent="0.25">
      <c r="D17" s="6"/>
      <c r="E17" s="6"/>
      <c r="G17" s="7" t="s">
        <v>345</v>
      </c>
      <c r="H17" s="7" t="s">
        <v>194</v>
      </c>
    </row>
    <row r="18" spans="1:10" x14ac:dyDescent="0.25">
      <c r="B18" s="7" t="s">
        <v>87</v>
      </c>
      <c r="D18" s="6"/>
      <c r="E18" s="6"/>
      <c r="G18" s="7" t="s">
        <v>189</v>
      </c>
      <c r="H18" s="47" t="s">
        <v>192</v>
      </c>
    </row>
    <row r="19" spans="1:10" x14ac:dyDescent="0.25">
      <c r="A19" s="7" t="s">
        <v>189</v>
      </c>
      <c r="B19" s="47" t="s">
        <v>345</v>
      </c>
      <c r="C19" s="47" t="s">
        <v>105</v>
      </c>
      <c r="D19" s="6"/>
      <c r="E19" s="6"/>
      <c r="G19" s="5" t="s">
        <v>192</v>
      </c>
      <c r="H19" s="11" t="e">
        <v>#DIV/0!</v>
      </c>
    </row>
    <row r="20" spans="1:10" x14ac:dyDescent="0.25">
      <c r="A20" s="5" t="s">
        <v>192</v>
      </c>
      <c r="B20" s="8">
        <v>0</v>
      </c>
      <c r="C20" s="8">
        <v>0</v>
      </c>
      <c r="D20" s="41"/>
      <c r="E20" s="41"/>
    </row>
    <row r="21" spans="1:10" x14ac:dyDescent="0.25">
      <c r="D21" s="41"/>
      <c r="E21" s="41"/>
    </row>
    <row r="22" spans="1:10" x14ac:dyDescent="0.25">
      <c r="D22" s="41"/>
      <c r="E22" s="41"/>
    </row>
    <row r="23" spans="1:10" x14ac:dyDescent="0.25">
      <c r="D23" s="6"/>
      <c r="E23" s="6"/>
    </row>
    <row r="24" spans="1:10" x14ac:dyDescent="0.25">
      <c r="D24" s="6"/>
      <c r="E24" s="6"/>
    </row>
    <row r="25" spans="1:10" x14ac:dyDescent="0.25">
      <c r="D25" s="14"/>
      <c r="E25" s="14"/>
    </row>
    <row r="26" spans="1:10" x14ac:dyDescent="0.25">
      <c r="D26" s="6"/>
      <c r="E26" s="6"/>
    </row>
    <row r="27" spans="1:10" x14ac:dyDescent="0.25">
      <c r="D27" s="6"/>
      <c r="E27" s="6"/>
    </row>
    <row r="28" spans="1:10" x14ac:dyDescent="0.25">
      <c r="D28" s="6"/>
      <c r="E28" s="6"/>
    </row>
    <row r="29" spans="1:10" x14ac:dyDescent="0.25">
      <c r="D29" s="6"/>
      <c r="E29" s="6"/>
    </row>
    <row r="30" spans="1:10" x14ac:dyDescent="0.25">
      <c r="D30" s="6"/>
      <c r="E30" s="6"/>
    </row>
    <row r="31" spans="1:10" x14ac:dyDescent="0.25">
      <c r="A31" s="326" t="s">
        <v>156</v>
      </c>
      <c r="B31" s="326"/>
      <c r="C31" s="326"/>
      <c r="D31" s="6"/>
      <c r="E31" s="6"/>
      <c r="G31" s="324" t="s">
        <v>171</v>
      </c>
      <c r="H31" s="324"/>
      <c r="I31" s="324"/>
      <c r="J31" s="324"/>
    </row>
    <row r="32" spans="1:10" x14ac:dyDescent="0.25">
      <c r="A32" s="93"/>
      <c r="B32" s="93"/>
      <c r="C32" s="93"/>
      <c r="D32" s="41"/>
      <c r="E32" s="41"/>
      <c r="G32" s="93" t="s">
        <v>60</v>
      </c>
      <c r="H32" s="93" t="s">
        <v>193</v>
      </c>
      <c r="I32" s="93"/>
      <c r="J32" s="93"/>
    </row>
    <row r="33" spans="1:10" x14ac:dyDescent="0.25">
      <c r="A33" s="93" t="s">
        <v>17</v>
      </c>
      <c r="B33" s="93" t="s">
        <v>232</v>
      </c>
      <c r="C33" s="93"/>
      <c r="D33" s="41"/>
      <c r="E33" s="41"/>
      <c r="G33" s="93"/>
      <c r="H33" s="93"/>
      <c r="I33" s="93"/>
      <c r="J33" s="93"/>
    </row>
    <row r="34" spans="1:10" x14ac:dyDescent="0.25">
      <c r="A34" s="93" t="s">
        <v>60</v>
      </c>
      <c r="B34" s="93" t="s">
        <v>193</v>
      </c>
      <c r="C34" s="93"/>
      <c r="D34" s="41"/>
      <c r="E34" s="41"/>
      <c r="G34" s="93" t="s">
        <v>345</v>
      </c>
      <c r="H34" s="93" t="s">
        <v>194</v>
      </c>
    </row>
    <row r="35" spans="1:10" x14ac:dyDescent="0.25">
      <c r="A35" s="93"/>
      <c r="B35" s="93"/>
      <c r="C35" s="93"/>
      <c r="D35" s="6"/>
      <c r="E35" s="6"/>
      <c r="G35" s="93" t="s">
        <v>189</v>
      </c>
      <c r="H35" s="93" t="s">
        <v>192</v>
      </c>
    </row>
    <row r="36" spans="1:10" x14ac:dyDescent="0.25">
      <c r="A36" s="94"/>
      <c r="B36" s="94" t="s">
        <v>87</v>
      </c>
      <c r="C36" s="94"/>
      <c r="D36" s="14"/>
      <c r="E36" s="14"/>
      <c r="G36" s="99" t="s">
        <v>192</v>
      </c>
      <c r="H36" s="253" t="e">
        <v>#DIV/0!</v>
      </c>
    </row>
    <row r="37" spans="1:10" x14ac:dyDescent="0.25">
      <c r="A37" s="94" t="s">
        <v>189</v>
      </c>
      <c r="B37" s="94" t="s">
        <v>345</v>
      </c>
      <c r="C37" s="94" t="s">
        <v>105</v>
      </c>
      <c r="D37" s="6"/>
      <c r="E37" s="6"/>
    </row>
    <row r="38" spans="1:10" x14ac:dyDescent="0.25">
      <c r="A38" s="97" t="s">
        <v>192</v>
      </c>
      <c r="B38" s="98">
        <v>0</v>
      </c>
      <c r="C38" s="98">
        <v>0</v>
      </c>
      <c r="D38" s="6"/>
      <c r="E38" s="6"/>
    </row>
    <row r="39" spans="1:10" x14ac:dyDescent="0.25">
      <c r="D39" s="6"/>
      <c r="E39" s="6"/>
    </row>
    <row r="40" spans="1:10" x14ac:dyDescent="0.25">
      <c r="D40" s="6"/>
      <c r="E40" s="6"/>
    </row>
    <row r="41" spans="1:10" x14ac:dyDescent="0.25">
      <c r="D41" s="6"/>
      <c r="E41" s="6"/>
    </row>
    <row r="42" spans="1:10" x14ac:dyDescent="0.25">
      <c r="D42" s="6"/>
      <c r="E42" s="6"/>
    </row>
    <row r="43" spans="1:10" x14ac:dyDescent="0.25">
      <c r="D43" s="41"/>
      <c r="E43" s="41"/>
    </row>
    <row r="44" spans="1:10" x14ac:dyDescent="0.25">
      <c r="D44" s="41"/>
      <c r="E44" s="41"/>
    </row>
    <row r="45" spans="1:10" x14ac:dyDescent="0.25">
      <c r="D45" s="41"/>
      <c r="E45" s="41"/>
    </row>
    <row r="46" spans="1:10" x14ac:dyDescent="0.25">
      <c r="D46" s="6"/>
      <c r="E46" s="6"/>
    </row>
    <row r="47" spans="1:10" x14ac:dyDescent="0.25">
      <c r="A47" s="323" t="s">
        <v>157</v>
      </c>
      <c r="B47" s="323"/>
      <c r="C47" s="323"/>
      <c r="D47" s="6"/>
      <c r="E47" s="6"/>
    </row>
    <row r="48" spans="1:10" x14ac:dyDescent="0.25">
      <c r="D48" s="6"/>
      <c r="E48" s="6"/>
    </row>
    <row r="49" spans="1:10" x14ac:dyDescent="0.25">
      <c r="A49" s="7" t="s">
        <v>17</v>
      </c>
      <c r="B49" s="47" t="s">
        <v>191</v>
      </c>
      <c r="D49" s="6"/>
      <c r="E49" s="6"/>
    </row>
    <row r="50" spans="1:10" x14ac:dyDescent="0.25">
      <c r="A50" s="7" t="s">
        <v>60</v>
      </c>
      <c r="B50" s="47" t="s">
        <v>191</v>
      </c>
      <c r="D50" s="6"/>
      <c r="E50" s="6"/>
      <c r="G50" s="39" t="s">
        <v>173</v>
      </c>
      <c r="H50" s="39"/>
      <c r="I50" s="39"/>
      <c r="J50" s="40"/>
    </row>
    <row r="51" spans="1:10" x14ac:dyDescent="0.25">
      <c r="D51" s="6"/>
      <c r="E51" s="6"/>
      <c r="G51" s="7" t="s">
        <v>60</v>
      </c>
      <c r="H51" s="47" t="s">
        <v>191</v>
      </c>
    </row>
    <row r="52" spans="1:10" x14ac:dyDescent="0.25">
      <c r="B52" s="7" t="s">
        <v>87</v>
      </c>
      <c r="D52" s="6"/>
      <c r="E52" s="6"/>
    </row>
    <row r="53" spans="1:10" x14ac:dyDescent="0.25">
      <c r="A53" s="7" t="s">
        <v>189</v>
      </c>
      <c r="B53" s="47" t="s">
        <v>345</v>
      </c>
      <c r="C53" s="47" t="s">
        <v>105</v>
      </c>
      <c r="D53" s="6"/>
      <c r="E53" s="6"/>
      <c r="G53" s="7" t="s">
        <v>345</v>
      </c>
      <c r="H53" s="7" t="s">
        <v>194</v>
      </c>
    </row>
    <row r="54" spans="1:10" x14ac:dyDescent="0.25">
      <c r="A54" s="5" t="s">
        <v>192</v>
      </c>
      <c r="B54" s="8">
        <v>0</v>
      </c>
      <c r="C54" s="8">
        <v>0</v>
      </c>
      <c r="D54" s="6"/>
      <c r="E54" s="6"/>
      <c r="G54" s="7" t="s">
        <v>189</v>
      </c>
      <c r="H54" s="47" t="s">
        <v>192</v>
      </c>
    </row>
    <row r="55" spans="1:10" x14ac:dyDescent="0.25">
      <c r="D55" s="6"/>
      <c r="E55" s="6"/>
      <c r="G55" s="5" t="s">
        <v>192</v>
      </c>
      <c r="H55" s="11" t="e">
        <v>#DIV/0!</v>
      </c>
    </row>
  </sheetData>
  <mergeCells count="5">
    <mergeCell ref="A47:C47"/>
    <mergeCell ref="G31:J31"/>
    <mergeCell ref="G13:J13"/>
    <mergeCell ref="A13:C13"/>
    <mergeCell ref="A31:C3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>
    <tabColor theme="5" tint="0.59999389629810485"/>
  </sheetPr>
  <dimension ref="A1:L42"/>
  <sheetViews>
    <sheetView topLeftCell="A22" workbookViewId="0">
      <selection activeCell="K24" sqref="K24"/>
    </sheetView>
  </sheetViews>
  <sheetFormatPr baseColWidth="10" defaultColWidth="11.42578125" defaultRowHeight="15" x14ac:dyDescent="0.25"/>
  <cols>
    <col min="1" max="1" width="21" customWidth="1"/>
    <col min="2" max="2" width="27.85546875" customWidth="1"/>
    <col min="3" max="3" width="4.5703125" customWidth="1"/>
    <col min="4" max="4" width="12.5703125" customWidth="1"/>
    <col min="5" max="5" width="4.5703125" customWidth="1"/>
    <col min="6" max="6" width="21" customWidth="1"/>
    <col min="7" max="7" width="27.85546875" customWidth="1"/>
    <col min="8" max="8" width="8.140625" customWidth="1"/>
    <col min="9" max="9" width="11.140625" customWidth="1"/>
    <col min="10" max="10" width="5" customWidth="1"/>
    <col min="11" max="11" width="21" customWidth="1"/>
    <col min="12" max="12" width="27.7109375" customWidth="1"/>
  </cols>
  <sheetData>
    <row r="1" spans="1:12" x14ac:dyDescent="0.25">
      <c r="A1" s="322" t="s">
        <v>115</v>
      </c>
      <c r="B1" s="322"/>
      <c r="C1" s="322"/>
      <c r="D1" s="322"/>
      <c r="E1" s="322"/>
      <c r="F1" s="322"/>
      <c r="G1" s="322"/>
      <c r="H1" s="322"/>
    </row>
    <row r="4" spans="1:12" x14ac:dyDescent="0.25">
      <c r="A4" s="7" t="s">
        <v>17</v>
      </c>
      <c r="B4" s="47" t="s">
        <v>191</v>
      </c>
      <c r="F4" s="7" t="s">
        <v>17</v>
      </c>
      <c r="G4" s="47" t="s">
        <v>191</v>
      </c>
      <c r="K4" s="5" t="s">
        <v>107</v>
      </c>
    </row>
    <row r="5" spans="1:12" x14ac:dyDescent="0.25">
      <c r="A5" s="7" t="s">
        <v>60</v>
      </c>
      <c r="B5" s="47" t="s">
        <v>193</v>
      </c>
      <c r="F5" s="7" t="s">
        <v>60</v>
      </c>
      <c r="G5" s="47" t="s">
        <v>193</v>
      </c>
    </row>
    <row r="6" spans="1:12" x14ac:dyDescent="0.25">
      <c r="K6" s="7" t="s">
        <v>60</v>
      </c>
      <c r="L6" s="47" t="s">
        <v>193</v>
      </c>
    </row>
    <row r="7" spans="1:12" x14ac:dyDescent="0.25">
      <c r="A7" s="7" t="s">
        <v>189</v>
      </c>
      <c r="B7" t="s">
        <v>345</v>
      </c>
      <c r="F7" s="7" t="s">
        <v>189</v>
      </c>
      <c r="G7" t="s">
        <v>345</v>
      </c>
    </row>
    <row r="8" spans="1:12" x14ac:dyDescent="0.25">
      <c r="A8" s="5" t="s">
        <v>192</v>
      </c>
      <c r="B8" s="11" t="e">
        <v>#DIV/0!</v>
      </c>
      <c r="F8" s="5" t="s">
        <v>192</v>
      </c>
      <c r="G8" s="11" t="e">
        <v>#DIV/0!</v>
      </c>
      <c r="K8" s="7" t="s">
        <v>189</v>
      </c>
      <c r="L8" t="s">
        <v>106</v>
      </c>
    </row>
    <row r="9" spans="1:12" x14ac:dyDescent="0.25">
      <c r="K9" s="5" t="s">
        <v>192</v>
      </c>
      <c r="L9" s="137">
        <v>0</v>
      </c>
    </row>
    <row r="12" spans="1:12" x14ac:dyDescent="0.25">
      <c r="F12" s="5"/>
      <c r="G12" s="11"/>
    </row>
    <row r="13" spans="1:12" x14ac:dyDescent="0.25">
      <c r="F13" s="170" t="s">
        <v>270</v>
      </c>
      <c r="G13" s="122"/>
    </row>
    <row r="14" spans="1:12" x14ac:dyDescent="0.25">
      <c r="A14" s="5" t="s">
        <v>107</v>
      </c>
      <c r="F14" s="122" t="s">
        <v>17</v>
      </c>
      <c r="G14" s="122" t="s">
        <v>191</v>
      </c>
    </row>
    <row r="15" spans="1:12" x14ac:dyDescent="0.25">
      <c r="F15" s="122" t="s">
        <v>60</v>
      </c>
      <c r="G15" s="122" t="s">
        <v>193</v>
      </c>
    </row>
    <row r="16" spans="1:12" x14ac:dyDescent="0.25">
      <c r="A16" s="7" t="s">
        <v>60</v>
      </c>
      <c r="B16" s="47" t="s">
        <v>193</v>
      </c>
    </row>
    <row r="17" spans="1:12" x14ac:dyDescent="0.25">
      <c r="F17" s="7" t="s">
        <v>189</v>
      </c>
      <c r="G17" t="s">
        <v>345</v>
      </c>
    </row>
    <row r="18" spans="1:12" x14ac:dyDescent="0.25">
      <c r="A18" s="7" t="s">
        <v>189</v>
      </c>
      <c r="B18" t="s">
        <v>106</v>
      </c>
      <c r="F18" s="5" t="s">
        <v>192</v>
      </c>
      <c r="G18" s="11" t="e">
        <v>#DIV/0!</v>
      </c>
    </row>
    <row r="19" spans="1:12" x14ac:dyDescent="0.25">
      <c r="A19" s="5" t="s">
        <v>192</v>
      </c>
      <c r="B19" s="137">
        <v>0</v>
      </c>
    </row>
    <row r="22" spans="1:12" x14ac:dyDescent="0.25">
      <c r="F22" s="5"/>
      <c r="G22" s="11"/>
      <c r="K22" s="7" t="s">
        <v>60</v>
      </c>
      <c r="L22" s="47" t="s">
        <v>193</v>
      </c>
    </row>
    <row r="23" spans="1:12" x14ac:dyDescent="0.25">
      <c r="F23" s="5"/>
      <c r="G23" s="11"/>
      <c r="K23" s="5" t="s">
        <v>347</v>
      </c>
    </row>
    <row r="24" spans="1:12" x14ac:dyDescent="0.25">
      <c r="K24" s="7" t="s">
        <v>189</v>
      </c>
      <c r="L24" t="s">
        <v>106</v>
      </c>
    </row>
    <row r="25" spans="1:12" x14ac:dyDescent="0.25">
      <c r="F25" s="7" t="s">
        <v>17</v>
      </c>
      <c r="G25" s="47" t="s">
        <v>191</v>
      </c>
      <c r="K25" s="5" t="s">
        <v>192</v>
      </c>
      <c r="L25" s="137">
        <v>0</v>
      </c>
    </row>
    <row r="26" spans="1:12" x14ac:dyDescent="0.25">
      <c r="F26" s="7" t="s">
        <v>60</v>
      </c>
      <c r="G26" s="47" t="s">
        <v>191</v>
      </c>
    </row>
    <row r="28" spans="1:12" x14ac:dyDescent="0.25">
      <c r="F28" s="7" t="s">
        <v>189</v>
      </c>
      <c r="G28" t="s">
        <v>345</v>
      </c>
    </row>
    <row r="29" spans="1:12" x14ac:dyDescent="0.25">
      <c r="F29" s="5" t="s">
        <v>192</v>
      </c>
      <c r="G29" s="11" t="e">
        <v>#DIV/0!</v>
      </c>
    </row>
    <row r="38" spans="11:12" x14ac:dyDescent="0.25">
      <c r="K38" s="5" t="s">
        <v>107</v>
      </c>
    </row>
    <row r="39" spans="11:12" x14ac:dyDescent="0.25">
      <c r="K39" s="7" t="s">
        <v>60</v>
      </c>
      <c r="L39" s="47" t="s">
        <v>191</v>
      </c>
    </row>
    <row r="40" spans="11:12" x14ac:dyDescent="0.25">
      <c r="K40" t="s">
        <v>206</v>
      </c>
    </row>
    <row r="41" spans="11:12" x14ac:dyDescent="0.25">
      <c r="K41" s="7" t="s">
        <v>189</v>
      </c>
      <c r="L41" t="s">
        <v>106</v>
      </c>
    </row>
    <row r="42" spans="11:12" x14ac:dyDescent="0.25">
      <c r="K42" s="5" t="s">
        <v>192</v>
      </c>
      <c r="L42" s="137">
        <v>0</v>
      </c>
    </row>
  </sheetData>
  <mergeCells count="1">
    <mergeCell ref="A1:H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>
    <tabColor theme="6" tint="0.39997558519241921"/>
  </sheetPr>
  <dimension ref="A1:M26"/>
  <sheetViews>
    <sheetView topLeftCell="I1" workbookViewId="0">
      <selection activeCell="S26" sqref="S26"/>
    </sheetView>
  </sheetViews>
  <sheetFormatPr baseColWidth="10" defaultColWidth="11.42578125" defaultRowHeight="15" x14ac:dyDescent="0.25"/>
  <cols>
    <col min="1" max="1" width="19.5703125" customWidth="1"/>
    <col min="2" max="2" width="21.85546875" customWidth="1"/>
    <col min="3" max="3" width="24.28515625" customWidth="1"/>
    <col min="4" max="4" width="6.28515625" customWidth="1"/>
    <col min="5" max="5" width="21" customWidth="1"/>
    <col min="6" max="6" width="8.85546875" customWidth="1"/>
    <col min="7" max="7" width="11.28515625" customWidth="1"/>
    <col min="8" max="9" width="12.5703125" customWidth="1"/>
    <col min="10" max="10" width="27.85546875" customWidth="1"/>
    <col min="11" max="11" width="23.85546875" customWidth="1"/>
    <col min="12" max="12" width="11.28515625" customWidth="1"/>
    <col min="13" max="14" width="12.5703125" customWidth="1"/>
    <col min="15" max="17" width="14.28515625" customWidth="1"/>
    <col min="18" max="18" width="8.85546875" customWidth="1"/>
    <col min="19" max="19" width="12.5703125" customWidth="1"/>
    <col min="20" max="20" width="16.140625" bestFit="1" customWidth="1"/>
    <col min="21" max="21" width="19.28515625" bestFit="1" customWidth="1"/>
    <col min="22" max="22" width="16.140625" bestFit="1" customWidth="1"/>
    <col min="23" max="23" width="19.28515625" bestFit="1" customWidth="1"/>
    <col min="24" max="24" width="16.140625" bestFit="1" customWidth="1"/>
    <col min="25" max="25" width="19.28515625" bestFit="1" customWidth="1"/>
    <col min="26" max="26" width="8.140625" customWidth="1"/>
    <col min="27" max="27" width="11.140625" customWidth="1"/>
    <col min="28" max="28" width="10.7109375" customWidth="1"/>
    <col min="29" max="29" width="13.7109375" bestFit="1" customWidth="1"/>
    <col min="30" max="30" width="16.140625" bestFit="1" customWidth="1"/>
    <col min="31" max="31" width="19.28515625" bestFit="1" customWidth="1"/>
    <col min="32" max="32" width="12.5703125" bestFit="1" customWidth="1"/>
  </cols>
  <sheetData>
    <row r="1" spans="1:11" x14ac:dyDescent="0.25">
      <c r="A1" s="322" t="s">
        <v>114</v>
      </c>
      <c r="B1" s="322"/>
      <c r="C1" s="322"/>
    </row>
    <row r="2" spans="1:11" x14ac:dyDescent="0.25">
      <c r="A2" s="14"/>
      <c r="B2" s="14"/>
      <c r="C2" s="14"/>
      <c r="J2" s="122" t="s">
        <v>283</v>
      </c>
    </row>
    <row r="3" spans="1:11" x14ac:dyDescent="0.25">
      <c r="A3" s="7" t="s">
        <v>17</v>
      </c>
      <c r="B3" s="47" t="s">
        <v>191</v>
      </c>
      <c r="C3" s="14"/>
      <c r="E3" s="323" t="s">
        <v>161</v>
      </c>
      <c r="F3" s="323"/>
      <c r="G3" s="323"/>
      <c r="H3" s="323"/>
      <c r="J3" s="7" t="s">
        <v>60</v>
      </c>
      <c r="K3" s="47" t="s">
        <v>193</v>
      </c>
    </row>
    <row r="4" spans="1:11" x14ac:dyDescent="0.25">
      <c r="A4" s="7" t="s">
        <v>60</v>
      </c>
      <c r="B4" s="47" t="s">
        <v>193</v>
      </c>
    </row>
    <row r="5" spans="1:11" x14ac:dyDescent="0.25">
      <c r="E5" s="7" t="s">
        <v>189</v>
      </c>
      <c r="J5" s="7" t="s">
        <v>346</v>
      </c>
      <c r="K5" s="7" t="s">
        <v>194</v>
      </c>
    </row>
    <row r="6" spans="1:11" x14ac:dyDescent="0.25">
      <c r="A6" t="s">
        <v>108</v>
      </c>
      <c r="E6" s="5" t="s">
        <v>192</v>
      </c>
      <c r="J6" s="7" t="s">
        <v>189</v>
      </c>
      <c r="K6" s="47" t="s">
        <v>192</v>
      </c>
    </row>
    <row r="7" spans="1:11" x14ac:dyDescent="0.25">
      <c r="A7" s="8">
        <v>0</v>
      </c>
      <c r="J7" s="5" t="s">
        <v>192</v>
      </c>
      <c r="K7" s="11" t="e">
        <v>#DIV/0!</v>
      </c>
    </row>
    <row r="12" spans="1:11" x14ac:dyDescent="0.25">
      <c r="A12" t="s">
        <v>161</v>
      </c>
    </row>
    <row r="13" spans="1:11" x14ac:dyDescent="0.25">
      <c r="A13" s="7" t="s">
        <v>17</v>
      </c>
      <c r="B13" s="47" t="s">
        <v>191</v>
      </c>
    </row>
    <row r="14" spans="1:11" x14ac:dyDescent="0.25">
      <c r="A14" s="7" t="s">
        <v>60</v>
      </c>
      <c r="B14" s="47" t="s">
        <v>193</v>
      </c>
    </row>
    <row r="16" spans="1:11" x14ac:dyDescent="0.25">
      <c r="E16" s="326" t="s">
        <v>160</v>
      </c>
      <c r="F16" s="326"/>
      <c r="G16" s="326"/>
      <c r="H16" s="326"/>
    </row>
    <row r="17" spans="1:13" x14ac:dyDescent="0.25">
      <c r="E17" s="93"/>
      <c r="F17" s="93"/>
      <c r="G17" s="93"/>
      <c r="H17" s="93"/>
    </row>
    <row r="18" spans="1:13" x14ac:dyDescent="0.25">
      <c r="E18" s="93" t="s">
        <v>60</v>
      </c>
      <c r="F18" s="93" t="s">
        <v>193</v>
      </c>
      <c r="G18" s="93"/>
      <c r="H18" s="93"/>
    </row>
    <row r="19" spans="1:13" x14ac:dyDescent="0.25">
      <c r="E19" s="93"/>
      <c r="F19" s="93"/>
      <c r="G19" s="93"/>
      <c r="H19" s="93"/>
    </row>
    <row r="20" spans="1:13" x14ac:dyDescent="0.25">
      <c r="E20" s="93" t="s">
        <v>189</v>
      </c>
      <c r="J20" s="323" t="s">
        <v>159</v>
      </c>
      <c r="K20" s="323"/>
      <c r="L20" s="323"/>
      <c r="M20" s="323"/>
    </row>
    <row r="21" spans="1:13" x14ac:dyDescent="0.25">
      <c r="A21" t="s">
        <v>160</v>
      </c>
      <c r="E21" s="97" t="s">
        <v>192</v>
      </c>
    </row>
    <row r="22" spans="1:13" x14ac:dyDescent="0.25">
      <c r="A22" s="7" t="s">
        <v>17</v>
      </c>
      <c r="B22" s="47" t="s">
        <v>191</v>
      </c>
      <c r="J22" s="7" t="s">
        <v>60</v>
      </c>
      <c r="K22" s="47" t="s">
        <v>191</v>
      </c>
    </row>
    <row r="23" spans="1:13" x14ac:dyDescent="0.25">
      <c r="A23" s="7" t="s">
        <v>60</v>
      </c>
      <c r="B23" s="47" t="s">
        <v>193</v>
      </c>
    </row>
    <row r="24" spans="1:13" x14ac:dyDescent="0.25">
      <c r="J24" s="7" t="s">
        <v>346</v>
      </c>
      <c r="K24" s="7" t="s">
        <v>194</v>
      </c>
    </row>
    <row r="25" spans="1:13" x14ac:dyDescent="0.25">
      <c r="J25" s="7" t="s">
        <v>189</v>
      </c>
      <c r="K25" s="47" t="s">
        <v>192</v>
      </c>
    </row>
    <row r="26" spans="1:13" x14ac:dyDescent="0.25">
      <c r="J26" s="5" t="s">
        <v>192</v>
      </c>
      <c r="K26" s="8"/>
    </row>
  </sheetData>
  <mergeCells count="4">
    <mergeCell ref="A1:C1"/>
    <mergeCell ref="J20:M20"/>
    <mergeCell ref="E16:H16"/>
    <mergeCell ref="E3:H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>
    <tabColor theme="6" tint="0.39997558519241921"/>
  </sheetPr>
  <dimension ref="A1:H25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21" customWidth="1"/>
    <col min="2" max="2" width="27.85546875" customWidth="1"/>
    <col min="3" max="3" width="26" customWidth="1"/>
    <col min="4" max="4" width="12.5703125" customWidth="1"/>
    <col min="5" max="5" width="4.5703125" customWidth="1"/>
    <col min="6" max="6" width="12.5703125" customWidth="1"/>
    <col min="7" max="7" width="30.85546875" customWidth="1"/>
    <col min="8" max="8" width="8.140625" customWidth="1"/>
    <col min="9" max="9" width="11.140625" customWidth="1"/>
    <col min="10" max="10" width="5" customWidth="1"/>
    <col min="11" max="11" width="8" customWidth="1"/>
    <col min="12" max="12" width="12.5703125" bestFit="1" customWidth="1"/>
  </cols>
  <sheetData>
    <row r="1" spans="1:8" x14ac:dyDescent="0.25">
      <c r="A1" s="322" t="s">
        <v>170</v>
      </c>
      <c r="B1" s="322"/>
      <c r="C1" s="322"/>
      <c r="D1" s="322"/>
      <c r="E1" s="322"/>
      <c r="F1" s="322"/>
      <c r="G1" s="322"/>
      <c r="H1" s="322"/>
    </row>
    <row r="3" spans="1:8" x14ac:dyDescent="0.25">
      <c r="A3" s="122" t="s">
        <v>283</v>
      </c>
    </row>
    <row r="4" spans="1:8" x14ac:dyDescent="0.25">
      <c r="A4" s="7" t="s">
        <v>17</v>
      </c>
      <c r="B4" s="47" t="s">
        <v>191</v>
      </c>
    </row>
    <row r="5" spans="1:8" x14ac:dyDescent="0.25">
      <c r="A5" s="7" t="s">
        <v>60</v>
      </c>
      <c r="B5" s="47" t="s">
        <v>193</v>
      </c>
    </row>
    <row r="7" spans="1:8" x14ac:dyDescent="0.25">
      <c r="A7" s="7" t="s">
        <v>189</v>
      </c>
      <c r="B7" t="s">
        <v>346</v>
      </c>
    </row>
    <row r="8" spans="1:8" x14ac:dyDescent="0.25">
      <c r="A8" s="5" t="s">
        <v>192</v>
      </c>
      <c r="B8" s="158" t="e">
        <v>#DIV/0!</v>
      </c>
    </row>
    <row r="21" spans="1:2" x14ac:dyDescent="0.25">
      <c r="A21" s="7" t="s">
        <v>338</v>
      </c>
      <c r="B21" s="47" t="s">
        <v>193</v>
      </c>
    </row>
    <row r="22" spans="1:2" x14ac:dyDescent="0.25">
      <c r="A22" s="7" t="s">
        <v>60</v>
      </c>
      <c r="B22" s="47" t="s">
        <v>193</v>
      </c>
    </row>
    <row r="24" spans="1:2" x14ac:dyDescent="0.25">
      <c r="A24" s="7" t="s">
        <v>189</v>
      </c>
      <c r="B24" t="s">
        <v>109</v>
      </c>
    </row>
    <row r="25" spans="1:2" x14ac:dyDescent="0.25">
      <c r="A25" s="5" t="s">
        <v>192</v>
      </c>
      <c r="B25" s="137">
        <v>0</v>
      </c>
    </row>
  </sheetData>
  <mergeCells count="1">
    <mergeCell ref="A1:H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>
    <tabColor theme="0" tint="-0.249977111117893"/>
  </sheetPr>
  <dimension ref="A1:M46"/>
  <sheetViews>
    <sheetView topLeftCell="D19" workbookViewId="0">
      <selection activeCell="K59" sqref="K59"/>
    </sheetView>
  </sheetViews>
  <sheetFormatPr baseColWidth="10" defaultColWidth="11.42578125" defaultRowHeight="15" x14ac:dyDescent="0.25"/>
  <cols>
    <col min="1" max="1" width="21" customWidth="1"/>
    <col min="2" max="2" width="21.85546875" customWidth="1"/>
    <col min="3" max="3" width="26.7109375" customWidth="1"/>
    <col min="4" max="4" width="8" customWidth="1"/>
    <col min="5" max="5" width="21.7109375" customWidth="1"/>
    <col min="6" max="6" width="23.85546875" customWidth="1"/>
    <col min="7" max="7" width="9.5703125" customWidth="1"/>
    <col min="8" max="8" width="12.5703125" customWidth="1"/>
    <col min="9" max="9" width="6.140625" customWidth="1"/>
    <col min="10" max="10" width="21.7109375" customWidth="1"/>
    <col min="11" max="11" width="23.85546875" customWidth="1"/>
    <col min="12" max="12" width="9.5703125" customWidth="1"/>
    <col min="13" max="14" width="12.5703125" customWidth="1"/>
    <col min="15" max="17" width="14.28515625" customWidth="1"/>
    <col min="18" max="18" width="8.85546875" customWidth="1"/>
    <col min="19" max="19" width="12.5703125" customWidth="1"/>
    <col min="20" max="20" width="16.140625" bestFit="1" customWidth="1"/>
    <col min="21" max="21" width="19.28515625" bestFit="1" customWidth="1"/>
    <col min="22" max="22" width="16.140625" bestFit="1" customWidth="1"/>
    <col min="23" max="23" width="19.28515625" bestFit="1" customWidth="1"/>
    <col min="24" max="24" width="16.140625" bestFit="1" customWidth="1"/>
    <col min="25" max="25" width="19.28515625" bestFit="1" customWidth="1"/>
    <col min="26" max="26" width="8.140625" customWidth="1"/>
    <col min="27" max="27" width="11.140625" customWidth="1"/>
    <col min="28" max="28" width="10.7109375" customWidth="1"/>
    <col min="29" max="29" width="13.7109375" bestFit="1" customWidth="1"/>
    <col min="30" max="30" width="16.140625" bestFit="1" customWidth="1"/>
    <col min="31" max="31" width="19.28515625" bestFit="1" customWidth="1"/>
    <col min="32" max="32" width="12.5703125" bestFit="1" customWidth="1"/>
  </cols>
  <sheetData>
    <row r="1" spans="1:11" x14ac:dyDescent="0.25">
      <c r="A1" s="322" t="s">
        <v>122</v>
      </c>
      <c r="B1" s="322"/>
      <c r="C1" s="322"/>
    </row>
    <row r="2" spans="1:11" x14ac:dyDescent="0.25">
      <c r="A2" s="14"/>
      <c r="B2" s="14"/>
      <c r="C2" s="14"/>
      <c r="E2" s="327" t="s">
        <v>162</v>
      </c>
      <c r="F2" s="327"/>
      <c r="G2" s="327"/>
      <c r="H2" s="327"/>
    </row>
    <row r="3" spans="1:11" x14ac:dyDescent="0.25">
      <c r="A3" s="7" t="s">
        <v>17</v>
      </c>
      <c r="B3" s="47" t="s">
        <v>191</v>
      </c>
      <c r="C3" s="14"/>
      <c r="E3" s="7" t="s">
        <v>60</v>
      </c>
      <c r="F3" s="47" t="s">
        <v>193</v>
      </c>
      <c r="J3" s="7" t="s">
        <v>60</v>
      </c>
      <c r="K3" s="47" t="s">
        <v>193</v>
      </c>
    </row>
    <row r="4" spans="1:11" x14ac:dyDescent="0.25">
      <c r="A4" s="7" t="s">
        <v>60</v>
      </c>
      <c r="B4" s="47" t="s">
        <v>193</v>
      </c>
    </row>
    <row r="5" spans="1:11" x14ac:dyDescent="0.25">
      <c r="E5" s="7" t="s">
        <v>120</v>
      </c>
      <c r="F5" s="7" t="s">
        <v>194</v>
      </c>
      <c r="J5" s="7" t="s">
        <v>120</v>
      </c>
      <c r="K5" s="7" t="s">
        <v>194</v>
      </c>
    </row>
    <row r="6" spans="1:11" x14ac:dyDescent="0.25">
      <c r="B6" s="7" t="s">
        <v>87</v>
      </c>
      <c r="E6" s="7" t="s">
        <v>189</v>
      </c>
      <c r="F6" s="47" t="s">
        <v>192</v>
      </c>
      <c r="J6" s="7" t="s">
        <v>189</v>
      </c>
      <c r="K6" s="47" t="s">
        <v>192</v>
      </c>
    </row>
    <row r="7" spans="1:11" x14ac:dyDescent="0.25">
      <c r="A7" s="7" t="s">
        <v>189</v>
      </c>
      <c r="B7" s="47" t="s">
        <v>120</v>
      </c>
      <c r="C7" s="47" t="s">
        <v>121</v>
      </c>
      <c r="E7" s="5" t="s">
        <v>192</v>
      </c>
      <c r="F7" s="8"/>
      <c r="J7" s="5" t="s">
        <v>192</v>
      </c>
      <c r="K7" s="158" t="e">
        <v>#DIV/0!</v>
      </c>
    </row>
    <row r="8" spans="1:11" x14ac:dyDescent="0.25">
      <c r="A8" s="5" t="s">
        <v>192</v>
      </c>
      <c r="B8" s="8">
        <v>0</v>
      </c>
      <c r="C8" s="8">
        <v>0</v>
      </c>
    </row>
    <row r="13" spans="1:11" x14ac:dyDescent="0.25">
      <c r="A13" s="7" t="s">
        <v>17</v>
      </c>
      <c r="B13" s="47" t="s">
        <v>191</v>
      </c>
    </row>
    <row r="14" spans="1:11" x14ac:dyDescent="0.25">
      <c r="A14" s="7" t="s">
        <v>60</v>
      </c>
      <c r="B14" s="47" t="s">
        <v>193</v>
      </c>
    </row>
    <row r="16" spans="1:11" x14ac:dyDescent="0.25">
      <c r="A16" s="7" t="s">
        <v>189</v>
      </c>
      <c r="B16" t="s">
        <v>120</v>
      </c>
    </row>
    <row r="17" spans="1:13" x14ac:dyDescent="0.25">
      <c r="A17" s="5" t="s">
        <v>192</v>
      </c>
      <c r="B17" s="11" t="e">
        <v>#DIV/0!</v>
      </c>
    </row>
    <row r="20" spans="1:13" x14ac:dyDescent="0.25">
      <c r="J20" s="324" t="s">
        <v>179</v>
      </c>
      <c r="K20" s="324"/>
      <c r="L20" s="324"/>
      <c r="M20" s="324"/>
    </row>
    <row r="21" spans="1:13" x14ac:dyDescent="0.25">
      <c r="J21" s="93" t="s">
        <v>60</v>
      </c>
      <c r="K21" s="93" t="s">
        <v>193</v>
      </c>
      <c r="L21" s="93"/>
      <c r="M21" s="93"/>
    </row>
    <row r="22" spans="1:13" x14ac:dyDescent="0.25">
      <c r="J22" s="93"/>
      <c r="K22" s="93"/>
      <c r="L22" s="93"/>
      <c r="M22" s="93"/>
    </row>
    <row r="23" spans="1:13" x14ac:dyDescent="0.25">
      <c r="E23" s="326" t="s">
        <v>163</v>
      </c>
      <c r="F23" s="326"/>
      <c r="G23" s="326"/>
      <c r="H23" s="326"/>
      <c r="J23" s="93" t="s">
        <v>120</v>
      </c>
      <c r="K23" s="93" t="s">
        <v>194</v>
      </c>
    </row>
    <row r="24" spans="1:13" x14ac:dyDescent="0.25">
      <c r="E24" s="93" t="s">
        <v>60</v>
      </c>
      <c r="F24" s="93" t="s">
        <v>193</v>
      </c>
      <c r="G24" s="93"/>
      <c r="H24" s="93"/>
      <c r="J24" s="93" t="s">
        <v>189</v>
      </c>
      <c r="K24" s="93" t="s">
        <v>192</v>
      </c>
    </row>
    <row r="25" spans="1:13" x14ac:dyDescent="0.25">
      <c r="E25" s="93"/>
      <c r="F25" s="93"/>
      <c r="G25" s="93"/>
      <c r="H25" s="93"/>
      <c r="J25" s="97" t="s">
        <v>192</v>
      </c>
      <c r="K25" s="124" t="e">
        <v>#DIV/0!</v>
      </c>
    </row>
    <row r="26" spans="1:13" x14ac:dyDescent="0.25">
      <c r="E26" s="93" t="s">
        <v>120</v>
      </c>
      <c r="F26" s="93" t="s">
        <v>194</v>
      </c>
    </row>
    <row r="27" spans="1:13" x14ac:dyDescent="0.25">
      <c r="E27" s="93" t="s">
        <v>189</v>
      </c>
      <c r="F27" s="93" t="s">
        <v>192</v>
      </c>
    </row>
    <row r="28" spans="1:13" x14ac:dyDescent="0.25">
      <c r="E28" s="95" t="s">
        <v>192</v>
      </c>
      <c r="F28" s="96"/>
    </row>
    <row r="37" spans="5:11" x14ac:dyDescent="0.25">
      <c r="J37" s="7" t="s">
        <v>60</v>
      </c>
      <c r="K37" s="47" t="s">
        <v>191</v>
      </c>
    </row>
    <row r="39" spans="5:11" x14ac:dyDescent="0.25">
      <c r="J39" s="7" t="s">
        <v>120</v>
      </c>
      <c r="K39" s="7" t="s">
        <v>194</v>
      </c>
    </row>
    <row r="40" spans="5:11" x14ac:dyDescent="0.25">
      <c r="J40" s="7" t="s">
        <v>189</v>
      </c>
      <c r="K40" s="47" t="s">
        <v>192</v>
      </c>
    </row>
    <row r="41" spans="5:11" x14ac:dyDescent="0.25">
      <c r="E41" s="327" t="s">
        <v>178</v>
      </c>
      <c r="F41" s="327"/>
      <c r="G41" s="327"/>
      <c r="H41" s="327"/>
      <c r="J41" s="5" t="s">
        <v>192</v>
      </c>
      <c r="K41" s="158" t="e">
        <v>#DIV/0!</v>
      </c>
    </row>
    <row r="42" spans="5:11" x14ac:dyDescent="0.25">
      <c r="E42" s="7" t="s">
        <v>60</v>
      </c>
      <c r="F42" s="47" t="s">
        <v>191</v>
      </c>
    </row>
    <row r="44" spans="5:11" x14ac:dyDescent="0.25">
      <c r="E44" s="7" t="s">
        <v>120</v>
      </c>
      <c r="F44" s="7" t="s">
        <v>194</v>
      </c>
    </row>
    <row r="45" spans="5:11" x14ac:dyDescent="0.25">
      <c r="E45" s="7" t="s">
        <v>189</v>
      </c>
      <c r="F45" s="47" t="s">
        <v>192</v>
      </c>
    </row>
    <row r="46" spans="5:11" x14ac:dyDescent="0.25">
      <c r="E46" s="5" t="s">
        <v>192</v>
      </c>
      <c r="F46" s="8"/>
    </row>
  </sheetData>
  <mergeCells count="5">
    <mergeCell ref="A1:C1"/>
    <mergeCell ref="E2:H2"/>
    <mergeCell ref="E23:H23"/>
    <mergeCell ref="E41:H41"/>
    <mergeCell ref="J20:M20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>
    <tabColor theme="0" tint="-0.249977111117893"/>
  </sheetPr>
  <dimension ref="A1:H25"/>
  <sheetViews>
    <sheetView workbookViewId="0">
      <selection activeCell="I27" sqref="I27"/>
    </sheetView>
  </sheetViews>
  <sheetFormatPr baseColWidth="10" defaultColWidth="11.42578125" defaultRowHeight="15" x14ac:dyDescent="0.25"/>
  <cols>
    <col min="1" max="1" width="21" customWidth="1"/>
    <col min="2" max="3" width="28.42578125" customWidth="1"/>
    <col min="4" max="4" width="21" customWidth="1"/>
    <col min="5" max="5" width="21.85546875" customWidth="1"/>
    <col min="6" max="6" width="12.5703125" customWidth="1"/>
    <col min="7" max="7" width="30.85546875" customWidth="1"/>
    <col min="8" max="8" width="8.140625" customWidth="1"/>
    <col min="9" max="9" width="11.140625" customWidth="1"/>
    <col min="10" max="10" width="5" customWidth="1"/>
    <col min="11" max="11" width="8" customWidth="1"/>
    <col min="12" max="12" width="12.5703125" bestFit="1" customWidth="1"/>
  </cols>
  <sheetData>
    <row r="1" spans="1:8" x14ac:dyDescent="0.25">
      <c r="A1" s="322" t="s">
        <v>123</v>
      </c>
      <c r="B1" s="322"/>
      <c r="C1" s="322"/>
      <c r="D1" s="322"/>
      <c r="E1" s="322"/>
      <c r="F1" s="322"/>
      <c r="G1" s="322"/>
      <c r="H1" s="322"/>
    </row>
    <row r="3" spans="1:8" x14ac:dyDescent="0.25">
      <c r="A3" s="42" t="s">
        <v>164</v>
      </c>
      <c r="D3" s="93" t="s">
        <v>165</v>
      </c>
      <c r="E3" s="93"/>
    </row>
    <row r="4" spans="1:8" x14ac:dyDescent="0.25">
      <c r="D4" s="93" t="s">
        <v>17</v>
      </c>
      <c r="E4" s="93" t="s">
        <v>191</v>
      </c>
    </row>
    <row r="5" spans="1:8" x14ac:dyDescent="0.25">
      <c r="A5" s="7" t="s">
        <v>17</v>
      </c>
      <c r="B5" s="47" t="s">
        <v>191</v>
      </c>
      <c r="D5" s="93" t="s">
        <v>60</v>
      </c>
      <c r="E5" s="93" t="s">
        <v>193</v>
      </c>
    </row>
    <row r="6" spans="1:8" x14ac:dyDescent="0.25">
      <c r="D6" s="93"/>
      <c r="E6" s="93"/>
    </row>
    <row r="7" spans="1:8" x14ac:dyDescent="0.25">
      <c r="A7" s="7" t="s">
        <v>189</v>
      </c>
      <c r="B7" t="s">
        <v>120</v>
      </c>
      <c r="D7" s="93" t="s">
        <v>189</v>
      </c>
      <c r="E7" s="93" t="s">
        <v>120</v>
      </c>
    </row>
    <row r="8" spans="1:8" x14ac:dyDescent="0.25">
      <c r="A8" s="5" t="s">
        <v>192</v>
      </c>
      <c r="B8" s="158" t="e">
        <v>#DIV/0!</v>
      </c>
      <c r="D8" s="97" t="s">
        <v>192</v>
      </c>
      <c r="E8" s="124" t="e">
        <v>#DIV/0!</v>
      </c>
    </row>
    <row r="20" spans="1:5" x14ac:dyDescent="0.25">
      <c r="D20" s="129" t="s">
        <v>165</v>
      </c>
      <c r="E20" s="129"/>
    </row>
    <row r="21" spans="1:5" x14ac:dyDescent="0.25">
      <c r="A21" s="7" t="s">
        <v>118</v>
      </c>
      <c r="B21" s="47" t="s">
        <v>241</v>
      </c>
      <c r="D21" s="93" t="s">
        <v>118</v>
      </c>
      <c r="E21" s="93" t="s">
        <v>241</v>
      </c>
    </row>
    <row r="22" spans="1:5" x14ac:dyDescent="0.25">
      <c r="A22" s="7" t="s">
        <v>60</v>
      </c>
      <c r="B22" s="47" t="s">
        <v>193</v>
      </c>
      <c r="D22" s="93" t="s">
        <v>60</v>
      </c>
      <c r="E22" s="93" t="s">
        <v>193</v>
      </c>
    </row>
    <row r="23" spans="1:5" x14ac:dyDescent="0.25">
      <c r="D23" s="93"/>
      <c r="E23" s="93"/>
    </row>
    <row r="24" spans="1:5" x14ac:dyDescent="0.25">
      <c r="A24" s="7" t="s">
        <v>189</v>
      </c>
      <c r="B24" t="s">
        <v>124</v>
      </c>
      <c r="D24" s="93" t="s">
        <v>189</v>
      </c>
      <c r="E24" s="93" t="s">
        <v>124</v>
      </c>
    </row>
    <row r="25" spans="1:5" x14ac:dyDescent="0.25">
      <c r="A25" s="5" t="s">
        <v>192</v>
      </c>
      <c r="B25" s="133">
        <v>0</v>
      </c>
      <c r="D25" s="97" t="s">
        <v>192</v>
      </c>
      <c r="E25" s="192">
        <v>0</v>
      </c>
    </row>
  </sheetData>
  <mergeCells count="1">
    <mergeCell ref="A1:H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>
    <tabColor rgb="FFFFC000"/>
  </sheetPr>
  <dimension ref="A1:I25"/>
  <sheetViews>
    <sheetView workbookViewId="0">
      <selection activeCell="G21" sqref="G21:H26"/>
    </sheetView>
  </sheetViews>
  <sheetFormatPr baseColWidth="10" defaultRowHeight="15" x14ac:dyDescent="0.25"/>
  <cols>
    <col min="1" max="1" width="21" customWidth="1"/>
    <col min="2" max="2" width="8.85546875" customWidth="1"/>
    <col min="3" max="3" width="4.28515625" customWidth="1"/>
    <col min="4" max="4" width="12.5703125" customWidth="1"/>
    <col min="5" max="5" width="6.28515625" customWidth="1"/>
    <col min="6" max="6" width="12.5703125" bestFit="1" customWidth="1"/>
    <col min="7" max="7" width="21" customWidth="1"/>
    <col min="8" max="8" width="21.85546875" customWidth="1"/>
    <col min="9" max="9" width="12.5703125" customWidth="1"/>
    <col min="10" max="10" width="12.5703125" bestFit="1" customWidth="1"/>
  </cols>
  <sheetData>
    <row r="1" spans="1:9" x14ac:dyDescent="0.25">
      <c r="A1" s="171"/>
      <c r="B1" s="172"/>
      <c r="C1" s="172"/>
      <c r="D1" s="172"/>
      <c r="E1" s="172"/>
      <c r="F1" s="47"/>
      <c r="G1" s="47"/>
      <c r="H1" s="47"/>
      <c r="I1" s="47"/>
    </row>
    <row r="2" spans="1:9" x14ac:dyDescent="0.25">
      <c r="A2" s="47"/>
      <c r="B2" s="47"/>
      <c r="C2" s="47"/>
      <c r="D2" s="47"/>
      <c r="E2" s="47"/>
      <c r="F2" s="47"/>
      <c r="G2" s="47"/>
      <c r="H2" s="47"/>
      <c r="I2" s="47"/>
    </row>
    <row r="4" spans="1:9" x14ac:dyDescent="0.25">
      <c r="G4" s="7" t="s">
        <v>197</v>
      </c>
      <c r="H4" s="7" t="s">
        <v>194</v>
      </c>
    </row>
    <row r="5" spans="1:9" x14ac:dyDescent="0.25">
      <c r="A5" s="47"/>
      <c r="B5" s="47"/>
      <c r="G5" s="7" t="s">
        <v>189</v>
      </c>
      <c r="H5" s="47" t="s">
        <v>233</v>
      </c>
      <c r="I5" s="47" t="s">
        <v>192</v>
      </c>
    </row>
    <row r="6" spans="1:9" x14ac:dyDescent="0.25">
      <c r="A6" s="47"/>
      <c r="B6" s="47"/>
      <c r="C6" s="47"/>
      <c r="D6" s="47"/>
      <c r="G6" s="5" t="s">
        <v>212</v>
      </c>
      <c r="H6" s="8">
        <v>27</v>
      </c>
      <c r="I6" s="8">
        <v>27</v>
      </c>
    </row>
    <row r="7" spans="1:9" x14ac:dyDescent="0.25">
      <c r="A7" s="5"/>
      <c r="B7" s="8"/>
      <c r="C7" s="8"/>
      <c r="D7" s="8"/>
      <c r="G7" s="5" t="s">
        <v>213</v>
      </c>
      <c r="H7" s="8">
        <v>29</v>
      </c>
      <c r="I7" s="8">
        <v>29</v>
      </c>
    </row>
    <row r="8" spans="1:9" x14ac:dyDescent="0.25">
      <c r="A8" s="5"/>
      <c r="B8" s="8"/>
      <c r="C8" s="8"/>
      <c r="D8" s="8"/>
      <c r="G8" s="5" t="s">
        <v>209</v>
      </c>
      <c r="H8" s="8">
        <v>30</v>
      </c>
      <c r="I8" s="8">
        <v>30</v>
      </c>
    </row>
    <row r="9" spans="1:9" x14ac:dyDescent="0.25">
      <c r="A9" s="5"/>
      <c r="B9" s="8"/>
      <c r="C9" s="8"/>
      <c r="D9" s="8"/>
      <c r="G9" s="5" t="s">
        <v>210</v>
      </c>
      <c r="H9" s="8">
        <v>29</v>
      </c>
      <c r="I9" s="8">
        <v>29</v>
      </c>
    </row>
    <row r="10" spans="1:9" x14ac:dyDescent="0.25">
      <c r="A10" s="5"/>
      <c r="B10" s="8"/>
      <c r="C10" s="8"/>
      <c r="D10" s="8"/>
      <c r="G10" s="5" t="s">
        <v>211</v>
      </c>
      <c r="H10" s="8">
        <v>32</v>
      </c>
      <c r="I10" s="8">
        <v>32</v>
      </c>
    </row>
    <row r="11" spans="1:9" x14ac:dyDescent="0.25">
      <c r="A11" s="5"/>
      <c r="B11" s="8"/>
      <c r="C11" s="8"/>
      <c r="D11" s="8"/>
      <c r="G11" s="5" t="s">
        <v>253</v>
      </c>
      <c r="H11" s="8">
        <v>21</v>
      </c>
      <c r="I11" s="8">
        <v>21</v>
      </c>
    </row>
    <row r="12" spans="1:9" x14ac:dyDescent="0.25">
      <c r="A12" s="5"/>
      <c r="B12" s="8"/>
      <c r="C12" s="8"/>
      <c r="D12" s="8"/>
      <c r="G12" s="5" t="s">
        <v>254</v>
      </c>
      <c r="H12" s="8">
        <v>13</v>
      </c>
      <c r="I12" s="8">
        <v>13</v>
      </c>
    </row>
    <row r="13" spans="1:9" x14ac:dyDescent="0.25">
      <c r="G13" s="5" t="s">
        <v>282</v>
      </c>
      <c r="H13" s="8">
        <v>20</v>
      </c>
      <c r="I13" s="8">
        <v>20</v>
      </c>
    </row>
    <row r="14" spans="1:9" x14ac:dyDescent="0.25">
      <c r="G14" s="5" t="s">
        <v>256</v>
      </c>
      <c r="H14" s="8">
        <v>25</v>
      </c>
      <c r="I14" s="8">
        <v>25</v>
      </c>
    </row>
    <row r="15" spans="1:9" x14ac:dyDescent="0.25">
      <c r="G15" s="5" t="s">
        <v>257</v>
      </c>
      <c r="H15" s="8">
        <v>32</v>
      </c>
      <c r="I15" s="8">
        <v>32</v>
      </c>
    </row>
    <row r="16" spans="1:9" x14ac:dyDescent="0.25">
      <c r="G16" s="5" t="s">
        <v>192</v>
      </c>
      <c r="H16" s="8">
        <v>258</v>
      </c>
      <c r="I16" s="8">
        <v>258</v>
      </c>
    </row>
    <row r="21" spans="1:8" x14ac:dyDescent="0.25">
      <c r="G21" s="7" t="s">
        <v>8</v>
      </c>
      <c r="H21" s="47" t="s">
        <v>191</v>
      </c>
    </row>
    <row r="23" spans="1:8" x14ac:dyDescent="0.25">
      <c r="A23" s="328"/>
      <c r="B23" s="328"/>
      <c r="C23" s="328"/>
      <c r="D23" s="328"/>
      <c r="E23" s="328"/>
      <c r="G23" s="7" t="s">
        <v>189</v>
      </c>
      <c r="H23" t="s">
        <v>197</v>
      </c>
    </row>
    <row r="24" spans="1:8" x14ac:dyDescent="0.25">
      <c r="G24" s="5" t="s">
        <v>233</v>
      </c>
      <c r="H24" s="158">
        <v>1</v>
      </c>
    </row>
    <row r="25" spans="1:8" x14ac:dyDescent="0.25">
      <c r="A25" s="47"/>
      <c r="B25" s="47"/>
      <c r="C25" s="47"/>
      <c r="D25" s="47"/>
      <c r="E25" s="47"/>
      <c r="G25" s="5" t="s">
        <v>192</v>
      </c>
      <c r="H25" s="158">
        <v>1</v>
      </c>
    </row>
  </sheetData>
  <mergeCells count="1">
    <mergeCell ref="A23:E2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>
    <tabColor rgb="FFFFC000"/>
  </sheetPr>
  <dimension ref="A1"/>
  <sheetViews>
    <sheetView topLeftCell="A2" workbookViewId="0">
      <selection activeCell="S35" sqref="S3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>
    <tabColor theme="7" tint="-0.249977111117893"/>
  </sheetPr>
  <dimension ref="A2:L16"/>
  <sheetViews>
    <sheetView workbookViewId="0">
      <selection activeCell="A13" sqref="A13"/>
    </sheetView>
  </sheetViews>
  <sheetFormatPr baseColWidth="10" defaultRowHeight="15" x14ac:dyDescent="0.25"/>
  <cols>
    <col min="1" max="1" width="21" customWidth="1"/>
    <col min="2" max="3" width="21.85546875" customWidth="1"/>
    <col min="4" max="4" width="6.28515625" customWidth="1"/>
    <col min="5" max="5" width="12.5703125" bestFit="1" customWidth="1"/>
    <col min="8" max="8" width="21" bestFit="1" customWidth="1"/>
    <col min="9" max="9" width="21.85546875" customWidth="1"/>
  </cols>
  <sheetData>
    <row r="2" spans="1:12" x14ac:dyDescent="0.25">
      <c r="A2" s="329"/>
      <c r="B2" s="329"/>
      <c r="C2" s="329"/>
      <c r="D2" s="329"/>
      <c r="E2" s="329"/>
    </row>
    <row r="4" spans="1:12" x14ac:dyDescent="0.25">
      <c r="A4" s="47"/>
      <c r="B4" s="47"/>
      <c r="C4" s="47"/>
      <c r="D4" s="47"/>
      <c r="E4" s="47"/>
    </row>
    <row r="5" spans="1:12" x14ac:dyDescent="0.25">
      <c r="A5" s="47"/>
      <c r="B5" s="47"/>
      <c r="C5" s="47"/>
      <c r="D5" s="47"/>
      <c r="E5" s="47"/>
    </row>
    <row r="6" spans="1:12" x14ac:dyDescent="0.25">
      <c r="A6" s="47"/>
    </row>
    <row r="7" spans="1:12" x14ac:dyDescent="0.25">
      <c r="A7" s="5"/>
      <c r="B7" s="158"/>
    </row>
    <row r="8" spans="1:12" x14ac:dyDescent="0.25">
      <c r="A8" s="5"/>
      <c r="B8" s="158"/>
    </row>
    <row r="9" spans="1:12" x14ac:dyDescent="0.25">
      <c r="A9" s="5"/>
      <c r="B9" s="134"/>
    </row>
    <row r="10" spans="1:12" x14ac:dyDescent="0.25">
      <c r="A10" s="330" t="s">
        <v>200</v>
      </c>
      <c r="B10" s="330"/>
      <c r="C10" s="330"/>
      <c r="D10" s="330"/>
      <c r="E10" s="330"/>
      <c r="H10" s="330" t="s">
        <v>201</v>
      </c>
      <c r="I10" s="330"/>
      <c r="J10" s="330"/>
      <c r="K10" s="330"/>
      <c r="L10" s="330"/>
    </row>
    <row r="11" spans="1:12" x14ac:dyDescent="0.25">
      <c r="A11" s="7" t="s">
        <v>8</v>
      </c>
      <c r="B11" s="47" t="s">
        <v>191</v>
      </c>
      <c r="H11" s="7" t="s">
        <v>8</v>
      </c>
      <c r="I11" s="47" t="s">
        <v>191</v>
      </c>
    </row>
    <row r="13" spans="1:12" x14ac:dyDescent="0.25">
      <c r="A13" s="7" t="s">
        <v>189</v>
      </c>
      <c r="B13" t="s">
        <v>199</v>
      </c>
      <c r="H13" s="7" t="s">
        <v>189</v>
      </c>
      <c r="I13" t="s">
        <v>199</v>
      </c>
    </row>
    <row r="14" spans="1:12" x14ac:dyDescent="0.25">
      <c r="A14" s="5" t="s">
        <v>190</v>
      </c>
      <c r="B14" s="8"/>
      <c r="H14" s="5" t="s">
        <v>192</v>
      </c>
      <c r="I14" s="158" t="e">
        <v>#DIV/0!</v>
      </c>
    </row>
    <row r="15" spans="1:12" x14ac:dyDescent="0.25">
      <c r="A15" s="5" t="s">
        <v>335</v>
      </c>
      <c r="B15" s="8">
        <v>251</v>
      </c>
    </row>
    <row r="16" spans="1:12" x14ac:dyDescent="0.25">
      <c r="A16" s="5" t="s">
        <v>192</v>
      </c>
      <c r="B16" s="8">
        <v>251</v>
      </c>
    </row>
  </sheetData>
  <mergeCells count="3">
    <mergeCell ref="A2:E2"/>
    <mergeCell ref="A10:E10"/>
    <mergeCell ref="H10:L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35</vt:i4>
      </vt:variant>
      <vt:variant>
        <vt:lpstr>Graphiques</vt:lpstr>
      </vt:variant>
      <vt:variant>
        <vt:i4>55</vt:i4>
      </vt:variant>
      <vt:variant>
        <vt:lpstr>Plages nommées</vt:lpstr>
      </vt:variant>
      <vt:variant>
        <vt:i4>3</vt:i4>
      </vt:variant>
    </vt:vector>
  </HeadingPairs>
  <TitlesOfParts>
    <vt:vector size="93" baseType="lpstr">
      <vt:lpstr>Données </vt:lpstr>
      <vt:lpstr>TAVI</vt:lpstr>
      <vt:lpstr>PM-AICD</vt:lpstr>
      <vt:lpstr>Divers</vt:lpstr>
      <vt:lpstr> mensuel</vt:lpstr>
      <vt:lpstr>annuel</vt:lpstr>
      <vt:lpstr>Références</vt:lpstr>
      <vt:lpstr>Lieu_Activité</vt:lpstr>
      <vt:lpstr>Pivot-Prov</vt:lpstr>
      <vt:lpstr>Pivot-cardiologue</vt:lpstr>
      <vt:lpstr>Pivotr-Type Int</vt:lpstr>
      <vt:lpstr>Pivot_Valves</vt:lpstr>
      <vt:lpstr>Pivot délai intervention</vt:lpstr>
      <vt:lpstr>Pivot_Survie</vt:lpstr>
      <vt:lpstr>Pivot_USI</vt:lpstr>
      <vt:lpstr>CALCULS_USI</vt:lpstr>
      <vt:lpstr>Pivot_Hospi</vt:lpstr>
      <vt:lpstr>CALCULS_Hospi</vt:lpstr>
      <vt:lpstr>Pivot-Rév&lt;24h</vt:lpstr>
      <vt:lpstr>Pivot-Réhospi&lt;30j</vt:lpstr>
      <vt:lpstr>Pivot-Réhospi&lt;30j (2)</vt:lpstr>
      <vt:lpstr>Pivot-Inf</vt:lpstr>
      <vt:lpstr>Pivot-Inf (2)</vt:lpstr>
      <vt:lpstr>Pivot-AVC</vt:lpstr>
      <vt:lpstr>Gr_AVC</vt:lpstr>
      <vt:lpstr>Pivot_IM</vt:lpstr>
      <vt:lpstr>Pivot-Transf&gt;48H</vt:lpstr>
      <vt:lpstr>Pivot-Transf&gt;48H (2)</vt:lpstr>
      <vt:lpstr>Pivot-Transf&lt;48H</vt:lpstr>
      <vt:lpstr>Pivot-Transf&lt;48H (2)</vt:lpstr>
      <vt:lpstr>Pivot-Transf_Tout</vt:lpstr>
      <vt:lpstr>Pivot-Transf_Tout (2)</vt:lpstr>
      <vt:lpstr>Pivot_HT</vt:lpstr>
      <vt:lpstr>Gr_HT</vt:lpstr>
      <vt:lpstr>Pivot &gt;80 ans</vt:lpstr>
      <vt:lpstr>Gr_Prov-Global</vt:lpstr>
      <vt:lpstr>Gr_Prov_Mens</vt:lpstr>
      <vt:lpstr>Gr_Type Int Intranet</vt:lpstr>
      <vt:lpstr>Gr Type int Stat</vt:lpstr>
      <vt:lpstr>Gr_Type_Int_Gl (2</vt:lpstr>
      <vt:lpstr>Gr_Type_Int_Mens</vt:lpstr>
      <vt:lpstr>Gr_ Comp année</vt:lpstr>
      <vt:lpstr>Gr_Valves_Global</vt:lpstr>
      <vt:lpstr>Gr_Valves_Mens</vt:lpstr>
      <vt:lpstr>GR Statut selon délai </vt:lpstr>
      <vt:lpstr>Gr_délai intervention global</vt:lpstr>
      <vt:lpstr>Gr_délai_intervention_DCD</vt:lpstr>
      <vt:lpstr>Gr_Survie_Global</vt:lpstr>
      <vt:lpstr>Gr_Survie_Global (2)</vt:lpstr>
      <vt:lpstr>Gr_Survie_Mens</vt:lpstr>
      <vt:lpstr>Gr USI_Toutes_Mens_Médiane</vt:lpstr>
      <vt:lpstr>Gr USI_Toutes_Mens_ET</vt:lpstr>
      <vt:lpstr>Gr_USI_Hors_ Mens_Médiane</vt:lpstr>
      <vt:lpstr>Gr_USI_Hors_ Mens_ET</vt:lpstr>
      <vt:lpstr>Gr_USI_LVAD-TX_ Mens_Médiane</vt:lpstr>
      <vt:lpstr>Gr_USI_LVAD-TX_ Mens_ET</vt:lpstr>
      <vt:lpstr>Gr_Hospi_Toutes_Mens_Médiane</vt:lpstr>
      <vt:lpstr>Gr_Hospi_Toutes_Mens_ET</vt:lpstr>
      <vt:lpstr>Gr_Hospi hors_ Mens_Médiane</vt:lpstr>
      <vt:lpstr>Gr_Hospi hors_ Mens_ET</vt:lpstr>
      <vt:lpstr>Gr_Hopsi_LVAD-TX Mens_Médiane</vt:lpstr>
      <vt:lpstr>Gr_Hopsi_LVAD-TX Mens_ET</vt:lpstr>
      <vt:lpstr>Gr_Rév&lt;24h_ Gl</vt:lpstr>
      <vt:lpstr>Gr_Rév&lt;24h Global</vt:lpstr>
      <vt:lpstr>Gr_Rév&lt;24h_Mens</vt:lpstr>
      <vt:lpstr>Gr_Réhospi&lt;30j_Global</vt:lpstr>
      <vt:lpstr>Gr_Réhospi&lt;30j_Global (2)</vt:lpstr>
      <vt:lpstr>Gr_Réhospi&lt;30j_Mens</vt:lpstr>
      <vt:lpstr>Gr_Inf_Gobal% (2)</vt:lpstr>
      <vt:lpstr>Gr_inf_Mens%</vt:lpstr>
      <vt:lpstr>Gr_Inf_Mens_NB</vt:lpstr>
      <vt:lpstr>Gr_Nb moy par pat inf</vt:lpstr>
      <vt:lpstr>Gr_IM</vt:lpstr>
      <vt:lpstr>Gr_Transf&gt;48H_Global</vt:lpstr>
      <vt:lpstr>Gr_Transf&gt;48H_HORS</vt:lpstr>
      <vt:lpstr>Gr_Transf&gt;24h_Global-</vt:lpstr>
      <vt:lpstr>Gr-Transf&gt;24H_Mens_NB</vt:lpstr>
      <vt:lpstr>Gr-Transf&gt;24H_Mens_%</vt:lpstr>
      <vt:lpstr>Gr_ Nb moy tranf &gt;24h_Mens</vt:lpstr>
      <vt:lpstr>Gr_Transf&lt;24H_Global (2)</vt:lpstr>
      <vt:lpstr>Gr_Transf&lt;24_Mens_Nb</vt:lpstr>
      <vt:lpstr>Gr_Transf&lt;24h_Mens_%</vt:lpstr>
      <vt:lpstr>Gr_moy tranf&lt;24h_Mens</vt:lpstr>
      <vt:lpstr>Gr_Transf&lt;48h Hors</vt:lpstr>
      <vt:lpstr>Gr_Transf_Tout_GLOBAL</vt:lpstr>
      <vt:lpstr>Gr_Transf_Tout_Global (2)</vt:lpstr>
      <vt:lpstr>Gr_Transf_Tout_Mens_Nb</vt:lpstr>
      <vt:lpstr>Gr_Transf_Tout_Mens_%</vt:lpstr>
      <vt:lpstr>Gr_moy tranf_Tout_Mens</vt:lpstr>
      <vt:lpstr>Gr-&gt;80 ans</vt:lpstr>
      <vt:lpstr>annuel!Impression_des_titres</vt:lpstr>
      <vt:lpstr>stats</vt:lpstr>
      <vt:lpstr>'Données '!Zone_d_impression</vt:lpstr>
    </vt:vector>
  </TitlesOfParts>
  <Company>Hopital Erasme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Rigaux  Karen</dc:creator>
  <cp:lastModifiedBy>Jean-Eric Pelouas</cp:lastModifiedBy>
  <cp:revision/>
  <cp:lastPrinted>2017-11-15T13:45:47Z</cp:lastPrinted>
  <dcterms:created xsi:type="dcterms:W3CDTF">2016-04-06T07:34:59Z</dcterms:created>
  <dcterms:modified xsi:type="dcterms:W3CDTF">2017-11-27T17:14:27Z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Statistiques CCA 2016 bis - Sauvegarde du 2016_07_01.xlsx</vt:lpwstr>
  </property>
</Properties>
</file>