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omments1.xml" ContentType="application/vnd.openxmlformats-officedocument.spreadsheetml.comments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11" codeName="{AE6600E7-7A62-396C-DE95-9942FA9DD81E}"/>
  <workbookPr filterPrivacy="1" codeName="ThisWorkbook" hidePivotFieldList="1"/>
  <xr:revisionPtr revIDLastSave="0" documentId="13_ncr:1_{AB91C588-84B4-4C37-A7FE-7B329FD506D7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Accueil" sheetId="9" r:id="rId1"/>
    <sheet name="Informations" sheetId="3" state="veryHidden" r:id="rId2"/>
    <sheet name="Données" sheetId="2" state="veryHidden" r:id="rId3"/>
    <sheet name="Données2" sheetId="10" state="veryHidden" r:id="rId4"/>
  </sheets>
  <definedNames>
    <definedName name="d.intitulé">tblRepartition[Intitulé]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71" i="2" l="1"/>
  <c r="C171" i="2"/>
  <c r="I171" i="2"/>
  <c r="C172" i="2"/>
  <c r="D172" i="2"/>
  <c r="I172" i="2"/>
  <c r="X42" i="2"/>
  <c r="C45" i="2"/>
  <c r="D45" i="2"/>
  <c r="I45" i="2"/>
  <c r="C9" i="2"/>
  <c r="D9" i="2"/>
  <c r="I9" i="2"/>
  <c r="C190" i="2"/>
  <c r="D190" i="2"/>
  <c r="I190" i="2"/>
  <c r="C189" i="2"/>
  <c r="D189" i="2"/>
  <c r="I189" i="2"/>
  <c r="C188" i="2" l="1"/>
  <c r="D188" i="2"/>
  <c r="I188" i="2"/>
  <c r="L10" i="3"/>
  <c r="C187" i="2"/>
  <c r="D187" i="2"/>
  <c r="I187" i="2"/>
  <c r="F187" i="2" l="1"/>
  <c r="U186" i="2"/>
  <c r="I186" i="2"/>
  <c r="H186" i="2"/>
  <c r="D186" i="2"/>
  <c r="C186" i="2"/>
  <c r="I185" i="2"/>
  <c r="H185" i="2"/>
  <c r="D185" i="2"/>
  <c r="C185" i="2"/>
  <c r="I184" i="2"/>
  <c r="H184" i="2"/>
  <c r="D184" i="2"/>
  <c r="C184" i="2"/>
  <c r="I183" i="2"/>
  <c r="H183" i="2"/>
  <c r="D183" i="2"/>
  <c r="C183" i="2"/>
  <c r="I182" i="2"/>
  <c r="H182" i="2"/>
  <c r="D182" i="2"/>
  <c r="C182" i="2"/>
  <c r="I181" i="2"/>
  <c r="H181" i="2"/>
  <c r="D181" i="2"/>
  <c r="C181" i="2"/>
  <c r="I180" i="2"/>
  <c r="H180" i="2"/>
  <c r="D180" i="2"/>
  <c r="C180" i="2"/>
  <c r="I179" i="2"/>
  <c r="H179" i="2"/>
  <c r="D179" i="2"/>
  <c r="C179" i="2"/>
  <c r="I178" i="2"/>
  <c r="H178" i="2"/>
  <c r="D178" i="2"/>
  <c r="C178" i="2"/>
  <c r="I177" i="2"/>
  <c r="H177" i="2"/>
  <c r="D177" i="2"/>
  <c r="C177" i="2"/>
  <c r="Q176" i="2"/>
  <c r="I176" i="2"/>
  <c r="H176" i="2"/>
  <c r="D176" i="2"/>
  <c r="C176" i="2"/>
  <c r="I175" i="2"/>
  <c r="H175" i="2"/>
  <c r="D175" i="2"/>
  <c r="C175" i="2"/>
  <c r="I174" i="2"/>
  <c r="H174" i="2"/>
  <c r="D174" i="2"/>
  <c r="C174" i="2"/>
  <c r="I173" i="2"/>
  <c r="H173" i="2"/>
  <c r="D173" i="2"/>
  <c r="C173" i="2"/>
  <c r="I170" i="2"/>
  <c r="H170" i="2"/>
  <c r="D170" i="2"/>
  <c r="C170" i="2"/>
  <c r="U169" i="2"/>
  <c r="I169" i="2"/>
  <c r="H169" i="2"/>
  <c r="D169" i="2"/>
  <c r="C169" i="2"/>
  <c r="I168" i="2"/>
  <c r="H168" i="2"/>
  <c r="D168" i="2"/>
  <c r="C168" i="2"/>
  <c r="I167" i="2"/>
  <c r="H167" i="2"/>
  <c r="D167" i="2"/>
  <c r="C167" i="2"/>
  <c r="I166" i="2"/>
  <c r="H166" i="2"/>
  <c r="D166" i="2"/>
  <c r="C166" i="2"/>
  <c r="I165" i="2"/>
  <c r="H165" i="2"/>
  <c r="D165" i="2"/>
  <c r="C165" i="2"/>
  <c r="I164" i="2"/>
  <c r="H164" i="2"/>
  <c r="D164" i="2"/>
  <c r="C164" i="2"/>
  <c r="I163" i="2"/>
  <c r="H163" i="2"/>
  <c r="D163" i="2"/>
  <c r="C163" i="2"/>
  <c r="I162" i="2"/>
  <c r="H162" i="2"/>
  <c r="D162" i="2"/>
  <c r="C162" i="2"/>
  <c r="U161" i="2"/>
  <c r="I161" i="2"/>
  <c r="H161" i="2"/>
  <c r="D161" i="2"/>
  <c r="C161" i="2"/>
  <c r="I160" i="2"/>
  <c r="H160" i="2"/>
  <c r="D160" i="2"/>
  <c r="C160" i="2"/>
  <c r="I159" i="2"/>
  <c r="H159" i="2"/>
  <c r="D159" i="2"/>
  <c r="C159" i="2"/>
  <c r="I158" i="2"/>
  <c r="H158" i="2"/>
  <c r="D158" i="2"/>
  <c r="C158" i="2"/>
  <c r="I157" i="2"/>
  <c r="H157" i="2"/>
  <c r="D157" i="2"/>
  <c r="C157" i="2"/>
  <c r="I156" i="2"/>
  <c r="H156" i="2"/>
  <c r="D156" i="2"/>
  <c r="C156" i="2"/>
  <c r="I155" i="2"/>
  <c r="H155" i="2"/>
  <c r="D155" i="2"/>
  <c r="C155" i="2"/>
  <c r="I154" i="2"/>
  <c r="H154" i="2"/>
  <c r="D154" i="2"/>
  <c r="C154" i="2"/>
  <c r="I153" i="2"/>
  <c r="H153" i="2"/>
  <c r="D153" i="2"/>
  <c r="C153" i="2"/>
  <c r="I152" i="2"/>
  <c r="H152" i="2"/>
  <c r="D152" i="2"/>
  <c r="C152" i="2"/>
  <c r="U151" i="2"/>
  <c r="I151" i="2"/>
  <c r="H151" i="2"/>
  <c r="D151" i="2"/>
  <c r="C151" i="2"/>
  <c r="I150" i="2"/>
  <c r="H150" i="2"/>
  <c r="D150" i="2"/>
  <c r="C150" i="2"/>
  <c r="I149" i="2"/>
  <c r="H149" i="2"/>
  <c r="D149" i="2"/>
  <c r="C149" i="2"/>
  <c r="I148" i="2"/>
  <c r="H148" i="2"/>
  <c r="D148" i="2"/>
  <c r="C148" i="2"/>
  <c r="I147" i="2"/>
  <c r="H147" i="2"/>
  <c r="D147" i="2"/>
  <c r="C147" i="2"/>
  <c r="I146" i="2"/>
  <c r="H146" i="2"/>
  <c r="D146" i="2"/>
  <c r="C146" i="2"/>
  <c r="I145" i="2"/>
  <c r="H145" i="2"/>
  <c r="D145" i="2"/>
  <c r="C145" i="2"/>
  <c r="I144" i="2"/>
  <c r="H144" i="2"/>
  <c r="D144" i="2"/>
  <c r="C144" i="2"/>
  <c r="I143" i="2"/>
  <c r="H143" i="2"/>
  <c r="D143" i="2"/>
  <c r="C143" i="2"/>
  <c r="I142" i="2"/>
  <c r="H142" i="2"/>
  <c r="D142" i="2"/>
  <c r="C142" i="2"/>
  <c r="I141" i="2"/>
  <c r="H141" i="2"/>
  <c r="D141" i="2"/>
  <c r="C141" i="2"/>
  <c r="I140" i="2"/>
  <c r="H140" i="2"/>
  <c r="D140" i="2"/>
  <c r="C140" i="2"/>
  <c r="I139" i="2"/>
  <c r="H139" i="2"/>
  <c r="D139" i="2"/>
  <c r="C139" i="2"/>
  <c r="I138" i="2"/>
  <c r="H138" i="2"/>
  <c r="D138" i="2"/>
  <c r="C138" i="2"/>
  <c r="I137" i="2"/>
  <c r="H137" i="2"/>
  <c r="D137" i="2"/>
  <c r="C137" i="2"/>
  <c r="I136" i="2"/>
  <c r="H136" i="2"/>
  <c r="D136" i="2"/>
  <c r="C136" i="2"/>
  <c r="I135" i="2"/>
  <c r="H135" i="2"/>
  <c r="D135" i="2"/>
  <c r="C135" i="2"/>
  <c r="I134" i="2"/>
  <c r="H134" i="2"/>
  <c r="D134" i="2"/>
  <c r="C134" i="2"/>
  <c r="I133" i="2"/>
  <c r="H133" i="2"/>
  <c r="D133" i="2"/>
  <c r="C133" i="2"/>
  <c r="I132" i="2"/>
  <c r="H132" i="2"/>
  <c r="D132" i="2"/>
  <c r="C132" i="2"/>
  <c r="I131" i="2"/>
  <c r="H131" i="2"/>
  <c r="D131" i="2"/>
  <c r="C131" i="2"/>
  <c r="I130" i="2"/>
  <c r="H130" i="2"/>
  <c r="D130" i="2"/>
  <c r="C130" i="2"/>
  <c r="I129" i="2"/>
  <c r="H129" i="2"/>
  <c r="D129" i="2"/>
  <c r="C129" i="2"/>
  <c r="I128" i="2"/>
  <c r="H128" i="2"/>
  <c r="D128" i="2"/>
  <c r="C128" i="2"/>
  <c r="I127" i="2"/>
  <c r="H127" i="2"/>
  <c r="D127" i="2"/>
  <c r="C127" i="2"/>
  <c r="I126" i="2"/>
  <c r="H126" i="2"/>
  <c r="D126" i="2"/>
  <c r="C126" i="2"/>
  <c r="I125" i="2"/>
  <c r="H125" i="2"/>
  <c r="D125" i="2"/>
  <c r="C125" i="2"/>
  <c r="I124" i="2"/>
  <c r="H124" i="2"/>
  <c r="D124" i="2"/>
  <c r="C124" i="2"/>
  <c r="I123" i="2"/>
  <c r="H123" i="2"/>
  <c r="D123" i="2"/>
  <c r="C123" i="2"/>
  <c r="I122" i="2"/>
  <c r="H122" i="2"/>
  <c r="D122" i="2"/>
  <c r="C122" i="2"/>
  <c r="I121" i="2"/>
  <c r="H121" i="2"/>
  <c r="D121" i="2"/>
  <c r="C121" i="2"/>
  <c r="I120" i="2"/>
  <c r="H120" i="2"/>
  <c r="D120" i="2"/>
  <c r="C120" i="2"/>
  <c r="I119" i="2"/>
  <c r="H119" i="2"/>
  <c r="D119" i="2"/>
  <c r="C119" i="2"/>
  <c r="I118" i="2"/>
  <c r="H118" i="2"/>
  <c r="D118" i="2"/>
  <c r="C118" i="2"/>
  <c r="I117" i="2"/>
  <c r="H117" i="2"/>
  <c r="D117" i="2"/>
  <c r="C117" i="2"/>
  <c r="I116" i="2"/>
  <c r="H116" i="2"/>
  <c r="D116" i="2"/>
  <c r="C116" i="2"/>
  <c r="I115" i="2"/>
  <c r="H115" i="2"/>
  <c r="D115" i="2"/>
  <c r="C115" i="2"/>
  <c r="I114" i="2"/>
  <c r="H114" i="2"/>
  <c r="D114" i="2"/>
  <c r="C114" i="2"/>
  <c r="I113" i="2"/>
  <c r="H113" i="2"/>
  <c r="D113" i="2"/>
  <c r="C113" i="2"/>
  <c r="U112" i="2"/>
  <c r="I112" i="2"/>
  <c r="H112" i="2"/>
  <c r="D112" i="2"/>
  <c r="C112" i="2"/>
  <c r="I111" i="2"/>
  <c r="H111" i="2"/>
  <c r="D111" i="2"/>
  <c r="C111" i="2"/>
  <c r="I110" i="2"/>
  <c r="H110" i="2"/>
  <c r="D110" i="2"/>
  <c r="C110" i="2"/>
  <c r="I109" i="2"/>
  <c r="H109" i="2"/>
  <c r="D109" i="2"/>
  <c r="C109" i="2"/>
  <c r="I108" i="2"/>
  <c r="H108" i="2"/>
  <c r="D108" i="2"/>
  <c r="C108" i="2"/>
  <c r="I107" i="2"/>
  <c r="H107" i="2"/>
  <c r="D107" i="2"/>
  <c r="C107" i="2"/>
  <c r="I106" i="2"/>
  <c r="H106" i="2"/>
  <c r="D106" i="2"/>
  <c r="C106" i="2"/>
  <c r="I105" i="2"/>
  <c r="H105" i="2"/>
  <c r="D105" i="2"/>
  <c r="C105" i="2"/>
  <c r="I104" i="2"/>
  <c r="H104" i="2"/>
  <c r="D104" i="2"/>
  <c r="C104" i="2"/>
  <c r="I103" i="2"/>
  <c r="H103" i="2"/>
  <c r="D103" i="2"/>
  <c r="C103" i="2"/>
  <c r="I102" i="2"/>
  <c r="H102" i="2"/>
  <c r="D102" i="2"/>
  <c r="C102" i="2"/>
  <c r="I101" i="2"/>
  <c r="H101" i="2"/>
  <c r="D101" i="2"/>
  <c r="C101" i="2"/>
  <c r="I100" i="2"/>
  <c r="H100" i="2"/>
  <c r="D100" i="2"/>
  <c r="C100" i="2"/>
  <c r="I99" i="2"/>
  <c r="H99" i="2"/>
  <c r="D99" i="2"/>
  <c r="C99" i="2"/>
  <c r="I98" i="2"/>
  <c r="H98" i="2"/>
  <c r="D98" i="2"/>
  <c r="C98" i="2"/>
  <c r="I97" i="2"/>
  <c r="H97" i="2"/>
  <c r="D97" i="2"/>
  <c r="C97" i="2"/>
  <c r="U96" i="2"/>
  <c r="I96" i="2"/>
  <c r="H96" i="2"/>
  <c r="D96" i="2"/>
  <c r="C96" i="2"/>
  <c r="I95" i="2"/>
  <c r="H95" i="2"/>
  <c r="D95" i="2"/>
  <c r="C95" i="2"/>
  <c r="I94" i="2"/>
  <c r="H94" i="2"/>
  <c r="D94" i="2"/>
  <c r="C94" i="2"/>
  <c r="I93" i="2"/>
  <c r="H93" i="2"/>
  <c r="D93" i="2"/>
  <c r="C93" i="2"/>
  <c r="I92" i="2"/>
  <c r="H92" i="2"/>
  <c r="D92" i="2"/>
  <c r="C92" i="2"/>
  <c r="I91" i="2"/>
  <c r="H91" i="2"/>
  <c r="D91" i="2"/>
  <c r="C91" i="2"/>
  <c r="I90" i="2"/>
  <c r="H90" i="2"/>
  <c r="D90" i="2"/>
  <c r="C90" i="2"/>
  <c r="I89" i="2"/>
  <c r="H89" i="2"/>
  <c r="D89" i="2"/>
  <c r="C89" i="2"/>
  <c r="I88" i="2"/>
  <c r="H88" i="2"/>
  <c r="D88" i="2"/>
  <c r="C88" i="2"/>
  <c r="I87" i="2"/>
  <c r="H87" i="2"/>
  <c r="D87" i="2"/>
  <c r="C87" i="2"/>
  <c r="I86" i="2"/>
  <c r="H86" i="2"/>
  <c r="D86" i="2"/>
  <c r="C86" i="2"/>
  <c r="I85" i="2"/>
  <c r="H85" i="2"/>
  <c r="D85" i="2"/>
  <c r="C85" i="2"/>
  <c r="I84" i="2"/>
  <c r="H84" i="2"/>
  <c r="D84" i="2"/>
  <c r="C84" i="2"/>
  <c r="U83" i="2"/>
  <c r="I83" i="2"/>
  <c r="H83" i="2"/>
  <c r="D83" i="2"/>
  <c r="C83" i="2"/>
  <c r="I82" i="2"/>
  <c r="H82" i="2"/>
  <c r="D82" i="2"/>
  <c r="C82" i="2"/>
  <c r="I81" i="2"/>
  <c r="H81" i="2"/>
  <c r="D81" i="2"/>
  <c r="C81" i="2"/>
  <c r="I80" i="2"/>
  <c r="H80" i="2"/>
  <c r="D80" i="2"/>
  <c r="C80" i="2"/>
  <c r="I79" i="2"/>
  <c r="H79" i="2"/>
  <c r="D79" i="2"/>
  <c r="C79" i="2"/>
  <c r="I78" i="2"/>
  <c r="H78" i="2"/>
  <c r="D78" i="2"/>
  <c r="C78" i="2"/>
  <c r="I77" i="2"/>
  <c r="H77" i="2"/>
  <c r="D77" i="2"/>
  <c r="C77" i="2"/>
  <c r="I76" i="2"/>
  <c r="H76" i="2"/>
  <c r="D76" i="2"/>
  <c r="C76" i="2"/>
  <c r="I75" i="2"/>
  <c r="H75" i="2"/>
  <c r="D75" i="2"/>
  <c r="C75" i="2"/>
  <c r="I74" i="2"/>
  <c r="H74" i="2"/>
  <c r="D74" i="2"/>
  <c r="C74" i="2"/>
  <c r="I73" i="2"/>
  <c r="H73" i="2"/>
  <c r="D73" i="2"/>
  <c r="C73" i="2"/>
  <c r="I72" i="2"/>
  <c r="H72" i="2"/>
  <c r="D72" i="2"/>
  <c r="C72" i="2"/>
  <c r="I71" i="2"/>
  <c r="H71" i="2"/>
  <c r="D71" i="2"/>
  <c r="C71" i="2"/>
  <c r="I70" i="2"/>
  <c r="H70" i="2"/>
  <c r="D70" i="2"/>
  <c r="C70" i="2"/>
  <c r="I69" i="2"/>
  <c r="H69" i="2"/>
  <c r="D69" i="2"/>
  <c r="C69" i="2"/>
  <c r="I68" i="2"/>
  <c r="H68" i="2"/>
  <c r="D68" i="2"/>
  <c r="C68" i="2"/>
  <c r="I67" i="2"/>
  <c r="H67" i="2"/>
  <c r="D67" i="2"/>
  <c r="C67" i="2"/>
  <c r="I66" i="2"/>
  <c r="H66" i="2"/>
  <c r="D66" i="2"/>
  <c r="C66" i="2"/>
  <c r="U65" i="2"/>
  <c r="I65" i="2"/>
  <c r="H65" i="2"/>
  <c r="D65" i="2"/>
  <c r="C65" i="2"/>
  <c r="I64" i="2"/>
  <c r="H64" i="2"/>
  <c r="D64" i="2"/>
  <c r="C64" i="2"/>
  <c r="I63" i="2"/>
  <c r="H63" i="2"/>
  <c r="D63" i="2"/>
  <c r="C63" i="2"/>
  <c r="I62" i="2"/>
  <c r="H62" i="2"/>
  <c r="D62" i="2"/>
  <c r="C62" i="2"/>
  <c r="I61" i="2"/>
  <c r="H61" i="2"/>
  <c r="D61" i="2"/>
  <c r="C61" i="2"/>
  <c r="I60" i="2"/>
  <c r="H60" i="2"/>
  <c r="D60" i="2"/>
  <c r="C60" i="2"/>
  <c r="I59" i="2"/>
  <c r="H59" i="2"/>
  <c r="D59" i="2"/>
  <c r="C59" i="2"/>
  <c r="U58" i="2"/>
  <c r="I58" i="2"/>
  <c r="H58" i="2"/>
  <c r="D58" i="2"/>
  <c r="C58" i="2"/>
  <c r="I57" i="2"/>
  <c r="H57" i="2"/>
  <c r="D57" i="2"/>
  <c r="C57" i="2"/>
  <c r="I56" i="2"/>
  <c r="H56" i="2"/>
  <c r="D56" i="2"/>
  <c r="C56" i="2"/>
  <c r="I55" i="2"/>
  <c r="H55" i="2"/>
  <c r="D55" i="2"/>
  <c r="C55" i="2"/>
  <c r="I54" i="2"/>
  <c r="H54" i="2"/>
  <c r="D54" i="2"/>
  <c r="C54" i="2"/>
  <c r="I53" i="2"/>
  <c r="H53" i="2"/>
  <c r="D53" i="2"/>
  <c r="C53" i="2"/>
  <c r="Q52" i="2"/>
  <c r="I52" i="2"/>
  <c r="H52" i="2"/>
  <c r="D52" i="2"/>
  <c r="C52" i="2"/>
  <c r="I51" i="2"/>
  <c r="H51" i="2"/>
  <c r="D51" i="2"/>
  <c r="C51" i="2"/>
  <c r="Q50" i="2"/>
  <c r="I50" i="2"/>
  <c r="H50" i="2"/>
  <c r="D50" i="2"/>
  <c r="C50" i="2"/>
  <c r="I49" i="2"/>
  <c r="H49" i="2"/>
  <c r="D49" i="2"/>
  <c r="C49" i="2"/>
  <c r="Q48" i="2"/>
  <c r="I48" i="2"/>
  <c r="H48" i="2"/>
  <c r="D48" i="2"/>
  <c r="C48" i="2"/>
  <c r="Q47" i="2"/>
  <c r="I47" i="2"/>
  <c r="H47" i="2"/>
  <c r="D47" i="2"/>
  <c r="C47" i="2"/>
  <c r="Q46" i="2"/>
  <c r="I46" i="2"/>
  <c r="H46" i="2"/>
  <c r="D46" i="2"/>
  <c r="C46" i="2"/>
  <c r="I44" i="2"/>
  <c r="H44" i="2"/>
  <c r="D44" i="2"/>
  <c r="C44" i="2"/>
  <c r="I43" i="2"/>
  <c r="H43" i="2"/>
  <c r="D43" i="2"/>
  <c r="C43" i="2"/>
  <c r="Q42" i="2"/>
  <c r="I42" i="2"/>
  <c r="H42" i="2"/>
  <c r="D42" i="2"/>
  <c r="C42" i="2"/>
  <c r="I41" i="2"/>
  <c r="H41" i="2"/>
  <c r="D41" i="2"/>
  <c r="C41" i="2"/>
  <c r="E41" i="2" s="1"/>
  <c r="I40" i="2"/>
  <c r="H40" i="2"/>
  <c r="D40" i="2"/>
  <c r="C40" i="2"/>
  <c r="I39" i="2"/>
  <c r="H39" i="2"/>
  <c r="D39" i="2"/>
  <c r="C39" i="2"/>
  <c r="I38" i="2"/>
  <c r="H38" i="2"/>
  <c r="D38" i="2"/>
  <c r="C38" i="2"/>
  <c r="I37" i="2"/>
  <c r="H37" i="2"/>
  <c r="D37" i="2"/>
  <c r="C37" i="2"/>
  <c r="I36" i="2"/>
  <c r="H36" i="2"/>
  <c r="D36" i="2"/>
  <c r="C36" i="2"/>
  <c r="I35" i="2"/>
  <c r="H35" i="2"/>
  <c r="D35" i="2"/>
  <c r="C35" i="2"/>
  <c r="I34" i="2"/>
  <c r="H34" i="2"/>
  <c r="D34" i="2"/>
  <c r="C34" i="2"/>
  <c r="I33" i="2"/>
  <c r="H33" i="2"/>
  <c r="D33" i="2"/>
  <c r="C33" i="2"/>
  <c r="I32" i="2"/>
  <c r="H32" i="2"/>
  <c r="D32" i="2"/>
  <c r="C32" i="2"/>
  <c r="U31" i="2"/>
  <c r="I31" i="2"/>
  <c r="H31" i="2"/>
  <c r="D31" i="2"/>
  <c r="C31" i="2"/>
  <c r="I30" i="2"/>
  <c r="H30" i="2"/>
  <c r="D30" i="2"/>
  <c r="C30" i="2"/>
  <c r="I29" i="2"/>
  <c r="H29" i="2"/>
  <c r="D29" i="2"/>
  <c r="C29" i="2"/>
  <c r="I28" i="2"/>
  <c r="H28" i="2"/>
  <c r="D28" i="2"/>
  <c r="C28" i="2"/>
  <c r="I27" i="2"/>
  <c r="H27" i="2"/>
  <c r="D27" i="2"/>
  <c r="C27" i="2"/>
  <c r="U26" i="2"/>
  <c r="I26" i="2"/>
  <c r="D26" i="2"/>
  <c r="F26" i="2" s="1"/>
  <c r="C26" i="2"/>
  <c r="U25" i="2"/>
  <c r="I25" i="2"/>
  <c r="H25" i="2"/>
  <c r="D25" i="2"/>
  <c r="C25" i="2"/>
  <c r="U24" i="2"/>
  <c r="I24" i="2"/>
  <c r="H24" i="2"/>
  <c r="D24" i="2"/>
  <c r="C24" i="2"/>
  <c r="I23" i="2"/>
  <c r="H23" i="2"/>
  <c r="D23" i="2"/>
  <c r="C23" i="2"/>
  <c r="I22" i="2"/>
  <c r="H22" i="2"/>
  <c r="D22" i="2"/>
  <c r="C22" i="2"/>
  <c r="I21" i="2"/>
  <c r="H21" i="2"/>
  <c r="D21" i="2"/>
  <c r="C21" i="2"/>
  <c r="I20" i="2"/>
  <c r="H20" i="2"/>
  <c r="D20" i="2"/>
  <c r="C20" i="2"/>
  <c r="U19" i="2"/>
  <c r="I19" i="2"/>
  <c r="H19" i="2"/>
  <c r="D19" i="2"/>
  <c r="C19" i="2"/>
  <c r="E19" i="2" s="1"/>
  <c r="I18" i="2"/>
  <c r="H18" i="2"/>
  <c r="D18" i="2"/>
  <c r="C18" i="2"/>
  <c r="E18" i="2" s="1"/>
  <c r="I17" i="2"/>
  <c r="H17" i="2"/>
  <c r="D17" i="2"/>
  <c r="C17" i="2"/>
  <c r="E17" i="2" s="1"/>
  <c r="U16" i="2"/>
  <c r="I16" i="2"/>
  <c r="H16" i="2"/>
  <c r="D16" i="2"/>
  <c r="F16" i="2" s="1"/>
  <c r="C16" i="2"/>
  <c r="I15" i="2"/>
  <c r="H15" i="2"/>
  <c r="D15" i="2"/>
  <c r="F15" i="2" s="1"/>
  <c r="C15" i="2"/>
  <c r="I14" i="2"/>
  <c r="H14" i="2"/>
  <c r="D14" i="2"/>
  <c r="F14" i="2" s="1"/>
  <c r="C14" i="2"/>
  <c r="I13" i="2"/>
  <c r="H13" i="2"/>
  <c r="D13" i="2"/>
  <c r="F13" i="2" s="1"/>
  <c r="C13" i="2"/>
  <c r="I12" i="2"/>
  <c r="H12" i="2"/>
  <c r="D12" i="2"/>
  <c r="F12" i="2" s="1"/>
  <c r="C12" i="2"/>
  <c r="I11" i="2"/>
  <c r="H11" i="2"/>
  <c r="D11" i="2"/>
  <c r="C11" i="2"/>
  <c r="I10" i="2"/>
  <c r="H10" i="2"/>
  <c r="D10" i="2"/>
  <c r="C10" i="2"/>
  <c r="U8" i="2"/>
  <c r="I8" i="2"/>
  <c r="H8" i="2"/>
  <c r="D8" i="2"/>
  <c r="C8" i="2"/>
  <c r="I7" i="2"/>
  <c r="H7" i="2"/>
  <c r="D7" i="2"/>
  <c r="C7" i="2"/>
  <c r="I6" i="2"/>
  <c r="H6" i="2"/>
  <c r="D6" i="2"/>
  <c r="C6" i="2"/>
  <c r="I5" i="2"/>
  <c r="H5" i="2"/>
  <c r="D5" i="2"/>
  <c r="C5" i="2"/>
  <c r="I4" i="2"/>
  <c r="H4" i="2"/>
  <c r="D4" i="2"/>
  <c r="C4" i="2"/>
  <c r="I3" i="2"/>
  <c r="H3" i="2"/>
  <c r="D3" i="2"/>
  <c r="C3" i="2"/>
  <c r="I2" i="2"/>
  <c r="H2" i="2"/>
  <c r="D2" i="2"/>
  <c r="C2" i="2"/>
  <c r="L44" i="3"/>
  <c r="L43" i="3"/>
  <c r="L42" i="3"/>
  <c r="L41" i="3"/>
  <c r="L40" i="3"/>
  <c r="L39" i="3"/>
  <c r="L38" i="3"/>
  <c r="L37" i="3"/>
  <c r="S36" i="3"/>
  <c r="L36" i="3"/>
  <c r="S35" i="3"/>
  <c r="L35" i="3"/>
  <c r="S34" i="3"/>
  <c r="L34" i="3"/>
  <c r="S33" i="3"/>
  <c r="L33" i="3"/>
  <c r="U31" i="3"/>
  <c r="S32" i="3"/>
  <c r="L32" i="3"/>
  <c r="U30" i="3"/>
  <c r="S31" i="3"/>
  <c r="L31" i="3"/>
  <c r="U29" i="3"/>
  <c r="S30" i="3"/>
  <c r="L30" i="3"/>
  <c r="U28" i="3"/>
  <c r="S29" i="3"/>
  <c r="L29" i="3"/>
  <c r="U27" i="3"/>
  <c r="S28" i="3"/>
  <c r="L28" i="3"/>
  <c r="U26" i="3"/>
  <c r="S27" i="3"/>
  <c r="L27" i="3"/>
  <c r="U25" i="3"/>
  <c r="S26" i="3"/>
  <c r="L26" i="3"/>
  <c r="U24" i="3"/>
  <c r="S25" i="3"/>
  <c r="L25" i="3"/>
  <c r="F45" i="2" s="1"/>
  <c r="L24" i="3"/>
  <c r="L23" i="3"/>
  <c r="L22" i="3"/>
  <c r="S21" i="3"/>
  <c r="L21" i="3"/>
  <c r="S20" i="3"/>
  <c r="L20" i="3"/>
  <c r="S19" i="3"/>
  <c r="L19" i="3"/>
  <c r="S18" i="3"/>
  <c r="L18" i="3"/>
  <c r="S17" i="3"/>
  <c r="L17" i="3"/>
  <c r="S16" i="3"/>
  <c r="L16" i="3"/>
  <c r="S15" i="3"/>
  <c r="L15" i="3"/>
  <c r="F189" i="2" s="1"/>
  <c r="U13" i="3"/>
  <c r="S14" i="3"/>
  <c r="L14" i="3"/>
  <c r="Y12" i="3"/>
  <c r="U12" i="3"/>
  <c r="S13" i="3"/>
  <c r="L13" i="3"/>
  <c r="F188" i="2" s="1"/>
  <c r="E12" i="3"/>
  <c r="Y11" i="3"/>
  <c r="L12" i="3"/>
  <c r="E11" i="3"/>
  <c r="Y10" i="3"/>
  <c r="L11" i="3"/>
  <c r="F9" i="2" s="1"/>
  <c r="E10" i="3"/>
  <c r="L9" i="3"/>
  <c r="E9" i="3"/>
  <c r="L8" i="3"/>
  <c r="E8" i="3"/>
  <c r="L7" i="3"/>
  <c r="E7" i="3"/>
  <c r="L6" i="3"/>
  <c r="E6" i="3"/>
  <c r="E45" i="2" s="1"/>
  <c r="L5" i="3"/>
  <c r="E5" i="3"/>
  <c r="L4" i="3"/>
  <c r="E4" i="3"/>
  <c r="L3" i="3"/>
  <c r="E3" i="3"/>
  <c r="E188" i="2" s="1"/>
  <c r="L2" i="3"/>
  <c r="E2" i="3"/>
  <c r="E187" i="2" l="1"/>
  <c r="E172" i="2"/>
  <c r="E171" i="2"/>
  <c r="E189" i="2"/>
  <c r="E190" i="2"/>
  <c r="E9" i="2"/>
  <c r="F190" i="2"/>
  <c r="F172" i="2"/>
  <c r="F171" i="2"/>
  <c r="F10" i="2"/>
  <c r="F11" i="2"/>
  <c r="F27" i="2"/>
  <c r="F28" i="2"/>
  <c r="F29" i="2"/>
  <c r="F30" i="2"/>
  <c r="F31" i="2"/>
  <c r="E32" i="2"/>
  <c r="E33" i="2"/>
  <c r="E34" i="2"/>
  <c r="E35" i="2"/>
  <c r="E36" i="2"/>
  <c r="E37" i="2"/>
  <c r="E38" i="2"/>
  <c r="E39" i="2"/>
  <c r="E40" i="2"/>
  <c r="E24" i="2"/>
  <c r="F32" i="2"/>
  <c r="F33" i="2"/>
  <c r="F34" i="2"/>
  <c r="F36" i="2"/>
  <c r="F37" i="2"/>
  <c r="F38" i="2"/>
  <c r="F39" i="2"/>
  <c r="E43" i="2"/>
  <c r="E44" i="2"/>
  <c r="E46" i="2"/>
  <c r="E51" i="2"/>
  <c r="E52" i="2"/>
  <c r="E42" i="2"/>
  <c r="F48" i="2"/>
  <c r="E49" i="2"/>
  <c r="E50" i="2"/>
  <c r="F59" i="2"/>
  <c r="F60" i="2"/>
  <c r="F61" i="2"/>
  <c r="F62" i="2"/>
  <c r="F63" i="2"/>
  <c r="F64" i="2"/>
  <c r="F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3" i="2"/>
  <c r="F144" i="2"/>
  <c r="F145" i="2"/>
  <c r="F146" i="2"/>
  <c r="F147" i="2"/>
  <c r="F148" i="2"/>
  <c r="F149" i="2"/>
  <c r="F150" i="2"/>
  <c r="F151" i="2"/>
  <c r="E152" i="2"/>
  <c r="E153" i="2"/>
  <c r="E154" i="2"/>
  <c r="E155" i="2"/>
  <c r="E156" i="2"/>
  <c r="E157" i="2"/>
  <c r="E158" i="2"/>
  <c r="E159" i="2"/>
  <c r="E160" i="2"/>
  <c r="E161" i="2"/>
  <c r="F177" i="2"/>
  <c r="F178" i="2"/>
  <c r="F179" i="2"/>
  <c r="F181" i="2"/>
  <c r="F182" i="2"/>
  <c r="F183" i="2"/>
  <c r="F184" i="2"/>
  <c r="F186" i="2"/>
  <c r="F49" i="2"/>
  <c r="F17" i="2"/>
  <c r="E20" i="2"/>
  <c r="E23" i="2"/>
  <c r="F42" i="2"/>
  <c r="F50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F180" i="2"/>
  <c r="F185" i="2"/>
  <c r="F18" i="2"/>
  <c r="E21" i="2"/>
  <c r="F40" i="2"/>
  <c r="E2" i="2"/>
  <c r="E3" i="2"/>
  <c r="E4" i="2"/>
  <c r="E5" i="2"/>
  <c r="E6" i="2"/>
  <c r="E7" i="2"/>
  <c r="E8" i="2"/>
  <c r="F20" i="2"/>
  <c r="F21" i="2"/>
  <c r="F22" i="2"/>
  <c r="F23" i="2"/>
  <c r="F24" i="2"/>
  <c r="E25" i="2"/>
  <c r="F142" i="2"/>
  <c r="F19" i="2"/>
  <c r="E22" i="2"/>
  <c r="F35" i="2"/>
  <c r="F41" i="2"/>
  <c r="F2" i="2"/>
  <c r="F3" i="2"/>
  <c r="F4" i="2"/>
  <c r="F5" i="2"/>
  <c r="F6" i="2"/>
  <c r="F7" i="2"/>
  <c r="F8" i="2"/>
  <c r="E10" i="2"/>
  <c r="E11" i="2"/>
  <c r="E12" i="2"/>
  <c r="E13" i="2"/>
  <c r="E14" i="2"/>
  <c r="E15" i="2"/>
  <c r="E16" i="2"/>
  <c r="F25" i="2"/>
  <c r="E26" i="2"/>
  <c r="E27" i="2"/>
  <c r="E28" i="2"/>
  <c r="E29" i="2"/>
  <c r="E30" i="2"/>
  <c r="E31" i="2"/>
  <c r="F152" i="2"/>
  <c r="F153" i="2"/>
  <c r="F154" i="2"/>
  <c r="F155" i="2"/>
  <c r="F156" i="2"/>
  <c r="F157" i="2"/>
  <c r="F158" i="2"/>
  <c r="F159" i="2"/>
  <c r="F160" i="2"/>
  <c r="F161" i="2"/>
  <c r="E162" i="2"/>
  <c r="E163" i="2"/>
  <c r="E164" i="2"/>
  <c r="E165" i="2"/>
  <c r="E166" i="2"/>
  <c r="E167" i="2"/>
  <c r="E168" i="2"/>
  <c r="E169" i="2"/>
  <c r="F43" i="2"/>
  <c r="F44" i="2"/>
  <c r="F46" i="2"/>
  <c r="E47" i="2"/>
  <c r="F51" i="2"/>
  <c r="F52" i="2"/>
  <c r="E53" i="2"/>
  <c r="E54" i="2"/>
  <c r="E55" i="2"/>
  <c r="E56" i="2"/>
  <c r="E57" i="2"/>
  <c r="E58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F162" i="2"/>
  <c r="F163" i="2"/>
  <c r="F164" i="2"/>
  <c r="F165" i="2"/>
  <c r="F166" i="2"/>
  <c r="F167" i="2"/>
  <c r="F168" i="2"/>
  <c r="F169" i="2"/>
  <c r="E170" i="2"/>
  <c r="E173" i="2"/>
  <c r="E174" i="2"/>
  <c r="E175" i="2"/>
  <c r="E176" i="2"/>
  <c r="F47" i="2"/>
  <c r="E48" i="2"/>
  <c r="F53" i="2"/>
  <c r="F54" i="2"/>
  <c r="F55" i="2"/>
  <c r="F56" i="2"/>
  <c r="F57" i="2"/>
  <c r="F58" i="2"/>
  <c r="E59" i="2"/>
  <c r="E60" i="2"/>
  <c r="E61" i="2"/>
  <c r="E62" i="2"/>
  <c r="E63" i="2"/>
  <c r="E64" i="2"/>
  <c r="E65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F170" i="2"/>
  <c r="F173" i="2"/>
  <c r="F174" i="2"/>
  <c r="F175" i="2"/>
  <c r="F176" i="2"/>
  <c r="E177" i="2"/>
  <c r="E178" i="2"/>
  <c r="E179" i="2"/>
  <c r="E180" i="2"/>
  <c r="E181" i="2"/>
  <c r="E182" i="2"/>
  <c r="E183" i="2"/>
  <c r="E184" i="2"/>
  <c r="E185" i="2"/>
  <c r="E18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U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 détailler</t>
        </r>
      </text>
    </comment>
    <comment ref="U16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Dont Sagex pour 1406,43</t>
        </r>
      </text>
    </comment>
    <comment ref="U2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Barrière pompiers (FRITSH - Nexity)</t>
        </r>
      </text>
    </comment>
    <comment ref="B36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Était 62340000
</t>
        </r>
      </text>
    </comment>
    <comment ref="B37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Était 62360000
</t>
        </r>
      </text>
    </comment>
    <comment ref="H37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Était Divers tiers
</t>
        </r>
      </text>
    </comment>
    <comment ref="U169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Pose plaque local poubelles (FRITSH - Nexity) + Désemfumage escalier (RIF)</t>
        </r>
      </text>
    </comment>
  </commentList>
</comments>
</file>

<file path=xl/sharedStrings.xml><?xml version="1.0" encoding="utf-8"?>
<sst xmlns="http://schemas.openxmlformats.org/spreadsheetml/2006/main" count="544" uniqueCount="233">
  <si>
    <t>Répartition</t>
  </si>
  <si>
    <t>N Compte 1</t>
  </si>
  <si>
    <t>N abrégé 1</t>
  </si>
  <si>
    <t>N abrégé 2</t>
  </si>
  <si>
    <t>Intitulé compte</t>
  </si>
  <si>
    <t>Intitulé compte2</t>
  </si>
  <si>
    <t>Bâtiment</t>
  </si>
  <si>
    <t>Description</t>
  </si>
  <si>
    <t>Contrats</t>
  </si>
  <si>
    <t>B2011</t>
  </si>
  <si>
    <t>R2011</t>
  </si>
  <si>
    <t>B2012</t>
  </si>
  <si>
    <t>R2012</t>
  </si>
  <si>
    <t>B2013</t>
  </si>
  <si>
    <t>R2013</t>
  </si>
  <si>
    <t>B2014</t>
  </si>
  <si>
    <t>R2014</t>
  </si>
  <si>
    <t>B2015</t>
  </si>
  <si>
    <t>R2015</t>
  </si>
  <si>
    <t>B2016</t>
  </si>
  <si>
    <t>R2016</t>
  </si>
  <si>
    <t>B2017</t>
  </si>
  <si>
    <t>1 - Charges communes générales</t>
  </si>
  <si>
    <t>3 - Bâtiments</t>
  </si>
  <si>
    <t>6 - Parkings souterrains</t>
  </si>
  <si>
    <t>Parking</t>
  </si>
  <si>
    <t>2 - Bâtiments - loge incluse</t>
  </si>
  <si>
    <t>4 - Charges d'eau froide</t>
  </si>
  <si>
    <t>Intitulé</t>
  </si>
  <si>
    <t>num</t>
  </si>
  <si>
    <t>60 - Achats fournitures</t>
  </si>
  <si>
    <t>61 - Services extérieurs</t>
  </si>
  <si>
    <t>62 - Administration</t>
  </si>
  <si>
    <t>63 - Impôts &amp; taxes</t>
  </si>
  <si>
    <t>64 - Frais de personnel</t>
  </si>
  <si>
    <t>67 - Charges exceptionnelles</t>
  </si>
  <si>
    <t>70 - Produits</t>
  </si>
  <si>
    <t>71 - Autres produits</t>
  </si>
  <si>
    <t>Achats fournitures</t>
  </si>
  <si>
    <t>Eau froide</t>
  </si>
  <si>
    <t>Dépréciation créances douteuses</t>
  </si>
  <si>
    <t>601 - Eau</t>
  </si>
  <si>
    <t>611 - Nettoyage locaux</t>
  </si>
  <si>
    <t>621 - Hono. Syndic opérations gestion courante</t>
  </si>
  <si>
    <t>633 - Taxes foncières</t>
  </si>
  <si>
    <t>641 - Salaires gardiens et personnels immeubles</t>
  </si>
  <si>
    <t>671 - Travaux décidés par l'assemblée</t>
  </si>
  <si>
    <t>701 - Provisions</t>
  </si>
  <si>
    <t>711 - Subventions</t>
  </si>
  <si>
    <t>Services extérieurs</t>
  </si>
  <si>
    <t>Electricité</t>
  </si>
  <si>
    <t>Reprise dépréciation créances douteuses</t>
  </si>
  <si>
    <t>602 - Electricité</t>
  </si>
  <si>
    <t>612 - Locations immobilières</t>
  </si>
  <si>
    <t>622 - Hono. Syndic opérations exceptionnelles</t>
  </si>
  <si>
    <t>642 - URSSAF</t>
  </si>
  <si>
    <t>672 - Travaux urgents</t>
  </si>
  <si>
    <t>702 - Provisions travaux</t>
  </si>
  <si>
    <t>713 - Indemnités assurance</t>
  </si>
  <si>
    <t>Administration</t>
  </si>
  <si>
    <t>Achats produits entretien et petits équipements</t>
  </si>
  <si>
    <t>Eau</t>
  </si>
  <si>
    <t>604 - Produits d'entretien et petit équipement</t>
  </si>
  <si>
    <t>613 - Locations mobilières</t>
  </si>
  <si>
    <t>623 - Avocats</t>
  </si>
  <si>
    <t>643 - Cotisations</t>
  </si>
  <si>
    <t>673 - Etudes techniques</t>
  </si>
  <si>
    <t>703 - Avances copropriétaires</t>
  </si>
  <si>
    <t>714 - Produits divers</t>
  </si>
  <si>
    <t>Impôts &amp; taxes</t>
  </si>
  <si>
    <t>Produits d'entretien et petit équipement</t>
  </si>
  <si>
    <t>605 - Achat de matériel, équipements</t>
  </si>
  <si>
    <t>614 - Contrats maintenance</t>
  </si>
  <si>
    <t>624 - Autres frais</t>
  </si>
  <si>
    <t>644 - Frais de personnel</t>
  </si>
  <si>
    <t>677 - Pertes / créances douteuses</t>
  </si>
  <si>
    <t>704 - Annuité emprunt</t>
  </si>
  <si>
    <t>716 - Produits financiers</t>
  </si>
  <si>
    <t>Frais de personnel</t>
  </si>
  <si>
    <t>Chauffage</t>
  </si>
  <si>
    <t>606 - Fournitures administratives</t>
  </si>
  <si>
    <t>615 - Entretien, réparation</t>
  </si>
  <si>
    <t>626 - Téléphone</t>
  </si>
  <si>
    <t>645 - Cotisation aux mutuelles</t>
  </si>
  <si>
    <t>678 - Charges exceptionnelles</t>
  </si>
  <si>
    <t>718 - Produits exceptionnels</t>
  </si>
  <si>
    <t>Charges financières des emprunts, agios ou autres</t>
  </si>
  <si>
    <t>Achat de matériel, équipements</t>
  </si>
  <si>
    <t>616 - Assurances</t>
  </si>
  <si>
    <t>627 - Frais bancaires et assimilés</t>
  </si>
  <si>
    <t>Charges exceptionnelles</t>
  </si>
  <si>
    <t>Fournitures, produits d'entretien petit équipement</t>
  </si>
  <si>
    <t>Fournitures administratives</t>
  </si>
  <si>
    <t>Produits</t>
  </si>
  <si>
    <t>Nettoyage des locaux</t>
  </si>
  <si>
    <t>Nettoyage locaux</t>
  </si>
  <si>
    <t>Autres produits</t>
  </si>
  <si>
    <t>Locations et charges conciergeries</t>
  </si>
  <si>
    <t>Locations immobilières</t>
  </si>
  <si>
    <t>68 - Dépréciation créances douteuses</t>
  </si>
  <si>
    <t>Produits exceptionnels</t>
  </si>
  <si>
    <t>Contrat maintenance portails, portes</t>
  </si>
  <si>
    <t>Locations mobilières</t>
  </si>
  <si>
    <t>680 - Dépréciation créances douteuses</t>
  </si>
  <si>
    <t>Contrat maintenance extincteurs</t>
  </si>
  <si>
    <t>Contrats maintenance</t>
  </si>
  <si>
    <t>Contrat maintenance VMC</t>
  </si>
  <si>
    <t>Entretien, réparation</t>
  </si>
  <si>
    <t>Contrat maintenance suppresseur, extraction</t>
  </si>
  <si>
    <t>Assurances</t>
  </si>
  <si>
    <t>Contrat de maintenance surveillance sécurité</t>
  </si>
  <si>
    <t>Hono. Syndic opérations gestion courante</t>
  </si>
  <si>
    <t>Contrat maintenance entreprise désinfection VO</t>
  </si>
  <si>
    <t>Hono. Syndic opérations exceptionnelles</t>
  </si>
  <si>
    <t>Contrat maintenance contrôle d'accès</t>
  </si>
  <si>
    <t>Avocats</t>
  </si>
  <si>
    <t>Contrat relevés et entretien compteurs</t>
  </si>
  <si>
    <t>Autres frais</t>
  </si>
  <si>
    <t>Contrat maintenance collectif TV/Câble</t>
  </si>
  <si>
    <t>Téléphone</t>
  </si>
  <si>
    <t>Entretien et réparations sut biens immobiliers</t>
  </si>
  <si>
    <t>Frais bancaires et assimilés</t>
  </si>
  <si>
    <t>Entretien et petites réparations vide ordure</t>
  </si>
  <si>
    <t>Taxes foncières</t>
  </si>
  <si>
    <t>Entretien et petites réparations électricité</t>
  </si>
  <si>
    <t>Salaires gardiens et personnels immeubles</t>
  </si>
  <si>
    <t>Entretien et petites réparations plomberie</t>
  </si>
  <si>
    <t>URSSAF</t>
  </si>
  <si>
    <t>Entretien et petites réparations étanchéité</t>
  </si>
  <si>
    <t>Cotisations</t>
  </si>
  <si>
    <t>Entretien et petites réparations portes et serrures</t>
  </si>
  <si>
    <t>Entretien espaces verts</t>
  </si>
  <si>
    <t>Cotisation aux mutuelles</t>
  </si>
  <si>
    <t>Entretien et petites réparations ventilations</t>
  </si>
  <si>
    <t>Remboursement annuité emprunt</t>
  </si>
  <si>
    <t>Entretien et réparations réseau eaux usées</t>
  </si>
  <si>
    <t>Travaux décidés par l'assemblée</t>
  </si>
  <si>
    <t>Entretien et petites réparations eaux usées</t>
  </si>
  <si>
    <t>Travaux urgents</t>
  </si>
  <si>
    <t>Entretien et réparations désinfection dératisation</t>
  </si>
  <si>
    <t>Etudes techniques</t>
  </si>
  <si>
    <t>Entretien et petites réparations miroiterie, vitrerie</t>
  </si>
  <si>
    <t>Pertes / créances douteuses</t>
  </si>
  <si>
    <t>62700000 - Frais bancaires et assimilés</t>
  </si>
  <si>
    <t>Entretien et petites réparations matériel</t>
  </si>
  <si>
    <t>Entretien réparation biens immobiliers</t>
  </si>
  <si>
    <t>Autre entretien et petites réparations sur bien mobiliers</t>
  </si>
  <si>
    <t>Provisions</t>
  </si>
  <si>
    <t>Assurance Multirisques</t>
  </si>
  <si>
    <t>Provisions travaux</t>
  </si>
  <si>
    <t>Rémunération du syndic Honoraires de gestion</t>
  </si>
  <si>
    <t>Avances copropriétaires</t>
  </si>
  <si>
    <t>Frais postaux AG</t>
  </si>
  <si>
    <t>Annuité emprunt</t>
  </si>
  <si>
    <t>Honoraires syndic travaux</t>
  </si>
  <si>
    <t>Subventions</t>
  </si>
  <si>
    <t>Honoraires syndic sinistres</t>
  </si>
  <si>
    <t>Indemnités assurance</t>
  </si>
  <si>
    <t>Honoraires syndic contentieux et impayés</t>
  </si>
  <si>
    <t>Produits divers</t>
  </si>
  <si>
    <t>Honoraires syndic frais administratifs</t>
  </si>
  <si>
    <t>Produits financiers</t>
  </si>
  <si>
    <t>Honoraires syndic vacations</t>
  </si>
  <si>
    <t>Honoraires syndic AG et CS</t>
  </si>
  <si>
    <t>Honoraires syndic photocopies</t>
  </si>
  <si>
    <t>Autres honoraires syndic prestations particulières</t>
  </si>
  <si>
    <t>Huissiers</t>
  </si>
  <si>
    <t>Experts et bureaux d'étude</t>
  </si>
  <si>
    <t>Divers tiers</t>
  </si>
  <si>
    <t>Frais conseil syndical</t>
  </si>
  <si>
    <t>Taxes ordures ménagères</t>
  </si>
  <si>
    <t>Avantages en nature</t>
  </si>
  <si>
    <t>Reprise en avantage en nature</t>
  </si>
  <si>
    <t>Cotisations URSSAF</t>
  </si>
  <si>
    <t>Cotisations caisses de retraites</t>
  </si>
  <si>
    <t>Cotisations Pôle emploi</t>
  </si>
  <si>
    <t>Cotisation prévoyance</t>
  </si>
  <si>
    <t>Cotisations autres organismes sociaux</t>
  </si>
  <si>
    <t>Taxes sur salaire</t>
  </si>
  <si>
    <t>Cotisations Médecine du travail</t>
  </si>
  <si>
    <t>Cotisation formation professionnelle</t>
  </si>
  <si>
    <t>Ecarts sur appels et répartition</t>
  </si>
  <si>
    <t>Indemnités d'assurances - opérations courantes</t>
  </si>
  <si>
    <t>Produits divers - Opératiosn courantes</t>
  </si>
  <si>
    <t>Produits financiers - Opérations courantes</t>
  </si>
  <si>
    <t>Produits exceptionnels - Départ retraite gardiens</t>
  </si>
  <si>
    <t>Année</t>
  </si>
  <si>
    <t>Budget</t>
  </si>
  <si>
    <t>Réalisé</t>
  </si>
  <si>
    <t>Sommaire</t>
  </si>
  <si>
    <t>Adresse</t>
  </si>
  <si>
    <t>Code</t>
  </si>
  <si>
    <t>10 SQUARE DES CHASSEURS</t>
  </si>
  <si>
    <t>10C</t>
  </si>
  <si>
    <t>8 SQUARE DES CHASSEURS</t>
  </si>
  <si>
    <t>8C</t>
  </si>
  <si>
    <t>6 SQUARE DES CHASSEURS</t>
  </si>
  <si>
    <t>6C</t>
  </si>
  <si>
    <t>4 SQUARE DES CHASSEURS</t>
  </si>
  <si>
    <t>4C</t>
  </si>
  <si>
    <t>2 SQUARE DES CHASSEURS</t>
  </si>
  <si>
    <t>2C</t>
  </si>
  <si>
    <t>12 ALLEE DE L'ESCOPETTE</t>
  </si>
  <si>
    <t>12E</t>
  </si>
  <si>
    <t>10 ALLEE DE L'ESCOPETTE</t>
  </si>
  <si>
    <t>10E</t>
  </si>
  <si>
    <t>8 ALLEE DE L'ESCOPETTE</t>
  </si>
  <si>
    <t>8E</t>
  </si>
  <si>
    <t>6 ALLEE DE L'ESCOPETTE</t>
  </si>
  <si>
    <t>6E</t>
  </si>
  <si>
    <t>4 ALLEE DE L'ESCOPETTE</t>
  </si>
  <si>
    <t>4E</t>
  </si>
  <si>
    <t>2 ALLEE DE L'ESCOPETTE</t>
  </si>
  <si>
    <t>2E</t>
  </si>
  <si>
    <t>4 ALLEE DU FURET</t>
  </si>
  <si>
    <t>4F</t>
  </si>
  <si>
    <t>2 ALLEE DU FURET</t>
  </si>
  <si>
    <t>2F</t>
  </si>
  <si>
    <t>5 - Charges particulières</t>
  </si>
  <si>
    <t>B2017 Révisé</t>
  </si>
  <si>
    <t>610 - Charges loge gardien</t>
  </si>
  <si>
    <t>Charges loge gardien</t>
  </si>
  <si>
    <t>Répartion coût loge (138/1000)</t>
  </si>
  <si>
    <t>Télephone</t>
  </si>
  <si>
    <t>B207 Rév CS</t>
  </si>
  <si>
    <t>Entretien et petites réparations</t>
  </si>
  <si>
    <t>Contrat entretien BAES</t>
  </si>
  <si>
    <t>207 Rév CS</t>
  </si>
  <si>
    <t>Sorties poubelles</t>
  </si>
  <si>
    <t>Charges sociales</t>
  </si>
  <si>
    <t>Contrat toits-terrasses</t>
  </si>
  <si>
    <t>Contrats divers</t>
  </si>
  <si>
    <t>2017 Révisé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</si>
</sst>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(#,##0.00\);"/>
    <numFmt numFmtId="165" formatCode="#,##0.00;[Red]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</font>
    <font>
      <b/>
      <sz val="15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6" fillId="0" borderId="1" applyNumberFormat="0" applyFill="0" applyAlignment="0" applyProtection="0"/>
  </cellStyleXfs>
  <cellXfs count="9">
    <xf numFmtId="0" fontId="0" fillId="0" borderId="0" xfId="0"/>
    <xf numFmtId="164" fontId="2" fillId="0" borderId="0" xfId="0" applyNumberFormat="1" applyFont="1"/>
    <xf numFmtId="164" fontId="0" fillId="0" borderId="0" xfId="0" applyNumberFormat="1"/>
    <xf numFmtId="4" fontId="0" fillId="0" borderId="0" xfId="0" applyNumberFormat="1"/>
    <xf numFmtId="0" fontId="5" fillId="0" borderId="0" xfId="0" applyFont="1"/>
    <xf numFmtId="0" fontId="0" fillId="0" borderId="0" xfId="0" quotePrefix="1"/>
    <xf numFmtId="0" fontId="1" fillId="0" borderId="0" xfId="0" applyFont="1"/>
    <xf numFmtId="0" fontId="6" fillId="0" borderId="1" xfId="1"/>
    <xf numFmtId="165" fontId="0" fillId="0" borderId="0" xfId="0" applyNumberFormat="1"/>
  </cellXfs>
  <cellStyles count="2">
    <cellStyle name="Heading 1" xfId="1" builtinId="16"/>
    <cellStyle name="Normal" xfId="0" builtinId="0"/>
  </cellStyles>
  <dxfs count="66">
    <dxf>
      <numFmt numFmtId="164" formatCode="#,##0.00;[Red]\(#,##0.00\);"/>
    </dxf>
    <dxf>
      <numFmt numFmtId="164" formatCode="#,##0.00;[Red]\(#,##0.00\);"/>
    </dxf>
    <dxf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numFmt numFmtId="164" formatCode="#,##0.00;[Red]\(#,##0.00\)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numFmt numFmtId="0" formatCode="General"/>
    </dxf>
    <dxf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2</xdr:row>
      <xdr:rowOff>11680</xdr:rowOff>
    </xdr:from>
    <xdr:ext cx="1638300" cy="310014"/>
    <xdr:sp macro="[0]!S_G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71525" y="392680"/>
          <a:ext cx="1514475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1200" b="1"/>
            <a:t>Synthèse générale</a:t>
          </a:r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638300" cy="310014"/>
    <xdr:sp macro="[0]!A_F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62000" y="762000"/>
          <a:ext cx="1514475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1200" b="1"/>
            <a:t>Achats fournitures</a:t>
          </a:r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638300" cy="310014"/>
    <xdr:sp macro="[0]!C_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62000" y="1143000"/>
          <a:ext cx="1514475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1200" b="1"/>
            <a:t>Charges extérieures</a:t>
          </a:r>
        </a:p>
      </xdr:txBody>
    </xdr:sp>
    <xdr:clientData/>
  </xdr:oneCellAnchor>
  <xdr:oneCellAnchor>
    <xdr:from>
      <xdr:col>1</xdr:col>
      <xdr:colOff>0</xdr:colOff>
      <xdr:row>8</xdr:row>
      <xdr:rowOff>1692</xdr:rowOff>
    </xdr:from>
    <xdr:ext cx="1638300" cy="725731"/>
    <xdr:sp macro="[0]!A_C_E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62000" y="1525692"/>
          <a:ext cx="1514475" cy="7257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1200" b="1"/>
            <a:t>Autres charges extérieures (Administration)</a:t>
          </a:r>
        </a:p>
      </xdr:txBody>
    </xdr:sp>
    <xdr:clientData/>
  </xdr:oneCellAnchor>
  <xdr:oneCellAnchor>
    <xdr:from>
      <xdr:col>1</xdr:col>
      <xdr:colOff>0</xdr:colOff>
      <xdr:row>12</xdr:row>
      <xdr:rowOff>23815</xdr:rowOff>
    </xdr:from>
    <xdr:ext cx="1638300" cy="310014"/>
    <xdr:sp macro="[0]!C_P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62000" y="2309815"/>
          <a:ext cx="1514475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1200" b="1"/>
            <a:t>Frais de personnel</a:t>
          </a:r>
        </a:p>
      </xdr:txBody>
    </xdr:sp>
    <xdr:clientData/>
  </xdr:oneCellAnchor>
  <xdr:oneCellAnchor>
    <xdr:from>
      <xdr:col>3</xdr:col>
      <xdr:colOff>704851</xdr:colOff>
      <xdr:row>4</xdr:row>
      <xdr:rowOff>4756</xdr:rowOff>
    </xdr:from>
    <xdr:ext cx="1976438" cy="310014"/>
    <xdr:sp macro="[0]!Repartition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733676" y="842956"/>
          <a:ext cx="1976438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lang="fr-FR" sz="1200" b="1"/>
            <a:t>2 - Bâtiments - loge incluse</a:t>
          </a:r>
        </a:p>
      </xdr:txBody>
    </xdr:sp>
    <xdr:clientData/>
  </xdr:oneCellAnchor>
  <xdr:oneCellAnchor>
    <xdr:from>
      <xdr:col>4</xdr:col>
      <xdr:colOff>0</xdr:colOff>
      <xdr:row>2</xdr:row>
      <xdr:rowOff>11680</xdr:rowOff>
    </xdr:from>
    <xdr:ext cx="2376488" cy="310014"/>
    <xdr:sp macro="[0]!Repartition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743200" y="468880"/>
          <a:ext cx="2376488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lang="fr-FR" sz="1200" b="1"/>
            <a:t>1 - Charges communes générales</a:t>
          </a:r>
        </a:p>
      </xdr:txBody>
    </xdr:sp>
    <xdr:clientData/>
  </xdr:oneCellAnchor>
  <xdr:oneCellAnchor>
    <xdr:from>
      <xdr:col>4</xdr:col>
      <xdr:colOff>9526</xdr:colOff>
      <xdr:row>6</xdr:row>
      <xdr:rowOff>14274</xdr:rowOff>
    </xdr:from>
    <xdr:ext cx="1062616" cy="310014"/>
    <xdr:sp macro="[0]!Repartition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2752726" y="1233474"/>
          <a:ext cx="1062616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lang="fr-FR" sz="1200" b="1"/>
            <a:t>3 - Bâtiments</a:t>
          </a:r>
        </a:p>
      </xdr:txBody>
    </xdr:sp>
    <xdr:clientData/>
  </xdr:oneCellAnchor>
  <xdr:oneCellAnchor>
    <xdr:from>
      <xdr:col>4</xdr:col>
      <xdr:colOff>4764</xdr:colOff>
      <xdr:row>8</xdr:row>
      <xdr:rowOff>14255</xdr:rowOff>
    </xdr:from>
    <xdr:ext cx="1752600" cy="310014"/>
    <xdr:sp macro="[0]!Repartition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747964" y="1614455"/>
          <a:ext cx="1752600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lang="fr-FR" sz="1200" b="1"/>
            <a:t>4 - Charges d'eau froide</a:t>
          </a:r>
        </a:p>
      </xdr:txBody>
    </xdr:sp>
    <xdr:clientData/>
  </xdr:oneCellAnchor>
  <xdr:twoCellAnchor>
    <xdr:from>
      <xdr:col>4</xdr:col>
      <xdr:colOff>0</xdr:colOff>
      <xdr:row>10</xdr:row>
      <xdr:rowOff>4751</xdr:rowOff>
    </xdr:from>
    <xdr:to>
      <xdr:col>6</xdr:col>
      <xdr:colOff>238125</xdr:colOff>
      <xdr:row>11</xdr:row>
      <xdr:rowOff>124265</xdr:rowOff>
    </xdr:to>
    <xdr:sp macro="[0]!Repartition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743200" y="1985951"/>
          <a:ext cx="1762125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0">
          <a:noAutofit/>
        </a:bodyPr>
        <a:lstStyle/>
        <a:p>
          <a:pPr algn="l"/>
          <a:r>
            <a:rPr lang="fr-FR" sz="1200" b="1" baseline="0"/>
            <a:t>5 - Charges particulières  </a:t>
          </a:r>
          <a:endParaRPr lang="fr-FR" sz="1200" b="1"/>
        </a:p>
      </xdr:txBody>
    </xdr:sp>
    <xdr:clientData/>
  </xdr:twoCellAnchor>
  <xdr:oneCellAnchor>
    <xdr:from>
      <xdr:col>4</xdr:col>
      <xdr:colOff>0</xdr:colOff>
      <xdr:row>12</xdr:row>
      <xdr:rowOff>4753</xdr:rowOff>
    </xdr:from>
    <xdr:ext cx="1696130" cy="310014"/>
    <xdr:sp macro="[0]!Repartition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743200" y="2366953"/>
          <a:ext cx="1696130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lang="fr-FR" sz="1200" b="1"/>
            <a:t>6 - Parkings souterrains</a:t>
          </a:r>
        </a:p>
      </xdr:txBody>
    </xdr:sp>
    <xdr:clientData/>
  </xdr:oneCellAnchor>
  <xdr:twoCellAnchor>
    <xdr:from>
      <xdr:col>8</xdr:col>
      <xdr:colOff>0</xdr:colOff>
      <xdr:row>2</xdr:row>
      <xdr:rowOff>0</xdr:rowOff>
    </xdr:from>
    <xdr:to>
      <xdr:col>8</xdr:col>
      <xdr:colOff>752475</xdr:colOff>
      <xdr:row>3</xdr:row>
      <xdr:rowOff>119514</xdr:rowOff>
    </xdr:to>
    <xdr:sp macro="[0]!Reset" textlink="">
      <xdr:nvSpPr>
        <xdr:cNvPr id="17" name="Rectangle à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791200" y="457200"/>
          <a:ext cx="752475" cy="310014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RAZ</a:t>
          </a:r>
        </a:p>
      </xdr:txBody>
    </xdr:sp>
    <xdr:clientData/>
  </xdr:twoCellAnchor>
  <xdr:twoCellAnchor>
    <xdr:from>
      <xdr:col>10</xdr:col>
      <xdr:colOff>0</xdr:colOff>
      <xdr:row>2</xdr:row>
      <xdr:rowOff>0</xdr:rowOff>
    </xdr:from>
    <xdr:to>
      <xdr:col>10</xdr:col>
      <xdr:colOff>757238</xdr:colOff>
      <xdr:row>3</xdr:row>
      <xdr:rowOff>119514</xdr:rowOff>
    </xdr:to>
    <xdr:sp macro="[0]!Repartition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315200" y="457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1</a:t>
          </a:r>
        </a:p>
      </xdr:txBody>
    </xdr:sp>
    <xdr:clientData/>
  </xdr:twoCellAnchor>
  <xdr:twoCellAnchor>
    <xdr:from>
      <xdr:col>12</xdr:col>
      <xdr:colOff>0</xdr:colOff>
      <xdr:row>2</xdr:row>
      <xdr:rowOff>0</xdr:rowOff>
    </xdr:from>
    <xdr:to>
      <xdr:col>12</xdr:col>
      <xdr:colOff>757238</xdr:colOff>
      <xdr:row>3</xdr:row>
      <xdr:rowOff>119514</xdr:rowOff>
    </xdr:to>
    <xdr:sp macro="[0]!Repartition" textlink="">
      <xdr:nvSpPr>
        <xdr:cNvPr id="19" name="Rectangle à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458200" y="457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2</a:t>
          </a:r>
        </a:p>
      </xdr:txBody>
    </xdr:sp>
    <xdr:clientData/>
  </xdr:twoCellAnchor>
  <xdr:twoCellAnchor>
    <xdr:from>
      <xdr:col>14</xdr:col>
      <xdr:colOff>0</xdr:colOff>
      <xdr:row>2</xdr:row>
      <xdr:rowOff>0</xdr:rowOff>
    </xdr:from>
    <xdr:to>
      <xdr:col>14</xdr:col>
      <xdr:colOff>757238</xdr:colOff>
      <xdr:row>3</xdr:row>
      <xdr:rowOff>119514</xdr:rowOff>
    </xdr:to>
    <xdr:sp macro="[0]!Repartition" textlink="">
      <xdr:nvSpPr>
        <xdr:cNvPr id="20" name="Rectangle à coins arrondis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9601200" y="457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3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757238</xdr:colOff>
      <xdr:row>3</xdr:row>
      <xdr:rowOff>119514</xdr:rowOff>
    </xdr:to>
    <xdr:sp macro="[0]!Repartition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744200" y="457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4</a:t>
          </a:r>
        </a:p>
      </xdr:txBody>
    </xdr:sp>
    <xdr:clientData/>
  </xdr:twoCellAnchor>
  <xdr:twoCellAnchor>
    <xdr:from>
      <xdr:col>18</xdr:col>
      <xdr:colOff>0</xdr:colOff>
      <xdr:row>2</xdr:row>
      <xdr:rowOff>0</xdr:rowOff>
    </xdr:from>
    <xdr:to>
      <xdr:col>18</xdr:col>
      <xdr:colOff>757238</xdr:colOff>
      <xdr:row>3</xdr:row>
      <xdr:rowOff>119514</xdr:rowOff>
    </xdr:to>
    <xdr:sp macro="[0]!Repartition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1887200" y="457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5</a:t>
          </a:r>
        </a:p>
      </xdr:txBody>
    </xdr: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757238</xdr:colOff>
      <xdr:row>5</xdr:row>
      <xdr:rowOff>119514</xdr:rowOff>
    </xdr:to>
    <xdr:sp macro="[0]!Repartition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315200" y="838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6</a:t>
          </a:r>
        </a:p>
      </xdr:txBody>
    </xdr:sp>
    <xdr:clientData/>
  </xdr:twoCellAnchor>
  <xdr:twoCellAnchor>
    <xdr:from>
      <xdr:col>12</xdr:col>
      <xdr:colOff>0</xdr:colOff>
      <xdr:row>4</xdr:row>
      <xdr:rowOff>0</xdr:rowOff>
    </xdr:from>
    <xdr:to>
      <xdr:col>12</xdr:col>
      <xdr:colOff>757238</xdr:colOff>
      <xdr:row>5</xdr:row>
      <xdr:rowOff>119514</xdr:rowOff>
    </xdr:to>
    <xdr:sp macro="[0]!Repartition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458200" y="838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7</a:t>
          </a:r>
        </a:p>
      </xdr:txBody>
    </xdr:sp>
    <xdr:clientData/>
  </xdr:twoCellAnchor>
  <xdr:twoCellAnchor>
    <xdr:from>
      <xdr:col>14</xdr:col>
      <xdr:colOff>0</xdr:colOff>
      <xdr:row>4</xdr:row>
      <xdr:rowOff>0</xdr:rowOff>
    </xdr:from>
    <xdr:to>
      <xdr:col>14</xdr:col>
      <xdr:colOff>757238</xdr:colOff>
      <xdr:row>5</xdr:row>
      <xdr:rowOff>119514</xdr:rowOff>
    </xdr:to>
    <xdr:sp macro="[0]!Repartition" textlink="">
      <xdr:nvSpPr>
        <xdr:cNvPr id="25" name="Rectangle à coins arrondis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601200" y="838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8</a:t>
          </a:r>
        </a:p>
      </xdr:txBody>
    </xdr:sp>
    <xdr:clientData/>
  </xdr:twoCellAnchor>
  <xdr:twoCellAnchor>
    <xdr:from>
      <xdr:col>16</xdr:col>
      <xdr:colOff>0</xdr:colOff>
      <xdr:row>4</xdr:row>
      <xdr:rowOff>0</xdr:rowOff>
    </xdr:from>
    <xdr:to>
      <xdr:col>16</xdr:col>
      <xdr:colOff>757238</xdr:colOff>
      <xdr:row>5</xdr:row>
      <xdr:rowOff>119514</xdr:rowOff>
    </xdr:to>
    <xdr:sp macro="[0]!Repartition" textlink="">
      <xdr:nvSpPr>
        <xdr:cNvPr id="26" name="Rectangle à coins arrondis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744200" y="838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9</a:t>
          </a:r>
        </a:p>
      </xdr:txBody>
    </xdr:sp>
    <xdr:clientData/>
  </xdr:twoCellAnchor>
  <xdr:twoCellAnchor>
    <xdr:from>
      <xdr:col>18</xdr:col>
      <xdr:colOff>0</xdr:colOff>
      <xdr:row>4</xdr:row>
      <xdr:rowOff>0</xdr:rowOff>
    </xdr:from>
    <xdr:to>
      <xdr:col>18</xdr:col>
      <xdr:colOff>757238</xdr:colOff>
      <xdr:row>5</xdr:row>
      <xdr:rowOff>119514</xdr:rowOff>
    </xdr:to>
    <xdr:sp macro="[0]!Repartition" textlink="">
      <xdr:nvSpPr>
        <xdr:cNvPr id="27" name="Rectangle à coins arrondis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887200" y="838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10</a:t>
          </a:r>
        </a:p>
      </xdr:txBody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757238</xdr:colOff>
      <xdr:row>7</xdr:row>
      <xdr:rowOff>119514</xdr:rowOff>
    </xdr:to>
    <xdr:sp macro="[0]!Repartition" textlink="">
      <xdr:nvSpPr>
        <xdr:cNvPr id="28" name="Rectangle à coins arrondis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7315200" y="1219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11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757238</xdr:colOff>
      <xdr:row>7</xdr:row>
      <xdr:rowOff>119514</xdr:rowOff>
    </xdr:to>
    <xdr:sp macro="[0]!Repartition" textlink="">
      <xdr:nvSpPr>
        <xdr:cNvPr id="29" name="Rectangle à coins arrondis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458200" y="1219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12</a:t>
          </a:r>
        </a:p>
      </xdr:txBody>
    </xdr:sp>
    <xdr:clientData/>
  </xdr:twoCellAnchor>
  <xdr:twoCellAnchor>
    <xdr:from>
      <xdr:col>14</xdr:col>
      <xdr:colOff>0</xdr:colOff>
      <xdr:row>6</xdr:row>
      <xdr:rowOff>0</xdr:rowOff>
    </xdr:from>
    <xdr:to>
      <xdr:col>14</xdr:col>
      <xdr:colOff>757238</xdr:colOff>
      <xdr:row>7</xdr:row>
      <xdr:rowOff>119514</xdr:rowOff>
    </xdr:to>
    <xdr:sp macro="[0]!Repartition" textlink="">
      <xdr:nvSpPr>
        <xdr:cNvPr id="30" name="Rectangle à coins arrondis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601200" y="1219200"/>
          <a:ext cx="757238" cy="3100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/>
            <a:t>Bât. 13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lIntituléCompte" displayName="tblIntituléCompte" ref="C1:E12" totalsRowShown="0">
  <autoFilter ref="C1:E12" xr:uid="{00000000-0009-0000-0100-000002000000}"/>
  <tableColumns count="3">
    <tableColumn id="2" xr3:uid="{00000000-0010-0000-0000-000002000000}" name="num" dataDxfId="65"/>
    <tableColumn id="1" xr3:uid="{00000000-0010-0000-0000-000001000000}" name="Description"/>
    <tableColumn id="3" xr3:uid="{00000000-0010-0000-0000-000003000000}" name="Intitulé" dataDxfId="64">
      <calculatedColumnFormula>tblIntituléCompte[[#This Row],[num]]&amp;" - "&amp;tblIntituléCompte[[#This Row],[Description]]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blDescriptionCompte" displayName="tblDescriptionCompte" ref="G1:H76" totalsRowShown="0">
  <autoFilter ref="G1:H76" xr:uid="{00000000-0009-0000-0100-000003000000}"/>
  <tableColumns count="2">
    <tableColumn id="1" xr3:uid="{00000000-0010-0000-0100-000001000000}" name="num"/>
    <tableColumn id="2" xr3:uid="{00000000-0010-0000-0100-000002000000}" name="Intitulé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blRepartition" displayName="tblRepartition" ref="A1:A7" totalsRowShown="0">
  <autoFilter ref="A1:A7" xr:uid="{00000000-0009-0000-0100-000004000000}"/>
  <tableColumns count="1">
    <tableColumn id="1" xr3:uid="{00000000-0010-0000-0200-000001000000}" name="Intitulé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J1:L44" totalsRowShown="0">
  <autoFilter ref="J1:L44" xr:uid="{00000000-0009-0000-0100-000005000000}"/>
  <sortState xmlns:xlrd2="http://schemas.microsoft.com/office/spreadsheetml/2017/richdata2" ref="J2:K39">
    <sortCondition ref="J2:J39"/>
  </sortState>
  <tableColumns count="3">
    <tableColumn id="1" xr3:uid="{00000000-0010-0000-0300-000001000000}" name="num" dataDxfId="63"/>
    <tableColumn id="2" xr3:uid="{00000000-0010-0000-0300-000002000000}" name="Description"/>
    <tableColumn id="3" xr3:uid="{00000000-0010-0000-0300-000003000000}" name="Intitulé" dataDxfId="62">
      <calculatedColumnFormula>Tableau5[[#This Row],[num]]&amp;" - "&amp;Tableau5[[#This Row],[Description]]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bl_60" displayName="tbl_60" ref="Q1:Q6" totalsRowShown="0" headerRowDxfId="61">
  <autoFilter ref="Q1:Q6" xr:uid="{00000000-0009-0000-0100-000006000000}"/>
  <tableColumns count="1">
    <tableColumn id="1" xr3:uid="{00000000-0010-0000-0400-000001000000}" name="60 - Achats fournitures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bl_61" displayName="tbl_61" ref="S1:S8" totalsRowShown="0" headerRowDxfId="60">
  <autoFilter ref="S1:S8" xr:uid="{00000000-0009-0000-0100-000007000000}"/>
  <tableColumns count="1">
    <tableColumn id="1" xr3:uid="{00000000-0010-0000-0500-000001000000}" name="61 - Services extérieurs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bl_62" displayName="tbl_62" ref="U1:U7" totalsRowShown="0" headerRowDxfId="59">
  <autoFilter ref="U1:U7" xr:uid="{00000000-0009-0000-0100-000008000000}"/>
  <tableColumns count="1">
    <tableColumn id="1" xr3:uid="{00000000-0010-0000-0600-000001000000}" name="62 - Administration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bl_63" displayName="tbl_63" ref="W1:W2" totalsRowShown="0" headerRowDxfId="58">
  <autoFilter ref="W1:W2" xr:uid="{00000000-0009-0000-0100-000009000000}"/>
  <tableColumns count="1">
    <tableColumn id="1" xr3:uid="{00000000-0010-0000-0700-000001000000}" name="63 - Impôts &amp; taxes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bl_64" displayName="tbl_64" ref="Y1:Y6" headerRowDxfId="57">
  <autoFilter ref="Y1:Y6" xr:uid="{00000000-0009-0000-0100-00000A000000}"/>
  <tableColumns count="1">
    <tableColumn id="1" xr3:uid="{00000000-0010-0000-0800-000001000000}" name="64 - Frais de personnel" totalsRowFunction="custom">
      <totalsRowFormula>L28</totalsRowFormula>
    </tableColumn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bl_67" displayName="tbl_67" ref="AA1:AA6" totalsRowShown="0" headerRowDxfId="56">
  <autoFilter ref="AA1:AA6" xr:uid="{00000000-0009-0000-0100-00000B000000}"/>
  <tableColumns count="1">
    <tableColumn id="1" xr3:uid="{00000000-0010-0000-0900-000001000000}" name="67 - Charges exceptionnelles"/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bl_70" displayName="tbl_70" ref="AC1:AC5" totalsRowShown="0" headerRowDxfId="55">
  <autoFilter ref="AC1:AC5" xr:uid="{00000000-0009-0000-0100-00000C000000}"/>
  <tableColumns count="1">
    <tableColumn id="1" xr3:uid="{00000000-0010-0000-0A00-000001000000}" name="70 - Produits"/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tbl_71" displayName="tbl_71" ref="AE1:AE6" totalsRowShown="0" headerRowDxfId="54">
  <autoFilter ref="AE1:AE6" xr:uid="{00000000-0009-0000-0100-00000D000000}"/>
  <tableColumns count="1">
    <tableColumn id="1" xr3:uid="{00000000-0010-0000-0B00-000001000000}" name="71 - Autres produits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bl_641" displayName="tbl_641" ref="Y9:Y12" totalsRowShown="0">
  <autoFilter ref="Y9:Y12" xr:uid="{00000000-0009-0000-0100-00000E000000}"/>
  <tableColumns count="1">
    <tableColumn id="1" xr3:uid="{00000000-0010-0000-0C00-000001000000}" name="641 - Salaires gardiens et personnels immeubles">
      <calculatedColumnFormula>G57&amp;" - "&amp;H57</calculatedColumnFormula>
    </tableColumn>
  </tableColumns>
  <tableStyleInfo name="TableStyleLight14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D000000}" name="tbl_614" displayName="tbl_614" ref="S12:S21" totalsRowShown="0" headerRowDxfId="53">
  <autoFilter ref="S12:S21" xr:uid="{00000000-0009-0000-0100-00000F000000}"/>
  <tableColumns count="1">
    <tableColumn id="1" xr3:uid="{00000000-0010-0000-0D00-000001000000}" name="614 - Contrats maintenance">
      <calculatedColumnFormula>G13&amp;" - "&amp;H13</calculatedColumnFormula>
    </tableColumn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E000000}" name="tbl_615" displayName="tbl_615" ref="S24:S36" totalsRowShown="0" headerRowDxfId="52">
  <autoFilter ref="S24:S36" xr:uid="{00000000-0009-0000-0100-000010000000}"/>
  <tableColumns count="1">
    <tableColumn id="1" xr3:uid="{00000000-0010-0000-0E00-000001000000}" name="615 - Entretien, réparation">
      <calculatedColumnFormula>G23&amp;" - "&amp;H23</calculatedColumnFormula>
    </tableColumn>
  </tableColumns>
  <tableStyleInfo name="TableStyleLight1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F000000}" name="tbl_621" displayName="tbl_621" ref="U11:U13" totalsRowShown="0">
  <autoFilter ref="U11:U13" xr:uid="{00000000-0009-0000-0100-000011000000}"/>
  <tableColumns count="1">
    <tableColumn id="1" xr3:uid="{00000000-0010-0000-0F00-000001000000}" name="621 - Hono. Syndic opérations gestion courante">
      <calculatedColumnFormula>G38&amp;" - "&amp;H38</calculatedColumnFormula>
    </tableColumn>
  </tableColumns>
  <tableStyleInfo name="TableStyleLight14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0000000}" name="tbl_622" displayName="tbl_622" ref="U23:U32" totalsRowShown="0">
  <autoFilter ref="U23:U32" xr:uid="{00000000-0009-0000-0100-000012000000}"/>
  <tableColumns count="1">
    <tableColumn id="1" xr3:uid="{00000000-0010-0000-1000-000001000000}" name="622 - Hono. Syndic opérations exceptionnelles">
      <calculatedColumnFormula>G40&amp;" - "&amp;H40</calculatedColumnFormula>
    </tableColumn>
  </tableColumns>
  <tableStyleInfo name="TableStyleLight14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1000000}" name="Tableau10" displayName="Tableau10" ref="AA11:AA12" totalsRowShown="0">
  <autoFilter ref="AA11:AA12" xr:uid="{00000000-0009-0000-0100-000013000000}"/>
  <tableColumns count="1">
    <tableColumn id="1" xr3:uid="{00000000-0010-0000-1100-000001000000}" name="68 - Dépréciation créances douteuses"/>
  </tableColumns>
  <tableStyleInfo name="TableStyleLight1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2000000}" name="tbl_Bâtiments" displayName="tbl_Bâtiments" ref="A17:C30" totalsRowShown="0">
  <autoFilter ref="A17:C30" xr:uid="{00000000-0009-0000-0100-000017000000}"/>
  <tableColumns count="3">
    <tableColumn id="1" xr3:uid="{00000000-0010-0000-1200-000001000000}" name="Bâtiment"/>
    <tableColumn id="2" xr3:uid="{00000000-0010-0000-1200-000002000000}" name="Adresse"/>
    <tableColumn id="3" xr3:uid="{00000000-0010-0000-1200-000003000000}" name="Code"/>
  </tableColumns>
  <tableStyleInfo name="TableStyleLight14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13000000}" name="tblBDD" displayName="tblBDD" ref="A1:X190" headerRowDxfId="51" dataDxfId="50">
  <autoFilter ref="A1:X190" xr:uid="{00000000-0009-0000-0100-000001000000}"/>
  <tableColumns count="24">
    <tableColumn id="1" xr3:uid="{00000000-0010-0000-1300-000001000000}" name="Répartition" totalsRowLabel="Total" dataDxfId="49" totalsRowDxfId="48"/>
    <tableColumn id="2" xr3:uid="{00000000-0010-0000-1300-000002000000}" name="N Compte 1" dataDxfId="47" totalsRowDxfId="46"/>
    <tableColumn id="3" xr3:uid="{00000000-0010-0000-1300-000003000000}" name="N abrégé 1" dataDxfId="45" totalsRowDxfId="44">
      <calculatedColumnFormula>VALUE(LEFT(tblBDD[[#This Row],[N Compte 1]],2))</calculatedColumnFormula>
    </tableColumn>
    <tableColumn id="13" xr3:uid="{00000000-0010-0000-1300-00000D000000}" name="N abrégé 2" dataDxfId="43" totalsRowDxfId="42">
      <calculatedColumnFormula>VALUE(LEFT(tblBDD[[#This Row],[N Compte 1]],3))</calculatedColumnFormula>
    </tableColumn>
    <tableColumn id="4" xr3:uid="{00000000-0010-0000-1300-000004000000}" name="Intitulé compte" dataDxfId="41" totalsRowDxfId="40"/>
    <tableColumn id="20" xr3:uid="{00000000-0010-0000-1300-000014000000}" name="Intitulé compte2" dataDxfId="39" totalsRowDxfId="38"/>
    <tableColumn id="5" xr3:uid="{00000000-0010-0000-1300-000005000000}" name="Bâtiment" dataDxfId="37" totalsRowDxfId="36"/>
    <tableColumn id="6" xr3:uid="{00000000-0010-0000-1300-000006000000}" name="Description" dataDxfId="35" totalsRowDxfId="34"/>
    <tableColumn id="15" xr3:uid="{00000000-0010-0000-1300-00000F000000}" name="Contrats" dataDxfId="33" totalsRowDxfId="32">
      <calculatedColumnFormula>COUNT(tblBDD[[#This Row],[B2011]:[B2014]])=7</calculatedColumnFormula>
    </tableColumn>
    <tableColumn id="17" xr3:uid="{00000000-0010-0000-1300-000011000000}" name="B2011" totalsRowFunction="sum" dataDxfId="31" totalsRowDxfId="30"/>
    <tableColumn id="12" xr3:uid="{00000000-0010-0000-1300-00000C000000}" name="R2011" totalsRowFunction="sum" dataDxfId="29" totalsRowDxfId="28"/>
    <tableColumn id="7" xr3:uid="{00000000-0010-0000-1300-000007000000}" name="B2012" totalsRowFunction="sum" dataDxfId="27" totalsRowDxfId="26"/>
    <tableColumn id="8" xr3:uid="{00000000-0010-0000-1300-000008000000}" name="R2012" totalsRowFunction="sum" dataDxfId="25" totalsRowDxfId="24"/>
    <tableColumn id="9" xr3:uid="{00000000-0010-0000-1300-000009000000}" name="B2013" totalsRowFunction="sum" dataDxfId="23" totalsRowDxfId="22"/>
    <tableColumn id="10" xr3:uid="{00000000-0010-0000-1300-00000A000000}" name="R2013" totalsRowFunction="sum" dataDxfId="21" totalsRowDxfId="20"/>
    <tableColumn id="11" xr3:uid="{00000000-0010-0000-1300-00000B000000}" name="B2014" totalsRowFunction="sum" dataDxfId="19" totalsRowDxfId="18"/>
    <tableColumn id="14" xr3:uid="{00000000-0010-0000-1300-00000E000000}" name="R2014" dataDxfId="17" totalsRowDxfId="16"/>
    <tableColumn id="21" xr3:uid="{00000000-0010-0000-1300-000015000000}" name="B2015" dataDxfId="15" totalsRowDxfId="14"/>
    <tableColumn id="18" xr3:uid="{00000000-0010-0000-1300-000012000000}" name="R2015" dataDxfId="13" totalsRowDxfId="12"/>
    <tableColumn id="19" xr3:uid="{00000000-0010-0000-1300-000013000000}" name="B2016" dataDxfId="11" totalsRowDxfId="10"/>
    <tableColumn id="24" xr3:uid="{00000000-0010-0000-1300-000018000000}" name="R2016" dataDxfId="9" totalsRowDxfId="8"/>
    <tableColumn id="23" xr3:uid="{00000000-0010-0000-1300-000017000000}" name="B2017" dataDxfId="7" totalsRowDxfId="6"/>
    <tableColumn id="16" xr3:uid="{00000000-0010-0000-1300-000010000000}" name="B2017 Révisé" dataDxfId="5" totalsRowDxfId="4"/>
    <tableColumn id="22" xr3:uid="{00000000-0010-0000-1300-000016000000}" name="B207 Rév CS" dataDxfId="3" totalsRowDxfId="2"/>
  </tableColumns>
  <tableStyleInfo name="TableStyleMedium4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4000000}" name="Tableau20" displayName="Tableau20" ref="A1:K18" totalsRowShown="0">
  <autoFilter ref="A1:K18" xr:uid="{00000000-0009-0000-0100-000014000000}"/>
  <tableColumns count="11">
    <tableColumn id="1" xr3:uid="{00000000-0010-0000-1400-000001000000}" name="Répartition"/>
    <tableColumn id="2" xr3:uid="{00000000-0010-0000-1400-000002000000}" name="N Compte 1"/>
    <tableColumn id="3" xr3:uid="{00000000-0010-0000-1400-000003000000}" name="N abrégé 1"/>
    <tableColumn id="4" xr3:uid="{00000000-0010-0000-1400-000004000000}" name="N abrégé 2"/>
    <tableColumn id="5" xr3:uid="{00000000-0010-0000-1400-000005000000}" name="Intitulé compte"/>
    <tableColumn id="6" xr3:uid="{00000000-0010-0000-1400-000006000000}" name="Intitulé compte2"/>
    <tableColumn id="7" xr3:uid="{00000000-0010-0000-1400-000007000000}" name="Bâtiment"/>
    <tableColumn id="8" xr3:uid="{00000000-0010-0000-1400-000008000000}" name="Description"/>
    <tableColumn id="9" xr3:uid="{00000000-0010-0000-1400-000009000000}" name="Année"/>
    <tableColumn id="10" xr3:uid="{00000000-0010-0000-1400-00000A000000}" name="Budget" dataDxfId="1"/>
    <tableColumn id="11" xr3:uid="{00000000-0010-0000-1400-00000B000000}" name="Réalisé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B1:S2"/>
  <sheetViews>
    <sheetView showGridLines="0" tabSelected="1" zoomScaleNormal="100" workbookViewId="0">
      <selection activeCell="I9" sqref="I9"/>
    </sheetView>
  </sheetViews>
  <sheetFormatPr defaultColWidth="11.42578125" defaultRowHeight="15" x14ac:dyDescent="0.25"/>
  <cols>
    <col min="1" max="1" width="5.7109375" customWidth="1"/>
    <col min="2" max="2" width="13.28515625" bestFit="1" customWidth="1"/>
    <col min="4" max="4" width="10.7109375" customWidth="1"/>
    <col min="12" max="12" width="4.7109375" customWidth="1"/>
    <col min="14" max="14" width="4.7109375" customWidth="1"/>
    <col min="16" max="16" width="4.7109375" customWidth="1"/>
    <col min="18" max="18" width="4.7109375" customWidth="1"/>
  </cols>
  <sheetData>
    <row r="1" spans="2:19" ht="20.25" thickBot="1" x14ac:dyDescent="0.35">
      <c r="B1" s="7" t="s">
        <v>189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2:19" ht="15.75" thickTop="1" x14ac:dyDescent="0.25"/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E76"/>
  <sheetViews>
    <sheetView showGridLines="0" topLeftCell="F1" workbookViewId="0">
      <selection activeCell="H13" sqref="H13"/>
    </sheetView>
  </sheetViews>
  <sheetFormatPr defaultColWidth="11.42578125" defaultRowHeight="15" x14ac:dyDescent="0.25"/>
  <cols>
    <col min="1" max="1" width="31.28515625" bestFit="1" customWidth="1"/>
    <col min="2" max="2" width="25.140625" bestFit="1" customWidth="1"/>
    <col min="3" max="3" width="7.7109375" customWidth="1"/>
    <col min="4" max="4" width="46" bestFit="1" customWidth="1"/>
    <col min="5" max="5" width="49.7109375" bestFit="1" customWidth="1"/>
    <col min="7" max="7" width="9" bestFit="1" customWidth="1"/>
    <col min="8" max="8" width="51.85546875" bestFit="1" customWidth="1"/>
    <col min="10" max="10" width="7.28515625" bestFit="1" customWidth="1"/>
    <col min="11" max="11" width="38.42578125" bestFit="1" customWidth="1"/>
    <col min="12" max="12" width="44.28515625" bestFit="1" customWidth="1"/>
    <col min="17" max="17" width="42.7109375" bestFit="1" customWidth="1"/>
    <col min="18" max="18" width="2.7109375" customWidth="1"/>
    <col min="19" max="19" width="56.5703125" bestFit="1" customWidth="1"/>
    <col min="20" max="20" width="2.7109375" customWidth="1"/>
    <col min="21" max="21" width="55.5703125" bestFit="1" customWidth="1"/>
    <col min="22" max="22" width="2.7109375" customWidth="1"/>
    <col min="23" max="23" width="20" customWidth="1"/>
    <col min="24" max="24" width="2.7109375" customWidth="1"/>
    <col min="25" max="25" width="49.42578125" bestFit="1" customWidth="1"/>
    <col min="26" max="26" width="2.7109375" customWidth="1"/>
    <col min="27" max="27" width="36" customWidth="1"/>
    <col min="28" max="28" width="2.7109375" customWidth="1"/>
    <col min="29" max="29" width="27.28515625" bestFit="1" customWidth="1"/>
    <col min="30" max="30" width="2.7109375" customWidth="1"/>
    <col min="31" max="31" width="26.42578125" bestFit="1" customWidth="1"/>
    <col min="32" max="32" width="2.7109375" customWidth="1"/>
  </cols>
  <sheetData>
    <row r="1" spans="1:31" x14ac:dyDescent="0.25">
      <c r="A1" t="s">
        <v>28</v>
      </c>
      <c r="C1" t="s">
        <v>29</v>
      </c>
      <c r="D1" t="s">
        <v>7</v>
      </c>
      <c r="E1" t="s">
        <v>28</v>
      </c>
      <c r="G1" t="s">
        <v>29</v>
      </c>
      <c r="H1" t="s">
        <v>28</v>
      </c>
      <c r="J1" t="s">
        <v>29</v>
      </c>
      <c r="K1" t="s">
        <v>7</v>
      </c>
      <c r="L1" t="s">
        <v>28</v>
      </c>
      <c r="Q1" s="4" t="s">
        <v>30</v>
      </c>
      <c r="S1" s="4" t="s">
        <v>31</v>
      </c>
      <c r="U1" s="4" t="s">
        <v>32</v>
      </c>
      <c r="W1" s="4" t="s">
        <v>33</v>
      </c>
      <c r="Y1" s="4" t="s">
        <v>34</v>
      </c>
      <c r="AA1" s="4" t="s">
        <v>35</v>
      </c>
      <c r="AC1" s="4" t="s">
        <v>36</v>
      </c>
      <c r="AE1" s="4" t="s">
        <v>37</v>
      </c>
    </row>
    <row r="2" spans="1:31" x14ac:dyDescent="0.25">
      <c r="A2" t="s">
        <v>22</v>
      </c>
      <c r="C2">
        <v>60</v>
      </c>
      <c r="D2" t="s">
        <v>38</v>
      </c>
      <c r="E2" t="str">
        <f>tblIntituléCompte[[#This Row],[num]]&amp;" - "&amp;tblIntituléCompte[[#This Row],[Description]]</f>
        <v>60 - Achats fournitures</v>
      </c>
      <c r="G2">
        <v>60111000</v>
      </c>
      <c r="H2" t="s">
        <v>39</v>
      </c>
      <c r="J2">
        <v>68</v>
      </c>
      <c r="K2" t="s">
        <v>40</v>
      </c>
      <c r="L2" t="str">
        <f>Tableau5[[#This Row],[num]]&amp;" - "&amp;Tableau5[[#This Row],[Description]]</f>
        <v>68 - Dépréciation créances douteuses</v>
      </c>
      <c r="Q2" t="s">
        <v>41</v>
      </c>
      <c r="S2" s="6" t="s">
        <v>220</v>
      </c>
      <c r="U2" t="s">
        <v>43</v>
      </c>
      <c r="W2" t="s">
        <v>44</v>
      </c>
      <c r="Y2" t="s">
        <v>45</v>
      </c>
      <c r="AA2" t="s">
        <v>46</v>
      </c>
      <c r="AC2" t="s">
        <v>47</v>
      </c>
      <c r="AE2" t="s">
        <v>48</v>
      </c>
    </row>
    <row r="3" spans="1:31" x14ac:dyDescent="0.25">
      <c r="A3" t="s">
        <v>26</v>
      </c>
      <c r="C3">
        <v>61</v>
      </c>
      <c r="D3" t="s">
        <v>49</v>
      </c>
      <c r="E3" t="str">
        <f>tblIntituléCompte[[#This Row],[num]]&amp;" - "&amp;tblIntituléCompte[[#This Row],[Description]]</f>
        <v>61 - Services extérieurs</v>
      </c>
      <c r="G3">
        <v>60210000</v>
      </c>
      <c r="H3" t="s">
        <v>50</v>
      </c>
      <c r="J3">
        <v>78</v>
      </c>
      <c r="K3" t="s">
        <v>51</v>
      </c>
      <c r="L3" t="str">
        <f>Tableau5[[#This Row],[num]]&amp;" - "&amp;Tableau5[[#This Row],[Description]]</f>
        <v>78 - Reprise dépréciation créances douteuses</v>
      </c>
      <c r="Q3" t="s">
        <v>52</v>
      </c>
      <c r="S3" t="s">
        <v>42</v>
      </c>
      <c r="U3" t="s">
        <v>54</v>
      </c>
      <c r="Y3" t="s">
        <v>55</v>
      </c>
      <c r="AA3" t="s">
        <v>56</v>
      </c>
      <c r="AC3" t="s">
        <v>57</v>
      </c>
      <c r="AE3" t="s">
        <v>58</v>
      </c>
    </row>
    <row r="4" spans="1:31" x14ac:dyDescent="0.25">
      <c r="A4" t="s">
        <v>23</v>
      </c>
      <c r="C4">
        <v>62</v>
      </c>
      <c r="D4" t="s">
        <v>59</v>
      </c>
      <c r="E4" t="str">
        <f>tblIntituléCompte[[#This Row],[num]]&amp;" - "&amp;tblIntituléCompte[[#This Row],[Description]]</f>
        <v>62 - Administration</v>
      </c>
      <c r="G4">
        <v>60400000</v>
      </c>
      <c r="H4" t="s">
        <v>60</v>
      </c>
      <c r="J4">
        <v>601</v>
      </c>
      <c r="K4" t="s">
        <v>61</v>
      </c>
      <c r="L4" t="str">
        <f>Tableau5[[#This Row],[num]]&amp;" - "&amp;Tableau5[[#This Row],[Description]]</f>
        <v>601 - Eau</v>
      </c>
      <c r="Q4" t="s">
        <v>62</v>
      </c>
      <c r="S4" t="s">
        <v>53</v>
      </c>
      <c r="U4" t="s">
        <v>64</v>
      </c>
      <c r="Y4" t="s">
        <v>65</v>
      </c>
      <c r="AA4" t="s">
        <v>66</v>
      </c>
      <c r="AC4" t="s">
        <v>67</v>
      </c>
      <c r="AE4" t="s">
        <v>68</v>
      </c>
    </row>
    <row r="5" spans="1:31" x14ac:dyDescent="0.25">
      <c r="A5" t="s">
        <v>27</v>
      </c>
      <c r="C5">
        <v>63</v>
      </c>
      <c r="D5" t="s">
        <v>69</v>
      </c>
      <c r="E5" t="str">
        <f>tblIntituléCompte[[#This Row],[num]]&amp;" - "&amp;tblIntituléCompte[[#This Row],[Description]]</f>
        <v>63 - Impôts &amp; taxes</v>
      </c>
      <c r="G5">
        <v>60410000</v>
      </c>
      <c r="H5" t="s">
        <v>70</v>
      </c>
      <c r="J5">
        <v>602</v>
      </c>
      <c r="K5" t="s">
        <v>50</v>
      </c>
      <c r="L5" t="str">
        <f>Tableau5[[#This Row],[num]]&amp;" - "&amp;Tableau5[[#This Row],[Description]]</f>
        <v>602 - Electricité</v>
      </c>
      <c r="Q5" t="s">
        <v>71</v>
      </c>
      <c r="S5" t="s">
        <v>63</v>
      </c>
      <c r="U5" t="s">
        <v>73</v>
      </c>
      <c r="Y5" t="s">
        <v>74</v>
      </c>
      <c r="AA5" t="s">
        <v>75</v>
      </c>
      <c r="AC5" t="s">
        <v>76</v>
      </c>
      <c r="AE5" t="s">
        <v>77</v>
      </c>
    </row>
    <row r="6" spans="1:31" x14ac:dyDescent="0.25">
      <c r="A6" t="s">
        <v>218</v>
      </c>
      <c r="C6">
        <v>64</v>
      </c>
      <c r="D6" t="s">
        <v>78</v>
      </c>
      <c r="E6" t="str">
        <f>tblIntituléCompte[[#This Row],[num]]&amp;" - "&amp;tblIntituléCompte[[#This Row],[Description]]</f>
        <v>64 - Frais de personnel</v>
      </c>
      <c r="G6">
        <v>60441000</v>
      </c>
      <c r="H6" t="s">
        <v>70</v>
      </c>
      <c r="J6" s="5">
        <v>603</v>
      </c>
      <c r="K6" t="s">
        <v>79</v>
      </c>
      <c r="L6" t="str">
        <f>Tableau5[[#This Row],[num]]&amp;" - "&amp;Tableau5[[#This Row],[Description]]</f>
        <v>603 - Chauffage</v>
      </c>
      <c r="Q6" t="s">
        <v>80</v>
      </c>
      <c r="S6" t="s">
        <v>72</v>
      </c>
      <c r="U6" t="s">
        <v>82</v>
      </c>
      <c r="Y6" t="s">
        <v>83</v>
      </c>
      <c r="AA6" t="s">
        <v>84</v>
      </c>
      <c r="AE6" t="s">
        <v>85</v>
      </c>
    </row>
    <row r="7" spans="1:31" x14ac:dyDescent="0.25">
      <c r="A7" t="s">
        <v>24</v>
      </c>
      <c r="C7">
        <v>66</v>
      </c>
      <c r="D7" t="s">
        <v>86</v>
      </c>
      <c r="E7" t="str">
        <f>tblIntituléCompte[[#This Row],[num]]&amp;" - "&amp;tblIntituléCompte[[#This Row],[Description]]</f>
        <v>66 - Charges financières des emprunts, agios ou autres</v>
      </c>
      <c r="G7">
        <v>60500000</v>
      </c>
      <c r="H7" t="s">
        <v>87</v>
      </c>
      <c r="J7">
        <v>604</v>
      </c>
      <c r="K7" t="s">
        <v>70</v>
      </c>
      <c r="L7" t="str">
        <f>Tableau5[[#This Row],[num]]&amp;" - "&amp;Tableau5[[#This Row],[Description]]</f>
        <v>604 - Produits d'entretien et petit équipement</v>
      </c>
      <c r="S7" t="s">
        <v>81</v>
      </c>
      <c r="U7" t="s">
        <v>89</v>
      </c>
    </row>
    <row r="8" spans="1:31" x14ac:dyDescent="0.25">
      <c r="C8">
        <v>67</v>
      </c>
      <c r="D8" t="s">
        <v>90</v>
      </c>
      <c r="E8" t="str">
        <f>tblIntituléCompte[[#This Row],[num]]&amp;" - "&amp;tblIntituléCompte[[#This Row],[Description]]</f>
        <v>67 - Charges exceptionnelles</v>
      </c>
      <c r="G8">
        <v>60630000</v>
      </c>
      <c r="H8" t="s">
        <v>91</v>
      </c>
      <c r="J8">
        <v>605</v>
      </c>
      <c r="K8" t="s">
        <v>87</v>
      </c>
      <c r="L8" t="str">
        <f>Tableau5[[#This Row],[num]]&amp;" - "&amp;Tableau5[[#This Row],[Description]]</f>
        <v>605 - Achat de matériel, équipements</v>
      </c>
      <c r="S8" t="s">
        <v>88</v>
      </c>
    </row>
    <row r="9" spans="1:31" x14ac:dyDescent="0.25">
      <c r="C9">
        <v>68</v>
      </c>
      <c r="D9" t="s">
        <v>40</v>
      </c>
      <c r="E9" t="str">
        <f>tblIntituléCompte[[#This Row],[num]]&amp;" - "&amp;tblIntituléCompte[[#This Row],[Description]]</f>
        <v>68 - Dépréciation créances douteuses</v>
      </c>
      <c r="G9">
        <v>60640000</v>
      </c>
      <c r="H9" t="s">
        <v>92</v>
      </c>
      <c r="J9">
        <v>606</v>
      </c>
      <c r="K9" t="s">
        <v>92</v>
      </c>
      <c r="L9" t="str">
        <f>Tableau5[[#This Row],[num]]&amp;" - "&amp;Tableau5[[#This Row],[Description]]</f>
        <v>606 - Fournitures administratives</v>
      </c>
      <c r="Y9" t="s">
        <v>45</v>
      </c>
    </row>
    <row r="10" spans="1:31" x14ac:dyDescent="0.25">
      <c r="C10">
        <v>70</v>
      </c>
      <c r="D10" t="s">
        <v>93</v>
      </c>
      <c r="E10" t="str">
        <f>tblIntituléCompte[[#This Row],[num]]&amp;" - "&amp;tblIntituléCompte[[#This Row],[Description]]</f>
        <v>70 - Produits</v>
      </c>
      <c r="G10">
        <v>61100000</v>
      </c>
      <c r="H10" t="s">
        <v>94</v>
      </c>
      <c r="J10">
        <v>610</v>
      </c>
      <c r="K10" t="s">
        <v>221</v>
      </c>
      <c r="L10" t="str">
        <f>Tableau5[[#This Row],[num]]&amp;" - "&amp;Tableau5[[#This Row],[Description]]</f>
        <v>610 - Charges loge gardien</v>
      </c>
      <c r="Y10" t="str">
        <f>G57&amp;" - "&amp;H57</f>
        <v>64101000 - Salaires gardiens et personnels immeubles</v>
      </c>
    </row>
    <row r="11" spans="1:31" x14ac:dyDescent="0.25">
      <c r="C11">
        <v>71</v>
      </c>
      <c r="D11" t="s">
        <v>96</v>
      </c>
      <c r="E11" t="str">
        <f>tblIntituléCompte[[#This Row],[num]]&amp;" - "&amp;tblIntituléCompte[[#This Row],[Description]]</f>
        <v>71 - Autres produits</v>
      </c>
      <c r="G11">
        <v>61220000</v>
      </c>
      <c r="H11" t="s">
        <v>97</v>
      </c>
      <c r="J11">
        <v>611</v>
      </c>
      <c r="K11" t="s">
        <v>95</v>
      </c>
      <c r="L11" t="str">
        <f>Tableau5[[#This Row],[num]]&amp;" - "&amp;Tableau5[[#This Row],[Description]]</f>
        <v>611 - Nettoyage locaux</v>
      </c>
      <c r="U11" t="s">
        <v>43</v>
      </c>
      <c r="Y11" t="str">
        <f>G58&amp;" - "&amp;H58</f>
        <v>64170000 - Avantages en nature</v>
      </c>
      <c r="AA11" t="s">
        <v>99</v>
      </c>
    </row>
    <row r="12" spans="1:31" x14ac:dyDescent="0.25">
      <c r="C12">
        <v>78</v>
      </c>
      <c r="D12" t="s">
        <v>100</v>
      </c>
      <c r="E12" t="str">
        <f>tblIntituléCompte[[#This Row],[num]]&amp;" - "&amp;tblIntituléCompte[[#This Row],[Description]]</f>
        <v>78 - Produits exceptionnels</v>
      </c>
      <c r="G12">
        <v>61350000</v>
      </c>
      <c r="H12" t="s">
        <v>223</v>
      </c>
      <c r="J12">
        <v>612</v>
      </c>
      <c r="K12" t="s">
        <v>98</v>
      </c>
      <c r="L12" t="str">
        <f>Tableau5[[#This Row],[num]]&amp;" - "&amp;Tableau5[[#This Row],[Description]]</f>
        <v>612 - Locations immobilières</v>
      </c>
      <c r="S12" s="6" t="s">
        <v>72</v>
      </c>
      <c r="U12" t="str">
        <f>G38&amp;" - "&amp;H38</f>
        <v>62110000 - Rémunération du syndic Honoraires de gestion</v>
      </c>
      <c r="Y12" t="str">
        <f>G59&amp;" - "&amp;H59</f>
        <v>64190000 - Reprise en avantage en nature</v>
      </c>
      <c r="AA12" t="s">
        <v>103</v>
      </c>
    </row>
    <row r="13" spans="1:31" x14ac:dyDescent="0.25">
      <c r="G13">
        <v>61402000</v>
      </c>
      <c r="H13" t="s">
        <v>101</v>
      </c>
      <c r="J13" s="5">
        <v>613</v>
      </c>
      <c r="K13" t="s">
        <v>102</v>
      </c>
      <c r="L13" t="str">
        <f>Tableau5[[#This Row],[num]]&amp;" - "&amp;Tableau5[[#This Row],[Description]]</f>
        <v>613 - Locations mobilières</v>
      </c>
      <c r="S13" t="str">
        <f t="shared" ref="S13:S21" si="0">G13&amp;" - "&amp;H13</f>
        <v>61402000 - Contrat maintenance portails, portes</v>
      </c>
      <c r="U13" t="str">
        <f>G39&amp;" - "&amp;H39</f>
        <v>62130200 - Frais postaux AG</v>
      </c>
    </row>
    <row r="14" spans="1:31" x14ac:dyDescent="0.25">
      <c r="G14">
        <v>61405000</v>
      </c>
      <c r="H14" t="s">
        <v>104</v>
      </c>
      <c r="J14">
        <v>614</v>
      </c>
      <c r="K14" t="s">
        <v>105</v>
      </c>
      <c r="L14" t="str">
        <f>Tableau5[[#This Row],[num]]&amp;" - "&amp;Tableau5[[#This Row],[Description]]</f>
        <v>614 - Contrats maintenance</v>
      </c>
      <c r="S14" t="str">
        <f t="shared" si="0"/>
        <v>61405000 - Contrat maintenance extincteurs</v>
      </c>
    </row>
    <row r="15" spans="1:31" x14ac:dyDescent="0.25">
      <c r="G15">
        <v>61403000</v>
      </c>
      <c r="H15" t="s">
        <v>106</v>
      </c>
      <c r="J15">
        <v>615</v>
      </c>
      <c r="K15" t="s">
        <v>107</v>
      </c>
      <c r="L15" t="str">
        <f>Tableau5[[#This Row],[num]]&amp;" - "&amp;Tableau5[[#This Row],[Description]]</f>
        <v>615 - Entretien, réparation</v>
      </c>
      <c r="S15" t="str">
        <f t="shared" si="0"/>
        <v>61403000 - Contrat maintenance VMC</v>
      </c>
    </row>
    <row r="16" spans="1:31" x14ac:dyDescent="0.25">
      <c r="G16">
        <v>61404000</v>
      </c>
      <c r="H16" t="s">
        <v>108</v>
      </c>
      <c r="J16">
        <v>616</v>
      </c>
      <c r="K16" t="s">
        <v>109</v>
      </c>
      <c r="L16" t="str">
        <f>Tableau5[[#This Row],[num]]&amp;" - "&amp;Tableau5[[#This Row],[Description]]</f>
        <v>616 - Assurances</v>
      </c>
      <c r="S16" t="str">
        <f t="shared" si="0"/>
        <v>61404000 - Contrat maintenance suppresseur, extraction</v>
      </c>
    </row>
    <row r="17" spans="1:21" x14ac:dyDescent="0.25">
      <c r="A17" t="s">
        <v>6</v>
      </c>
      <c r="B17" t="s">
        <v>190</v>
      </c>
      <c r="C17" t="s">
        <v>191</v>
      </c>
      <c r="G17">
        <v>61406000</v>
      </c>
      <c r="H17" t="s">
        <v>110</v>
      </c>
      <c r="J17">
        <v>621</v>
      </c>
      <c r="K17" t="s">
        <v>111</v>
      </c>
      <c r="L17" t="str">
        <f>Tableau5[[#This Row],[num]]&amp;" - "&amp;Tableau5[[#This Row],[Description]]</f>
        <v>621 - Hono. Syndic opérations gestion courante</v>
      </c>
      <c r="S17" t="str">
        <f t="shared" si="0"/>
        <v>61406000 - Contrat de maintenance surveillance sécurité</v>
      </c>
    </row>
    <row r="18" spans="1:21" x14ac:dyDescent="0.25">
      <c r="A18">
        <v>1</v>
      </c>
      <c r="B18" t="s">
        <v>192</v>
      </c>
      <c r="C18" t="s">
        <v>193</v>
      </c>
      <c r="G18">
        <v>61416000</v>
      </c>
      <c r="H18" t="s">
        <v>112</v>
      </c>
      <c r="J18">
        <v>622</v>
      </c>
      <c r="K18" t="s">
        <v>113</v>
      </c>
      <c r="L18" t="str">
        <f>Tableau5[[#This Row],[num]]&amp;" - "&amp;Tableau5[[#This Row],[Description]]</f>
        <v>622 - Hono. Syndic opérations exceptionnelles</v>
      </c>
      <c r="S18" t="str">
        <f t="shared" si="0"/>
        <v>61416000 - Contrat maintenance entreprise désinfection VO</v>
      </c>
    </row>
    <row r="19" spans="1:21" x14ac:dyDescent="0.25">
      <c r="A19">
        <v>2</v>
      </c>
      <c r="B19" t="s">
        <v>194</v>
      </c>
      <c r="C19" t="s">
        <v>195</v>
      </c>
      <c r="G19">
        <v>61427000</v>
      </c>
      <c r="H19" t="s">
        <v>114</v>
      </c>
      <c r="J19">
        <v>623</v>
      </c>
      <c r="K19" t="s">
        <v>115</v>
      </c>
      <c r="L19" t="str">
        <f>Tableau5[[#This Row],[num]]&amp;" - "&amp;Tableau5[[#This Row],[Description]]</f>
        <v>623 - Avocats</v>
      </c>
      <c r="S19" t="str">
        <f t="shared" si="0"/>
        <v>61427000 - Contrat maintenance contrôle d'accès</v>
      </c>
    </row>
    <row r="20" spans="1:21" x14ac:dyDescent="0.25">
      <c r="A20">
        <v>3</v>
      </c>
      <c r="B20" t="s">
        <v>196</v>
      </c>
      <c r="C20" t="s">
        <v>197</v>
      </c>
      <c r="G20">
        <v>61428000</v>
      </c>
      <c r="H20" t="s">
        <v>116</v>
      </c>
      <c r="J20">
        <v>624</v>
      </c>
      <c r="K20" t="s">
        <v>117</v>
      </c>
      <c r="L20" t="str">
        <f>Tableau5[[#This Row],[num]]&amp;" - "&amp;Tableau5[[#This Row],[Description]]</f>
        <v>624 - Autres frais</v>
      </c>
      <c r="S20" t="str">
        <f t="shared" si="0"/>
        <v>61428000 - Contrat relevés et entretien compteurs</v>
      </c>
    </row>
    <row r="21" spans="1:21" x14ac:dyDescent="0.25">
      <c r="A21">
        <v>4</v>
      </c>
      <c r="B21" t="s">
        <v>198</v>
      </c>
      <c r="C21" t="s">
        <v>199</v>
      </c>
      <c r="G21">
        <v>61429000</v>
      </c>
      <c r="H21" t="s">
        <v>118</v>
      </c>
      <c r="J21">
        <v>626</v>
      </c>
      <c r="K21" t="s">
        <v>119</v>
      </c>
      <c r="L21" t="str">
        <f>Tableau5[[#This Row],[num]]&amp;" - "&amp;Tableau5[[#This Row],[Description]]</f>
        <v>626 - Téléphone</v>
      </c>
      <c r="S21" t="str">
        <f t="shared" si="0"/>
        <v>61429000 - Contrat maintenance collectif TV/Câble</v>
      </c>
    </row>
    <row r="22" spans="1:21" x14ac:dyDescent="0.25">
      <c r="A22">
        <v>5</v>
      </c>
      <c r="B22" t="s">
        <v>200</v>
      </c>
      <c r="C22" t="s">
        <v>201</v>
      </c>
      <c r="G22">
        <v>61520000</v>
      </c>
      <c r="H22" t="s">
        <v>120</v>
      </c>
      <c r="J22">
        <v>627</v>
      </c>
      <c r="K22" t="s">
        <v>121</v>
      </c>
      <c r="L22" t="str">
        <f>Tableau5[[#This Row],[num]]&amp;" - "&amp;Tableau5[[#This Row],[Description]]</f>
        <v>627 - Frais bancaires et assimilés</v>
      </c>
    </row>
    <row r="23" spans="1:21" x14ac:dyDescent="0.25">
      <c r="A23">
        <v>6</v>
      </c>
      <c r="B23" t="s">
        <v>202</v>
      </c>
      <c r="C23" t="s">
        <v>203</v>
      </c>
      <c r="G23">
        <v>61520200</v>
      </c>
      <c r="H23" t="s">
        <v>122</v>
      </c>
      <c r="J23">
        <v>633</v>
      </c>
      <c r="K23" t="s">
        <v>123</v>
      </c>
      <c r="L23" t="str">
        <f>Tableau5[[#This Row],[num]]&amp;" - "&amp;Tableau5[[#This Row],[Description]]</f>
        <v>633 - Taxes foncières</v>
      </c>
      <c r="U23" t="s">
        <v>54</v>
      </c>
    </row>
    <row r="24" spans="1:21" x14ac:dyDescent="0.25">
      <c r="A24">
        <v>7</v>
      </c>
      <c r="B24" t="s">
        <v>204</v>
      </c>
      <c r="C24" t="s">
        <v>205</v>
      </c>
      <c r="G24">
        <v>61520300</v>
      </c>
      <c r="H24" t="s">
        <v>124</v>
      </c>
      <c r="J24">
        <v>641</v>
      </c>
      <c r="K24" t="s">
        <v>125</v>
      </c>
      <c r="L24" t="str">
        <f>Tableau5[[#This Row],[num]]&amp;" - "&amp;Tableau5[[#This Row],[Description]]</f>
        <v>641 - Salaires gardiens et personnels immeubles</v>
      </c>
      <c r="S24" s="6" t="s">
        <v>81</v>
      </c>
      <c r="U24" t="str">
        <f>G40&amp;" - "&amp;H40</f>
        <v>62211000 - Honoraires syndic travaux</v>
      </c>
    </row>
    <row r="25" spans="1:21" x14ac:dyDescent="0.25">
      <c r="A25">
        <v>8</v>
      </c>
      <c r="B25" t="s">
        <v>206</v>
      </c>
      <c r="C25" t="s">
        <v>207</v>
      </c>
      <c r="G25">
        <v>61520400</v>
      </c>
      <c r="H25" t="s">
        <v>126</v>
      </c>
      <c r="J25">
        <v>642</v>
      </c>
      <c r="K25" t="s">
        <v>127</v>
      </c>
      <c r="L25" t="str">
        <f>Tableau5[[#This Row],[num]]&amp;" - "&amp;Tableau5[[#This Row],[Description]]</f>
        <v>642 - URSSAF</v>
      </c>
      <c r="S25" t="str">
        <f t="shared" ref="S25:S36" si="1">G23&amp;" - "&amp;H23</f>
        <v>61520200 - Entretien et petites réparations vide ordure</v>
      </c>
      <c r="U25" t="str">
        <f t="shared" ref="U25:U31" si="2">G41&amp;" - "&amp;H41</f>
        <v>62220200 - Honoraires syndic sinistres</v>
      </c>
    </row>
    <row r="26" spans="1:21" x14ac:dyDescent="0.25">
      <c r="A26">
        <v>9</v>
      </c>
      <c r="B26" t="s">
        <v>208</v>
      </c>
      <c r="C26" t="s">
        <v>209</v>
      </c>
      <c r="G26">
        <v>61520600</v>
      </c>
      <c r="H26" t="s">
        <v>128</v>
      </c>
      <c r="J26">
        <v>643</v>
      </c>
      <c r="K26" t="s">
        <v>129</v>
      </c>
      <c r="L26" t="str">
        <f>Tableau5[[#This Row],[num]]&amp;" - "&amp;Tableau5[[#This Row],[Description]]</f>
        <v>643 - Cotisations</v>
      </c>
      <c r="S26" t="str">
        <f t="shared" si="1"/>
        <v>61520300 - Entretien et petites réparations électricité</v>
      </c>
      <c r="U26" t="str">
        <f t="shared" si="2"/>
        <v>62220300 - Honoraires syndic contentieux et impayés</v>
      </c>
    </row>
    <row r="27" spans="1:21" x14ac:dyDescent="0.25">
      <c r="A27">
        <v>10</v>
      </c>
      <c r="B27" t="s">
        <v>210</v>
      </c>
      <c r="C27" t="s">
        <v>211</v>
      </c>
      <c r="G27">
        <v>61520800</v>
      </c>
      <c r="H27" t="s">
        <v>130</v>
      </c>
      <c r="J27">
        <v>644</v>
      </c>
      <c r="K27" t="s">
        <v>78</v>
      </c>
      <c r="L27" t="str">
        <f>Tableau5[[#This Row],[num]]&amp;" - "&amp;Tableau5[[#This Row],[Description]]</f>
        <v>644 - Frais de personnel</v>
      </c>
      <c r="S27" t="str">
        <f t="shared" si="1"/>
        <v>61520400 - Entretien et petites réparations plomberie</v>
      </c>
      <c r="U27" t="str">
        <f t="shared" si="2"/>
        <v>62220500 - Honoraires syndic frais administratifs</v>
      </c>
    </row>
    <row r="28" spans="1:21" x14ac:dyDescent="0.25">
      <c r="A28">
        <v>11</v>
      </c>
      <c r="B28" t="s">
        <v>212</v>
      </c>
      <c r="C28" t="s">
        <v>213</v>
      </c>
      <c r="G28">
        <v>61520900</v>
      </c>
      <c r="H28" t="s">
        <v>131</v>
      </c>
      <c r="J28">
        <v>645</v>
      </c>
      <c r="K28" t="s">
        <v>132</v>
      </c>
      <c r="L28" t="str">
        <f>Tableau5[[#This Row],[num]]&amp;" - "&amp;Tableau5[[#This Row],[Description]]</f>
        <v>645 - Cotisation aux mutuelles</v>
      </c>
      <c r="S28" t="str">
        <f t="shared" si="1"/>
        <v>61520600 - Entretien et petites réparations étanchéité</v>
      </c>
      <c r="U28" t="str">
        <f t="shared" si="2"/>
        <v>62220610 - Honoraires syndic vacations</v>
      </c>
    </row>
    <row r="29" spans="1:21" x14ac:dyDescent="0.25">
      <c r="A29">
        <v>12</v>
      </c>
      <c r="B29" t="s">
        <v>214</v>
      </c>
      <c r="C29" t="s">
        <v>215</v>
      </c>
      <c r="G29">
        <v>61521100</v>
      </c>
      <c r="H29" t="s">
        <v>133</v>
      </c>
      <c r="J29">
        <v>661</v>
      </c>
      <c r="K29" t="s">
        <v>134</v>
      </c>
      <c r="L29" t="str">
        <f>Tableau5[[#This Row],[num]]&amp;" - "&amp;Tableau5[[#This Row],[Description]]</f>
        <v>661 - Remboursement annuité emprunt</v>
      </c>
      <c r="S29" t="str">
        <f t="shared" si="1"/>
        <v>61520800 - Entretien et petites réparations portes et serrures</v>
      </c>
      <c r="U29" t="str">
        <f t="shared" si="2"/>
        <v>62221100 - Honoraires syndic AG et CS</v>
      </c>
    </row>
    <row r="30" spans="1:21" x14ac:dyDescent="0.25">
      <c r="A30">
        <v>13</v>
      </c>
      <c r="B30" t="s">
        <v>216</v>
      </c>
      <c r="C30" t="s">
        <v>217</v>
      </c>
      <c r="G30">
        <v>61521300</v>
      </c>
      <c r="H30" t="s">
        <v>135</v>
      </c>
      <c r="J30">
        <v>671</v>
      </c>
      <c r="K30" t="s">
        <v>136</v>
      </c>
      <c r="L30" t="str">
        <f>Tableau5[[#This Row],[num]]&amp;" - "&amp;Tableau5[[#This Row],[Description]]</f>
        <v>671 - Travaux décidés par l'assemblée</v>
      </c>
      <c r="S30" t="str">
        <f t="shared" si="1"/>
        <v>61520900 - Entretien espaces verts</v>
      </c>
      <c r="U30" t="str">
        <f>G46&amp;" - "&amp;H46</f>
        <v>62221200 - Honoraires syndic photocopies</v>
      </c>
    </row>
    <row r="31" spans="1:21" x14ac:dyDescent="0.25">
      <c r="G31">
        <v>61521300</v>
      </c>
      <c r="H31" t="s">
        <v>137</v>
      </c>
      <c r="J31">
        <v>672</v>
      </c>
      <c r="K31" t="s">
        <v>138</v>
      </c>
      <c r="L31" t="str">
        <f>Tableau5[[#This Row],[num]]&amp;" - "&amp;Tableau5[[#This Row],[Description]]</f>
        <v>672 - Travaux urgents</v>
      </c>
      <c r="S31" t="str">
        <f t="shared" si="1"/>
        <v>61521100 - Entretien et petites réparations ventilations</v>
      </c>
      <c r="U31" t="str">
        <f t="shared" si="2"/>
        <v>62229900 - Autres honoraires syndic prestations particulières</v>
      </c>
    </row>
    <row r="32" spans="1:21" x14ac:dyDescent="0.25">
      <c r="G32">
        <v>61521400</v>
      </c>
      <c r="H32" t="s">
        <v>139</v>
      </c>
      <c r="J32">
        <v>673</v>
      </c>
      <c r="K32" t="s">
        <v>140</v>
      </c>
      <c r="L32" t="str">
        <f>Tableau5[[#This Row],[num]]&amp;" - "&amp;Tableau5[[#This Row],[Description]]</f>
        <v>673 - Etudes techniques</v>
      </c>
      <c r="S32" t="str">
        <f t="shared" si="1"/>
        <v>61521300 - Entretien et réparations réseau eaux usées</v>
      </c>
      <c r="U32" t="s">
        <v>143</v>
      </c>
    </row>
    <row r="33" spans="7:19" x14ac:dyDescent="0.25">
      <c r="G33">
        <v>61522100</v>
      </c>
      <c r="H33" t="s">
        <v>141</v>
      </c>
      <c r="J33">
        <v>677</v>
      </c>
      <c r="K33" t="s">
        <v>142</v>
      </c>
      <c r="L33" t="str">
        <f>Tableau5[[#This Row],[num]]&amp;" - "&amp;Tableau5[[#This Row],[Description]]</f>
        <v>677 - Pertes / créances douteuses</v>
      </c>
      <c r="S33" t="str">
        <f t="shared" si="1"/>
        <v>61521300 - Entretien et petites réparations eaux usées</v>
      </c>
    </row>
    <row r="34" spans="7:19" x14ac:dyDescent="0.25">
      <c r="G34">
        <v>61550100</v>
      </c>
      <c r="H34" t="s">
        <v>144</v>
      </c>
      <c r="J34">
        <v>678</v>
      </c>
      <c r="K34" t="s">
        <v>90</v>
      </c>
      <c r="L34" t="str">
        <f>Tableau5[[#This Row],[num]]&amp;" - "&amp;Tableau5[[#This Row],[Description]]</f>
        <v>678 - Charges exceptionnelles</v>
      </c>
      <c r="S34" t="str">
        <f t="shared" si="1"/>
        <v>61521400 - Entretien et réparations désinfection dératisation</v>
      </c>
    </row>
    <row r="35" spans="7:19" x14ac:dyDescent="0.25">
      <c r="G35">
        <v>61529500</v>
      </c>
      <c r="H35" t="s">
        <v>145</v>
      </c>
      <c r="J35">
        <v>680</v>
      </c>
      <c r="K35" t="s">
        <v>40</v>
      </c>
      <c r="L35" t="str">
        <f>Tableau5[[#This Row],[num]]&amp;" - "&amp;Tableau5[[#This Row],[Description]]</f>
        <v>680 - Dépréciation créances douteuses</v>
      </c>
      <c r="S35" t="str">
        <f t="shared" si="1"/>
        <v>61522100 - Entretien et petites réparations miroiterie, vitrerie</v>
      </c>
    </row>
    <row r="36" spans="7:19" x14ac:dyDescent="0.25">
      <c r="G36">
        <v>61559900</v>
      </c>
      <c r="H36" t="s">
        <v>146</v>
      </c>
      <c r="J36" s="5">
        <v>701</v>
      </c>
      <c r="K36" t="s">
        <v>147</v>
      </c>
      <c r="L36" t="str">
        <f>Tableau5[[#This Row],[num]]&amp;" - "&amp;Tableau5[[#This Row],[Description]]</f>
        <v>701 - Provisions</v>
      </c>
      <c r="S36" t="str">
        <f t="shared" si="1"/>
        <v>61550100 - Entretien et petites réparations matériel</v>
      </c>
    </row>
    <row r="37" spans="7:19" x14ac:dyDescent="0.25">
      <c r="G37">
        <v>61610000</v>
      </c>
      <c r="H37" t="s">
        <v>148</v>
      </c>
      <c r="J37" s="5">
        <v>702</v>
      </c>
      <c r="K37" t="s">
        <v>149</v>
      </c>
      <c r="L37" t="str">
        <f>Tableau5[[#This Row],[num]]&amp;" - "&amp;Tableau5[[#This Row],[Description]]</f>
        <v>702 - Provisions travaux</v>
      </c>
    </row>
    <row r="38" spans="7:19" x14ac:dyDescent="0.25">
      <c r="G38">
        <v>62110000</v>
      </c>
      <c r="H38" t="s">
        <v>150</v>
      </c>
      <c r="J38">
        <v>703</v>
      </c>
      <c r="K38" t="s">
        <v>151</v>
      </c>
      <c r="L38" t="str">
        <f>Tableau5[[#This Row],[num]]&amp;" - "&amp;Tableau5[[#This Row],[Description]]</f>
        <v>703 - Avances copropriétaires</v>
      </c>
    </row>
    <row r="39" spans="7:19" x14ac:dyDescent="0.25">
      <c r="G39">
        <v>62130200</v>
      </c>
      <c r="H39" t="s">
        <v>152</v>
      </c>
      <c r="J39">
        <v>704</v>
      </c>
      <c r="K39" t="s">
        <v>153</v>
      </c>
      <c r="L39" t="str">
        <f>Tableau5[[#This Row],[num]]&amp;" - "&amp;Tableau5[[#This Row],[Description]]</f>
        <v>704 - Annuité emprunt</v>
      </c>
    </row>
    <row r="40" spans="7:19" x14ac:dyDescent="0.25">
      <c r="G40">
        <v>62211000</v>
      </c>
      <c r="H40" t="s">
        <v>154</v>
      </c>
      <c r="J40">
        <v>711</v>
      </c>
      <c r="K40" t="s">
        <v>155</v>
      </c>
      <c r="L40" t="str">
        <f>Tableau5[[#This Row],[num]]&amp;" - "&amp;Tableau5[[#This Row],[Description]]</f>
        <v>711 - Subventions</v>
      </c>
    </row>
    <row r="41" spans="7:19" x14ac:dyDescent="0.25">
      <c r="G41">
        <v>62220200</v>
      </c>
      <c r="H41" t="s">
        <v>156</v>
      </c>
      <c r="J41">
        <v>713</v>
      </c>
      <c r="K41" t="s">
        <v>157</v>
      </c>
      <c r="L41" t="str">
        <f>Tableau5[[#This Row],[num]]&amp;" - "&amp;Tableau5[[#This Row],[Description]]</f>
        <v>713 - Indemnités assurance</v>
      </c>
    </row>
    <row r="42" spans="7:19" x14ac:dyDescent="0.25">
      <c r="G42">
        <v>62220300</v>
      </c>
      <c r="H42" t="s">
        <v>158</v>
      </c>
      <c r="J42">
        <v>714</v>
      </c>
      <c r="K42" t="s">
        <v>159</v>
      </c>
      <c r="L42" t="str">
        <f>Tableau5[[#This Row],[num]]&amp;" - "&amp;Tableau5[[#This Row],[Description]]</f>
        <v>714 - Produits divers</v>
      </c>
    </row>
    <row r="43" spans="7:19" x14ac:dyDescent="0.25">
      <c r="G43">
        <v>62220500</v>
      </c>
      <c r="H43" t="s">
        <v>160</v>
      </c>
      <c r="J43">
        <v>716</v>
      </c>
      <c r="K43" t="s">
        <v>161</v>
      </c>
      <c r="L43" t="str">
        <f>Tableau5[[#This Row],[num]]&amp;" - "&amp;Tableau5[[#This Row],[Description]]</f>
        <v>716 - Produits financiers</v>
      </c>
    </row>
    <row r="44" spans="7:19" x14ac:dyDescent="0.25">
      <c r="G44">
        <v>62220610</v>
      </c>
      <c r="H44" t="s">
        <v>162</v>
      </c>
      <c r="J44">
        <v>718</v>
      </c>
      <c r="K44" t="s">
        <v>100</v>
      </c>
      <c r="L44" t="str">
        <f>Tableau5[[#This Row],[num]]&amp;" - "&amp;Tableau5[[#This Row],[Description]]</f>
        <v>718 - Produits exceptionnels</v>
      </c>
    </row>
    <row r="45" spans="7:19" x14ac:dyDescent="0.25">
      <c r="G45">
        <v>62221100</v>
      </c>
      <c r="H45" t="s">
        <v>163</v>
      </c>
    </row>
    <row r="46" spans="7:19" x14ac:dyDescent="0.25">
      <c r="G46">
        <v>62221200</v>
      </c>
      <c r="H46" t="s">
        <v>164</v>
      </c>
    </row>
    <row r="47" spans="7:19" x14ac:dyDescent="0.25">
      <c r="G47">
        <v>62229900</v>
      </c>
      <c r="H47" t="s">
        <v>165</v>
      </c>
    </row>
    <row r="48" spans="7:19" x14ac:dyDescent="0.25">
      <c r="G48">
        <v>62310000</v>
      </c>
      <c r="H48" t="s">
        <v>115</v>
      </c>
    </row>
    <row r="49" spans="7:8" x14ac:dyDescent="0.25">
      <c r="G49">
        <v>62320000</v>
      </c>
      <c r="H49" t="s">
        <v>166</v>
      </c>
    </row>
    <row r="50" spans="7:8" x14ac:dyDescent="0.25">
      <c r="G50">
        <v>62340000</v>
      </c>
      <c r="H50" t="s">
        <v>167</v>
      </c>
    </row>
    <row r="51" spans="7:8" x14ac:dyDescent="0.25">
      <c r="G51">
        <v>62360000</v>
      </c>
      <c r="H51" t="s">
        <v>168</v>
      </c>
    </row>
    <row r="52" spans="7:8" x14ac:dyDescent="0.25">
      <c r="G52">
        <v>62400000</v>
      </c>
      <c r="H52" t="s">
        <v>169</v>
      </c>
    </row>
    <row r="53" spans="7:8" x14ac:dyDescent="0.25">
      <c r="G53">
        <v>62621000</v>
      </c>
      <c r="H53" t="s">
        <v>119</v>
      </c>
    </row>
    <row r="54" spans="7:8" x14ac:dyDescent="0.25">
      <c r="G54">
        <v>62700000</v>
      </c>
      <c r="H54" t="s">
        <v>121</v>
      </c>
    </row>
    <row r="55" spans="7:8" x14ac:dyDescent="0.25">
      <c r="G55">
        <v>63301000</v>
      </c>
      <c r="H55" t="s">
        <v>123</v>
      </c>
    </row>
    <row r="56" spans="7:8" x14ac:dyDescent="0.25">
      <c r="G56">
        <v>63302000</v>
      </c>
      <c r="H56" t="s">
        <v>170</v>
      </c>
    </row>
    <row r="57" spans="7:8" x14ac:dyDescent="0.25">
      <c r="G57">
        <v>64101000</v>
      </c>
      <c r="H57" t="s">
        <v>125</v>
      </c>
    </row>
    <row r="58" spans="7:8" x14ac:dyDescent="0.25">
      <c r="G58">
        <v>64170000</v>
      </c>
      <c r="H58" t="s">
        <v>171</v>
      </c>
    </row>
    <row r="59" spans="7:8" x14ac:dyDescent="0.25">
      <c r="G59">
        <v>64190000</v>
      </c>
      <c r="H59" t="s">
        <v>172</v>
      </c>
    </row>
    <row r="60" spans="7:8" x14ac:dyDescent="0.25">
      <c r="G60">
        <v>64224100</v>
      </c>
      <c r="H60" t="s">
        <v>173</v>
      </c>
    </row>
    <row r="61" spans="7:8" x14ac:dyDescent="0.25">
      <c r="G61">
        <v>64243000</v>
      </c>
      <c r="H61" t="s">
        <v>174</v>
      </c>
    </row>
    <row r="62" spans="7:8" x14ac:dyDescent="0.25">
      <c r="G62">
        <v>64244000</v>
      </c>
      <c r="H62" t="s">
        <v>175</v>
      </c>
    </row>
    <row r="63" spans="7:8" x14ac:dyDescent="0.25">
      <c r="G63">
        <v>64245000</v>
      </c>
      <c r="H63" t="s">
        <v>176</v>
      </c>
    </row>
    <row r="64" spans="7:8" x14ac:dyDescent="0.25">
      <c r="G64">
        <v>64248000</v>
      </c>
      <c r="H64" t="s">
        <v>177</v>
      </c>
    </row>
    <row r="65" spans="7:8" x14ac:dyDescent="0.25">
      <c r="G65">
        <v>64300000</v>
      </c>
      <c r="H65" t="s">
        <v>178</v>
      </c>
    </row>
    <row r="66" spans="7:8" x14ac:dyDescent="0.25">
      <c r="G66">
        <v>64410000</v>
      </c>
      <c r="H66" t="s">
        <v>179</v>
      </c>
    </row>
    <row r="67" spans="7:8" x14ac:dyDescent="0.25">
      <c r="G67">
        <v>64430000</v>
      </c>
      <c r="H67" t="s">
        <v>180</v>
      </c>
    </row>
    <row r="68" spans="7:8" x14ac:dyDescent="0.25">
      <c r="G68">
        <v>64520000</v>
      </c>
      <c r="H68" t="s">
        <v>132</v>
      </c>
    </row>
    <row r="69" spans="7:8" x14ac:dyDescent="0.25">
      <c r="G69">
        <v>67300000</v>
      </c>
      <c r="H69" t="s">
        <v>167</v>
      </c>
    </row>
    <row r="70" spans="7:8" x14ac:dyDescent="0.25">
      <c r="G70">
        <v>67890000</v>
      </c>
      <c r="H70" t="s">
        <v>181</v>
      </c>
    </row>
    <row r="71" spans="7:8" x14ac:dyDescent="0.25">
      <c r="G71">
        <v>68000000</v>
      </c>
      <c r="H71" t="s">
        <v>40</v>
      </c>
    </row>
    <row r="72" spans="7:8" x14ac:dyDescent="0.25">
      <c r="G72">
        <v>71310000</v>
      </c>
      <c r="H72" t="s">
        <v>182</v>
      </c>
    </row>
    <row r="73" spans="7:8" x14ac:dyDescent="0.25">
      <c r="G73">
        <v>71331000</v>
      </c>
      <c r="H73" t="s">
        <v>182</v>
      </c>
    </row>
    <row r="74" spans="7:8" x14ac:dyDescent="0.25">
      <c r="G74">
        <v>71410000</v>
      </c>
      <c r="H74" t="s">
        <v>183</v>
      </c>
    </row>
    <row r="75" spans="7:8" x14ac:dyDescent="0.25">
      <c r="G75">
        <v>71610000</v>
      </c>
      <c r="H75" t="s">
        <v>184</v>
      </c>
    </row>
    <row r="76" spans="7:8" x14ac:dyDescent="0.25">
      <c r="G76">
        <v>71801001</v>
      </c>
      <c r="H76" t="s">
        <v>185</v>
      </c>
    </row>
  </sheetData>
  <pageMargins left="0.7" right="0.7" top="0.75" bottom="0.75" header="0.3" footer="0.3"/>
  <pageSetup paperSize="9" orientation="portrait" horizontalDpi="4294967292" verticalDpi="0" r:id="rId1"/>
  <tableParts count="19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197"/>
  <sheetViews>
    <sheetView workbookViewId="0">
      <pane ySplit="1" topLeftCell="A11" activePane="bottomLeft" state="frozenSplit"/>
      <selection activeCell="B1" sqref="B1"/>
      <selection pane="bottomLeft" activeCell="A11" sqref="A11"/>
    </sheetView>
  </sheetViews>
  <sheetFormatPr defaultColWidth="11.42578125" defaultRowHeight="15" outlineLevelCol="1" x14ac:dyDescent="0.25"/>
  <cols>
    <col min="1" max="1" width="31.28515625" bestFit="1" customWidth="1"/>
    <col min="2" max="2" width="11.28515625" customWidth="1"/>
    <col min="3" max="4" width="9.7109375" customWidth="1"/>
    <col min="5" max="5" width="38.85546875" customWidth="1" outlineLevel="1"/>
    <col min="6" max="6" width="44.28515625" customWidth="1" outlineLevel="1"/>
    <col min="7" max="7" width="11.28515625" customWidth="1"/>
    <col min="8" max="8" width="47.28515625" bestFit="1" customWidth="1" collapsed="1"/>
    <col min="9" max="9" width="11.7109375" bestFit="1" customWidth="1"/>
    <col min="10" max="10" width="14" hidden="1" customWidth="1" outlineLevel="1"/>
    <col min="11" max="11" width="11.7109375" hidden="1" customWidth="1" outlineLevel="1"/>
    <col min="12" max="12" width="13.85546875" hidden="1" customWidth="1" outlineLevel="1"/>
    <col min="13" max="13" width="11.5703125" hidden="1" customWidth="1" outlineLevel="1"/>
    <col min="14" max="14" width="13.85546875" hidden="1" customWidth="1" outlineLevel="1"/>
    <col min="15" max="15" width="11.5703125" hidden="1" customWidth="1" outlineLevel="1"/>
    <col min="16" max="16" width="13.85546875" hidden="1" customWidth="1" outlineLevel="1"/>
    <col min="17" max="17" width="11.42578125" hidden="1" customWidth="1" outlineLevel="1"/>
    <col min="18" max="18" width="11.42578125" customWidth="1" collapsed="1"/>
    <col min="19" max="19" width="11.42578125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s="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219</v>
      </c>
      <c r="X1" t="s">
        <v>224</v>
      </c>
    </row>
    <row r="2" spans="1:24" x14ac:dyDescent="0.25">
      <c r="A2" t="s">
        <v>22</v>
      </c>
      <c r="B2">
        <v>60210000</v>
      </c>
      <c r="C2">
        <f>VALUE(LEFT(tblBDD[[#This Row],[N Compte 1]],2))</f>
        <v>60</v>
      </c>
      <c r="D2">
        <f>VALUE(LEFT(tblBDD[[#This Row],[N Compte 1]],3))</f>
        <v>602</v>
      </c>
      <c r="E2" t="str">
        <f>VLOOKUP(tblBDD[[#This Row],[N abrégé 1]],tblIntituléCompte[#Data],3,FALSE)</f>
        <v>60 - Achats fournitures</v>
      </c>
      <c r="F2" t="str">
        <f>VLOOKUP(tblBDD[[#This Row],[N abrégé 2]],Tableau5[#Data],3,FALSE)</f>
        <v>602 - Electricité</v>
      </c>
      <c r="H2" t="str">
        <f>VLOOKUP(tblBDD[[#This Row],[N Compte 1]],tblDescriptionCompte[#Data],2,FALSE)</f>
        <v>Electricité</v>
      </c>
      <c r="I2" t="b">
        <f>COUNT(tblBDD[[#This Row],[B2011]:[B2014]])=7</f>
        <v>0</v>
      </c>
      <c r="J2" s="2"/>
      <c r="K2" s="3">
        <v>1822.43</v>
      </c>
      <c r="L2" s="2"/>
      <c r="M2" s="2"/>
      <c r="N2" s="2"/>
      <c r="O2" s="1"/>
      <c r="P2" s="2"/>
      <c r="Q2" s="2"/>
      <c r="R2" s="2"/>
      <c r="S2" s="2"/>
      <c r="T2" s="2"/>
      <c r="U2" s="2"/>
      <c r="V2" s="2"/>
      <c r="W2" s="2">
        <v>1650</v>
      </c>
      <c r="X2" s="2"/>
    </row>
    <row r="3" spans="1:24" x14ac:dyDescent="0.25">
      <c r="A3" t="s">
        <v>22</v>
      </c>
      <c r="B3">
        <v>60400000</v>
      </c>
      <c r="C3">
        <f>VALUE(LEFT(tblBDD[[#This Row],[N Compte 1]],2))</f>
        <v>60</v>
      </c>
      <c r="D3">
        <f>VALUE(LEFT(tblBDD[[#This Row],[N Compte 1]],3))</f>
        <v>604</v>
      </c>
      <c r="E3" t="str">
        <f>VLOOKUP(tblBDD[[#This Row],[N abrégé 1]],tblIntituléCompte[#Data],3,FALSE)</f>
        <v>60 - Achats fournitures</v>
      </c>
      <c r="F3" t="str">
        <f>VLOOKUP(tblBDD[[#This Row],[N abrégé 2]],Tableau5[#Data],3,FALSE)</f>
        <v>604 - Produits d'entretien et petit équipement</v>
      </c>
      <c r="H3" t="str">
        <f>VLOOKUP(tblBDD[[#This Row],[N Compte 1]],tblDescriptionCompte[#Data],2,FALSE)</f>
        <v>Achats produits entretien et petits équipements</v>
      </c>
      <c r="I3" t="b">
        <f>COUNT(tblBDD[[#This Row],[B2011]:[B2014]])=7</f>
        <v>0</v>
      </c>
      <c r="J3" s="2"/>
      <c r="K3" s="3">
        <v>2441.96</v>
      </c>
      <c r="L3" s="2"/>
      <c r="M3" s="2"/>
      <c r="N3" s="2"/>
      <c r="O3" s="1"/>
      <c r="P3" s="2"/>
      <c r="Q3" s="2"/>
      <c r="R3" s="2"/>
      <c r="S3" s="2"/>
      <c r="T3" s="2"/>
      <c r="U3" s="2">
        <v>1432.91</v>
      </c>
      <c r="V3" s="2"/>
      <c r="W3" s="2"/>
      <c r="X3" s="2"/>
    </row>
    <row r="4" spans="1:24" x14ac:dyDescent="0.25">
      <c r="A4" t="s">
        <v>22</v>
      </c>
      <c r="B4">
        <v>60410000</v>
      </c>
      <c r="C4">
        <f>VALUE(LEFT(tblBDD[[#This Row],[N Compte 1]],2))</f>
        <v>60</v>
      </c>
      <c r="D4">
        <f>VALUE(LEFT(tblBDD[[#This Row],[N Compte 1]],3))</f>
        <v>604</v>
      </c>
      <c r="E4" t="str">
        <f>VLOOKUP(tblBDD[[#This Row],[N abrégé 1]],tblIntituléCompte[#Data],3,FALSE)</f>
        <v>60 - Achats fournitures</v>
      </c>
      <c r="F4" t="str">
        <f>VLOOKUP(tblBDD[[#This Row],[N abrégé 2]],Tableau5[#Data],3,FALSE)</f>
        <v>604 - Produits d'entretien et petit équipement</v>
      </c>
      <c r="H4" t="str">
        <f>VLOOKUP(tblBDD[[#This Row],[N Compte 1]],tblDescriptionCompte[#Data],2,FALSE)</f>
        <v>Produits d'entretien et petit équipement</v>
      </c>
      <c r="I4" t="b">
        <f>COUNT(tblBDD[[#This Row],[B2011]:[B2014]])=7</f>
        <v>0</v>
      </c>
      <c r="J4" s="2"/>
      <c r="K4" s="3"/>
      <c r="L4" s="2"/>
      <c r="M4" s="2">
        <v>1505.49</v>
      </c>
      <c r="N4" s="2"/>
      <c r="O4" s="2">
        <v>2907.82</v>
      </c>
      <c r="P4" s="2"/>
      <c r="Q4" s="2">
        <v>1660.7</v>
      </c>
      <c r="R4" s="2"/>
      <c r="S4" s="2"/>
      <c r="T4" s="2"/>
      <c r="U4" s="2"/>
      <c r="V4" s="2"/>
      <c r="W4" s="2"/>
      <c r="X4" s="2"/>
    </row>
    <row r="5" spans="1:24" x14ac:dyDescent="0.25">
      <c r="A5" t="s">
        <v>22</v>
      </c>
      <c r="B5">
        <v>60500000</v>
      </c>
      <c r="C5">
        <f>VALUE(LEFT(tblBDD[[#This Row],[N Compte 1]],2))</f>
        <v>60</v>
      </c>
      <c r="D5">
        <f>VALUE(LEFT(tblBDD[[#This Row],[N Compte 1]],3))</f>
        <v>605</v>
      </c>
      <c r="E5" t="str">
        <f>VLOOKUP(tblBDD[[#This Row],[N abrégé 1]],tblIntituléCompte[#Data],3,FALSE)</f>
        <v>60 - Achats fournitures</v>
      </c>
      <c r="F5" t="str">
        <f>VLOOKUP(tblBDD[[#This Row],[N abrégé 2]],Tableau5[#Data],3,FALSE)</f>
        <v>605 - Achat de matériel, équipements</v>
      </c>
      <c r="H5" t="str">
        <f>VLOOKUP(tblBDD[[#This Row],[N Compte 1]],tblDescriptionCompte[#Data],2,FALSE)</f>
        <v>Achat de matériel, équipements</v>
      </c>
      <c r="I5" t="b">
        <f>COUNT(tblBDD[[#This Row],[B2011]:[B2014]])=7</f>
        <v>0</v>
      </c>
      <c r="J5" s="2"/>
      <c r="K5" s="3"/>
      <c r="L5" s="2"/>
      <c r="M5" s="2">
        <v>697.75</v>
      </c>
      <c r="N5" s="2"/>
      <c r="O5" s="2">
        <v>2942.81</v>
      </c>
      <c r="P5" s="2"/>
      <c r="Q5" s="2"/>
      <c r="R5" s="2"/>
      <c r="S5" s="2">
        <v>3777.23</v>
      </c>
      <c r="T5" s="2"/>
      <c r="U5" s="2"/>
      <c r="V5" s="2">
        <v>0</v>
      </c>
      <c r="W5" s="2"/>
      <c r="X5" s="2"/>
    </row>
    <row r="6" spans="1:24" x14ac:dyDescent="0.25">
      <c r="A6" t="s">
        <v>22</v>
      </c>
      <c r="B6">
        <v>60630000</v>
      </c>
      <c r="C6">
        <f>VALUE(LEFT(tblBDD[[#This Row],[N Compte 1]],2))</f>
        <v>60</v>
      </c>
      <c r="D6">
        <f>VALUE(LEFT(tblBDD[[#This Row],[N Compte 1]],3))</f>
        <v>606</v>
      </c>
      <c r="E6" t="str">
        <f>VLOOKUP(tblBDD[[#This Row],[N abrégé 1]],tblIntituléCompte[#Data],3,FALSE)</f>
        <v>60 - Achats fournitures</v>
      </c>
      <c r="F6" t="str">
        <f>VLOOKUP(tblBDD[[#This Row],[N abrégé 2]],Tableau5[#Data],3,FALSE)</f>
        <v>606 - Fournitures administratives</v>
      </c>
      <c r="H6" t="str">
        <f>VLOOKUP(tblBDD[[#This Row],[N Compte 1]],tblDescriptionCompte[#Data],2,FALSE)</f>
        <v>Fournitures, produits d'entretien petit équipement</v>
      </c>
      <c r="I6" t="b">
        <f>COUNT(tblBDD[[#This Row],[B2011]:[B2014]])=7</f>
        <v>0</v>
      </c>
      <c r="J6" s="2">
        <v>2200</v>
      </c>
      <c r="K6" s="3"/>
      <c r="L6" s="2">
        <v>2500</v>
      </c>
      <c r="M6" s="2"/>
      <c r="N6" s="2">
        <v>2500</v>
      </c>
      <c r="O6" s="2"/>
      <c r="P6" s="2">
        <v>2500</v>
      </c>
      <c r="Q6" s="2"/>
      <c r="R6" s="2">
        <v>1000</v>
      </c>
      <c r="S6" s="2"/>
      <c r="T6" s="2">
        <v>1000</v>
      </c>
      <c r="U6" s="2"/>
      <c r="V6" s="2">
        <v>1000</v>
      </c>
      <c r="W6" s="2">
        <v>1000</v>
      </c>
      <c r="X6" s="2">
        <v>1000</v>
      </c>
    </row>
    <row r="7" spans="1:24" x14ac:dyDescent="0.25">
      <c r="A7" t="s">
        <v>22</v>
      </c>
      <c r="B7">
        <v>60640000</v>
      </c>
      <c r="C7">
        <f>VALUE(LEFT(tblBDD[[#This Row],[N Compte 1]],2))</f>
        <v>60</v>
      </c>
      <c r="D7">
        <f>VALUE(LEFT(tblBDD[[#This Row],[N Compte 1]],3))</f>
        <v>606</v>
      </c>
      <c r="E7" t="str">
        <f>VLOOKUP(tblBDD[[#This Row],[N abrégé 1]],tblIntituléCompte[#Data],3,FALSE)</f>
        <v>60 - Achats fournitures</v>
      </c>
      <c r="F7" t="str">
        <f>VLOOKUP(tblBDD[[#This Row],[N abrégé 2]],Tableau5[#Data],3,FALSE)</f>
        <v>606 - Fournitures administratives</v>
      </c>
      <c r="H7" t="str">
        <f>VLOOKUP(tblBDD[[#This Row],[N Compte 1]],tblDescriptionCompte[#Data],2,FALSE)</f>
        <v>Fournitures administratives</v>
      </c>
      <c r="I7" t="b">
        <f>COUNT(tblBDD[[#This Row],[B2011]:[B2014]])=7</f>
        <v>0</v>
      </c>
      <c r="J7" s="2"/>
      <c r="K7" s="3"/>
      <c r="L7" s="2"/>
      <c r="M7" s="2"/>
      <c r="N7" s="2"/>
      <c r="O7" s="2">
        <v>17.989999999999998</v>
      </c>
      <c r="P7" s="2"/>
      <c r="Q7" s="2"/>
      <c r="R7" s="2"/>
      <c r="S7" s="2"/>
      <c r="T7" s="2"/>
      <c r="U7" s="2"/>
      <c r="V7" s="2"/>
      <c r="W7" s="2"/>
      <c r="X7" s="2"/>
    </row>
    <row r="8" spans="1:24" x14ac:dyDescent="0.25">
      <c r="A8" t="s">
        <v>22</v>
      </c>
      <c r="B8">
        <v>61100000</v>
      </c>
      <c r="C8">
        <f>VALUE(LEFT(tblBDD[[#This Row],[N Compte 1]],2))</f>
        <v>61</v>
      </c>
      <c r="D8">
        <f>VALUE(LEFT(tblBDD[[#This Row],[N Compte 1]],3))</f>
        <v>611</v>
      </c>
      <c r="E8" t="str">
        <f>VLOOKUP(tblBDD[[#This Row],[N abrégé 1]],tblIntituléCompte[#Data],3,FALSE)</f>
        <v>61 - Services extérieurs</v>
      </c>
      <c r="F8" t="str">
        <f>VLOOKUP(tblBDD[[#This Row],[N abrégé 2]],Tableau5[#Data],3,FALSE)</f>
        <v>611 - Nettoyage locaux</v>
      </c>
      <c r="H8" t="str">
        <f>VLOOKUP(tblBDD[[#This Row],[N Compte 1]],tblDescriptionCompte[#Data],2,FALSE)</f>
        <v>Nettoyage des locaux</v>
      </c>
      <c r="I8" t="b">
        <f>COUNT(tblBDD[[#This Row],[B2011]:[B2014]])=7</f>
        <v>1</v>
      </c>
      <c r="J8" s="2">
        <v>3000</v>
      </c>
      <c r="K8" s="3">
        <v>4564.18</v>
      </c>
      <c r="L8" s="2">
        <v>4600</v>
      </c>
      <c r="M8" s="2">
        <v>4642.13</v>
      </c>
      <c r="N8" s="2">
        <v>4600</v>
      </c>
      <c r="O8" s="2">
        <v>3061.76</v>
      </c>
      <c r="P8" s="2">
        <v>4700</v>
      </c>
      <c r="Q8" s="2">
        <v>13776</v>
      </c>
      <c r="R8" s="2">
        <v>25000</v>
      </c>
      <c r="S8" s="2">
        <v>25884</v>
      </c>
      <c r="T8" s="2">
        <v>20000</v>
      </c>
      <c r="U8" s="2">
        <f>19290+810</f>
        <v>20100</v>
      </c>
      <c r="V8" s="2">
        <v>26000</v>
      </c>
      <c r="W8" s="2">
        <v>21660</v>
      </c>
      <c r="X8" s="2">
        <v>19940</v>
      </c>
    </row>
    <row r="9" spans="1:24" x14ac:dyDescent="0.25">
      <c r="A9" t="s">
        <v>22</v>
      </c>
      <c r="B9">
        <v>6110000</v>
      </c>
      <c r="C9">
        <f>VALUE(LEFT(tblBDD[[#This Row],[N Compte 1]],2))</f>
        <v>61</v>
      </c>
      <c r="D9">
        <f>VALUE(LEFT(tblBDD[[#This Row],[N Compte 1]],3))</f>
        <v>611</v>
      </c>
      <c r="E9" t="str">
        <f>VLOOKUP(tblBDD[[#This Row],[N abrégé 1]],tblIntituléCompte[#Data],3,FALSE)</f>
        <v>61 - Services extérieurs</v>
      </c>
      <c r="F9" t="str">
        <f>VLOOKUP(tblBDD[[#This Row],[N abrégé 2]],Tableau5[#Data],3,FALSE)</f>
        <v>611 - Nettoyage locaux</v>
      </c>
      <c r="H9" t="s">
        <v>228</v>
      </c>
      <c r="I9" t="b">
        <f>COUNT(tblBDD[[#This Row],[B2011]:[B2014]])=7</f>
        <v>0</v>
      </c>
      <c r="J9" s="2"/>
      <c r="K9" s="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>
        <v>4400</v>
      </c>
    </row>
    <row r="10" spans="1:24" x14ac:dyDescent="0.25">
      <c r="A10" t="s">
        <v>22</v>
      </c>
      <c r="B10">
        <v>61220000</v>
      </c>
      <c r="C10">
        <f>VALUE(LEFT(tblBDD[[#This Row],[N Compte 1]],2))</f>
        <v>61</v>
      </c>
      <c r="D10">
        <f>VALUE(LEFT(tblBDD[[#This Row],[N Compte 1]],3))</f>
        <v>612</v>
      </c>
      <c r="E10" t="str">
        <f>VLOOKUP(tblBDD[[#This Row],[N abrégé 1]],tblIntituléCompte[#Data],3,FALSE)</f>
        <v>61 - Services extérieurs</v>
      </c>
      <c r="F10" t="str">
        <f>VLOOKUP(tblBDD[[#This Row],[N abrégé 2]],Tableau5[#Data],3,FALSE)</f>
        <v>612 - Locations immobilières</v>
      </c>
      <c r="H10" t="str">
        <f>VLOOKUP(tblBDD[[#This Row],[N Compte 1]],tblDescriptionCompte[#Data],2,FALSE)</f>
        <v>Locations et charges conciergeries</v>
      </c>
      <c r="I10" t="b">
        <f>COUNT(tblBDD[[#This Row],[B2011]:[B2014]])=7</f>
        <v>1</v>
      </c>
      <c r="J10" s="2">
        <v>700</v>
      </c>
      <c r="K10" s="3">
        <v>1389.84</v>
      </c>
      <c r="L10" s="2">
        <v>1400</v>
      </c>
      <c r="M10" s="2">
        <v>2594.85</v>
      </c>
      <c r="N10" s="2">
        <v>1400</v>
      </c>
      <c r="O10" s="2">
        <v>1445.35</v>
      </c>
      <c r="P10" s="2">
        <v>1450</v>
      </c>
      <c r="Q10" s="2">
        <v>1439.19</v>
      </c>
      <c r="R10" s="2">
        <v>1450</v>
      </c>
      <c r="S10" s="2">
        <v>338.85</v>
      </c>
      <c r="T10" s="2"/>
      <c r="U10" s="2"/>
      <c r="V10" s="2"/>
      <c r="W10" s="2"/>
      <c r="X10" s="2"/>
    </row>
    <row r="11" spans="1:24" x14ac:dyDescent="0.25">
      <c r="A11" t="s">
        <v>22</v>
      </c>
      <c r="B11">
        <v>61406000</v>
      </c>
      <c r="C11">
        <f>VALUE(LEFT(tblBDD[[#This Row],[N Compte 1]],2))</f>
        <v>61</v>
      </c>
      <c r="D11">
        <f>VALUE(LEFT(tblBDD[[#This Row],[N Compte 1]],3))</f>
        <v>614</v>
      </c>
      <c r="E11" t="str">
        <f>VLOOKUP(tblBDD[[#This Row],[N abrégé 1]],tblIntituléCompte[#Data],3,FALSE)</f>
        <v>61 - Services extérieurs</v>
      </c>
      <c r="F11" t="str">
        <f>VLOOKUP(tblBDD[[#This Row],[N abrégé 2]],Tableau5[#Data],3,FALSE)</f>
        <v>614 - Contrats maintenance</v>
      </c>
      <c r="H11" t="str">
        <f>VLOOKUP(tblBDD[[#This Row],[N Compte 1]],tblDescriptionCompte[#Data],2,FALSE)</f>
        <v>Contrat de maintenance surveillance sécurité</v>
      </c>
      <c r="I11" t="b">
        <f>COUNT(tblBDD[[#This Row],[B2011]:[B2014]])=7</f>
        <v>0</v>
      </c>
      <c r="J11" s="2"/>
      <c r="K11" s="3">
        <v>468.14</v>
      </c>
      <c r="L11" s="2"/>
      <c r="M11" s="2">
        <v>810.97</v>
      </c>
      <c r="N11" s="2"/>
      <c r="O11" s="2">
        <v>1115.79</v>
      </c>
      <c r="P11" s="2"/>
      <c r="Q11" s="2">
        <v>855.2</v>
      </c>
      <c r="R11" s="2"/>
      <c r="S11" s="2">
        <v>1370.26</v>
      </c>
      <c r="T11" s="2"/>
      <c r="U11" s="2"/>
      <c r="V11" s="2"/>
      <c r="W11" s="2"/>
      <c r="X11" s="2"/>
    </row>
    <row r="12" spans="1:24" x14ac:dyDescent="0.25">
      <c r="A12" t="s">
        <v>23</v>
      </c>
      <c r="B12">
        <v>61520000</v>
      </c>
      <c r="C12">
        <f>VALUE(LEFT(tblBDD[[#This Row],[N Compte 1]],2))</f>
        <v>61</v>
      </c>
      <c r="D12">
        <f>VALUE(LEFT(tblBDD[[#This Row],[N Compte 1]],3))</f>
        <v>615</v>
      </c>
      <c r="E12" t="str">
        <f>VLOOKUP(tblBDD[[#This Row],[N abrégé 1]],tblIntituléCompte[#Data],3,FALSE)</f>
        <v>61 - Services extérieurs</v>
      </c>
      <c r="F12" t="str">
        <f>VLOOKUP(tblBDD[[#This Row],[N abrégé 2]],Tableau5[#Data],3,FALSE)</f>
        <v>615 - Entretien, réparation</v>
      </c>
      <c r="G12">
        <v>13</v>
      </c>
      <c r="H12" t="str">
        <f>VLOOKUP(tblBDD[[#This Row],[N Compte 1]],tblDescriptionCompte[#Data],2,FALSE)</f>
        <v>Entretien et réparations sut biens immobiliers</v>
      </c>
      <c r="I12" t="b">
        <f>COUNT(tblBDD[[#This Row],[B2011]:[B2014]])=7</f>
        <v>0</v>
      </c>
      <c r="J12" s="2"/>
      <c r="K12" s="3"/>
      <c r="L12" s="2"/>
      <c r="M12" s="2"/>
      <c r="N12" s="2"/>
      <c r="O12" s="2"/>
      <c r="P12" s="2"/>
      <c r="Q12" s="2"/>
      <c r="R12" s="2"/>
      <c r="S12" s="2">
        <v>163.34</v>
      </c>
      <c r="T12" s="2"/>
      <c r="U12" s="2"/>
      <c r="V12" s="2"/>
      <c r="W12" s="2"/>
      <c r="X12" s="2"/>
    </row>
    <row r="13" spans="1:24" x14ac:dyDescent="0.25">
      <c r="A13" t="s">
        <v>22</v>
      </c>
      <c r="B13">
        <v>61520300</v>
      </c>
      <c r="C13">
        <f>VALUE(LEFT(tblBDD[[#This Row],[N Compte 1]],2))</f>
        <v>61</v>
      </c>
      <c r="D13">
        <f>VALUE(LEFT(tblBDD[[#This Row],[N Compte 1]],3))</f>
        <v>615</v>
      </c>
      <c r="E13" t="str">
        <f>VLOOKUP(tblBDD[[#This Row],[N abrégé 1]],tblIntituléCompte[#Data],3,FALSE)</f>
        <v>61 - Services extérieurs</v>
      </c>
      <c r="F13" t="str">
        <f>VLOOKUP(tblBDD[[#This Row],[N abrégé 2]],Tableau5[#Data],3,FALSE)</f>
        <v>615 - Entretien, réparation</v>
      </c>
      <c r="H13" t="str">
        <f>VLOOKUP(tblBDD[[#This Row],[N Compte 1]],tblDescriptionCompte[#Data],2,FALSE)</f>
        <v>Entretien et petites réparations électricité</v>
      </c>
      <c r="I13" t="b">
        <f>COUNT(tblBDD[[#This Row],[B2011]:[B2014]])=7</f>
        <v>0</v>
      </c>
      <c r="J13" s="2">
        <v>9100</v>
      </c>
      <c r="K13" s="3">
        <v>3682.22</v>
      </c>
      <c r="L13" s="2">
        <v>1500</v>
      </c>
      <c r="M13" s="2">
        <v>451.43</v>
      </c>
      <c r="N13" s="2">
        <v>1500</v>
      </c>
      <c r="O13" s="2"/>
      <c r="P13" s="2">
        <v>1550</v>
      </c>
      <c r="Q13" s="2"/>
      <c r="R13" s="2">
        <v>2000</v>
      </c>
      <c r="S13" s="2">
        <v>3140.13</v>
      </c>
      <c r="T13" s="2">
        <v>1700</v>
      </c>
      <c r="U13" s="2"/>
      <c r="V13" s="2">
        <v>1700</v>
      </c>
      <c r="W13" s="2"/>
      <c r="X13" s="2"/>
    </row>
    <row r="14" spans="1:24" x14ac:dyDescent="0.25">
      <c r="A14" t="s">
        <v>22</v>
      </c>
      <c r="B14">
        <v>61520400</v>
      </c>
      <c r="C14">
        <f>VALUE(LEFT(tblBDD[[#This Row],[N Compte 1]],2))</f>
        <v>61</v>
      </c>
      <c r="D14">
        <f>VALUE(LEFT(tblBDD[[#This Row],[N Compte 1]],3))</f>
        <v>615</v>
      </c>
      <c r="E14" t="str">
        <f>VLOOKUP(tblBDD[[#This Row],[N abrégé 1]],tblIntituléCompte[#Data],3,FALSE)</f>
        <v>61 - Services extérieurs</v>
      </c>
      <c r="F14" t="str">
        <f>VLOOKUP(tblBDD[[#This Row],[N abrégé 2]],Tableau5[#Data],3,FALSE)</f>
        <v>615 - Entretien, réparation</v>
      </c>
      <c r="H14" t="str">
        <f>VLOOKUP(tblBDD[[#This Row],[N Compte 1]],tblDescriptionCompte[#Data],2,FALSE)</f>
        <v>Entretien et petites réparations plomberie</v>
      </c>
      <c r="I14" t="b">
        <f>COUNT(tblBDD[[#This Row],[B2011]:[B2014]])=7</f>
        <v>0</v>
      </c>
      <c r="J14" s="2"/>
      <c r="K14" s="3"/>
      <c r="L14" s="2"/>
      <c r="M14" s="2"/>
      <c r="N14" s="2"/>
      <c r="O14" s="2">
        <v>164.44</v>
      </c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t="s">
        <v>22</v>
      </c>
      <c r="B15">
        <v>61520600</v>
      </c>
      <c r="C15">
        <f>VALUE(LEFT(tblBDD[[#This Row],[N Compte 1]],2))</f>
        <v>61</v>
      </c>
      <c r="D15">
        <f>VALUE(LEFT(tblBDD[[#This Row],[N Compte 1]],3))</f>
        <v>615</v>
      </c>
      <c r="E15" t="str">
        <f>VLOOKUP(tblBDD[[#This Row],[N abrégé 1]],tblIntituléCompte[#Data],3,FALSE)</f>
        <v>61 - Services extérieurs</v>
      </c>
      <c r="F15" t="str">
        <f>VLOOKUP(tblBDD[[#This Row],[N abrégé 2]],Tableau5[#Data],3,FALSE)</f>
        <v>615 - Entretien, réparation</v>
      </c>
      <c r="H15" t="str">
        <f>VLOOKUP(tblBDD[[#This Row],[N Compte 1]],tblDescriptionCompte[#Data],2,FALSE)</f>
        <v>Entretien et petites réparations étanchéité</v>
      </c>
      <c r="I15" t="b">
        <f>COUNT(tblBDD[[#This Row],[B2011]:[B2014]])=7</f>
        <v>0</v>
      </c>
      <c r="J15" s="2"/>
      <c r="K15" s="3"/>
      <c r="L15" s="2"/>
      <c r="M15" s="2"/>
      <c r="N15" s="2"/>
      <c r="O15" s="2">
        <v>1343.27</v>
      </c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t="s">
        <v>22</v>
      </c>
      <c r="B16">
        <v>61520800</v>
      </c>
      <c r="C16">
        <f>VALUE(LEFT(tblBDD[[#This Row],[N Compte 1]],2))</f>
        <v>61</v>
      </c>
      <c r="D16">
        <f>VALUE(LEFT(tblBDD[[#This Row],[N Compte 1]],3))</f>
        <v>615</v>
      </c>
      <c r="E16" t="str">
        <f>VLOOKUP(tblBDD[[#This Row],[N abrégé 1]],tblIntituléCompte[#Data],3,FALSE)</f>
        <v>61 - Services extérieurs</v>
      </c>
      <c r="F16" t="str">
        <f>VLOOKUP(tblBDD[[#This Row],[N abrégé 2]],Tableau5[#Data],3,FALSE)</f>
        <v>615 - Entretien, réparation</v>
      </c>
      <c r="H16" t="str">
        <f>VLOOKUP(tblBDD[[#This Row],[N Compte 1]],tblDescriptionCompte[#Data],2,FALSE)</f>
        <v>Entretien et petites réparations portes et serrures</v>
      </c>
      <c r="I16" t="b">
        <f>COUNT(tblBDD[[#This Row],[B2011]:[B2014]])=7</f>
        <v>0</v>
      </c>
      <c r="J16" s="2">
        <v>1500</v>
      </c>
      <c r="K16" s="3">
        <v>467.15</v>
      </c>
      <c r="L16" s="2">
        <v>1500</v>
      </c>
      <c r="M16" s="2"/>
      <c r="N16" s="2">
        <v>1500</v>
      </c>
      <c r="O16" s="2"/>
      <c r="P16" s="2">
        <v>1550</v>
      </c>
      <c r="Q16" s="2"/>
      <c r="R16" s="2">
        <v>2000</v>
      </c>
      <c r="S16" s="2">
        <v>1182.5</v>
      </c>
      <c r="T16" s="2">
        <v>1700</v>
      </c>
      <c r="U16" s="2">
        <f>6+1406.43</f>
        <v>1412.43</v>
      </c>
      <c r="V16" s="2">
        <v>1700</v>
      </c>
      <c r="W16" s="2"/>
      <c r="X16" s="2"/>
    </row>
    <row r="17" spans="1:24" x14ac:dyDescent="0.25">
      <c r="A17" t="s">
        <v>22</v>
      </c>
      <c r="B17">
        <v>61520900</v>
      </c>
      <c r="C17">
        <f>VALUE(LEFT(tblBDD[[#This Row],[N Compte 1]],2))</f>
        <v>61</v>
      </c>
      <c r="D17">
        <f>VALUE(LEFT(tblBDD[[#This Row],[N Compte 1]],3))</f>
        <v>615</v>
      </c>
      <c r="E17" t="str">
        <f>VLOOKUP(tblBDD[[#This Row],[N abrégé 1]],tblIntituléCompte[#Data],3,FALSE)</f>
        <v>61 - Services extérieurs</v>
      </c>
      <c r="F17" t="str">
        <f>VLOOKUP(tblBDD[[#This Row],[N abrégé 2]],Tableau5[#Data],3,FALSE)</f>
        <v>615 - Entretien, réparation</v>
      </c>
      <c r="H17" t="str">
        <f>VLOOKUP(tblBDD[[#This Row],[N Compte 1]],tblDescriptionCompte[#Data],2,FALSE)</f>
        <v>Entretien espaces verts</v>
      </c>
      <c r="I17" t="b">
        <f>COUNT(tblBDD[[#This Row],[B2011]:[B2014]])=7</f>
        <v>1</v>
      </c>
      <c r="J17" s="2">
        <v>1500</v>
      </c>
      <c r="K17" s="3">
        <v>3044.27</v>
      </c>
      <c r="L17" s="2">
        <v>9110</v>
      </c>
      <c r="M17" s="2">
        <v>8604.39</v>
      </c>
      <c r="N17" s="2">
        <v>9000</v>
      </c>
      <c r="O17" s="2">
        <v>3122.49</v>
      </c>
      <c r="P17" s="2">
        <v>10000</v>
      </c>
      <c r="Q17" s="2">
        <v>9294</v>
      </c>
      <c r="R17" s="2">
        <v>4000</v>
      </c>
      <c r="S17" s="2">
        <v>6300</v>
      </c>
      <c r="T17" s="2">
        <v>4000</v>
      </c>
      <c r="U17" s="2">
        <v>6300</v>
      </c>
      <c r="V17" s="2">
        <v>4000</v>
      </c>
      <c r="W17" s="2"/>
      <c r="X17" s="2"/>
    </row>
    <row r="18" spans="1:24" x14ac:dyDescent="0.25">
      <c r="A18" t="s">
        <v>22</v>
      </c>
      <c r="B18">
        <v>61521300</v>
      </c>
      <c r="C18">
        <f>VALUE(LEFT(tblBDD[[#This Row],[N Compte 1]],2))</f>
        <v>61</v>
      </c>
      <c r="D18">
        <f>VALUE(LEFT(tblBDD[[#This Row],[N Compte 1]],3))</f>
        <v>615</v>
      </c>
      <c r="E18" t="str">
        <f>VLOOKUP(tblBDD[[#This Row],[N abrégé 1]],tblIntituléCompte[#Data],3,FALSE)</f>
        <v>61 - Services extérieurs</v>
      </c>
      <c r="F18" t="str">
        <f>VLOOKUP(tblBDD[[#This Row],[N abrégé 2]],Tableau5[#Data],3,FALSE)</f>
        <v>615 - Entretien, réparation</v>
      </c>
      <c r="H18" t="str">
        <f>VLOOKUP(tblBDD[[#This Row],[N Compte 1]],tblDescriptionCompte[#Data],2,FALSE)</f>
        <v>Entretien et réparations réseau eaux usées</v>
      </c>
      <c r="I18" t="b">
        <f>COUNT(tblBDD[[#This Row],[B2011]:[B2014]])=7</f>
        <v>0</v>
      </c>
      <c r="J18" s="2"/>
      <c r="K18" s="3"/>
      <c r="L18" s="2"/>
      <c r="M18" s="2"/>
      <c r="N18" s="2"/>
      <c r="O18" s="2"/>
      <c r="P18" s="2"/>
      <c r="Q18" s="2">
        <v>1962.4</v>
      </c>
      <c r="R18" s="2">
        <v>4000</v>
      </c>
      <c r="S18" s="2"/>
      <c r="T18" s="2">
        <v>4000</v>
      </c>
      <c r="U18" s="2">
        <v>2937</v>
      </c>
      <c r="V18" s="2">
        <v>4000</v>
      </c>
      <c r="W18" s="2"/>
      <c r="X18" s="2"/>
    </row>
    <row r="19" spans="1:24" x14ac:dyDescent="0.25">
      <c r="A19" t="s">
        <v>22</v>
      </c>
      <c r="B19">
        <v>61521400</v>
      </c>
      <c r="C19">
        <f>VALUE(LEFT(tblBDD[[#This Row],[N Compte 1]],2))</f>
        <v>61</v>
      </c>
      <c r="D19">
        <f>VALUE(LEFT(tblBDD[[#This Row],[N Compte 1]],3))</f>
        <v>615</v>
      </c>
      <c r="E19" t="str">
        <f>VLOOKUP(tblBDD[[#This Row],[N abrégé 1]],tblIntituléCompte[#Data],3,FALSE)</f>
        <v>61 - Services extérieurs</v>
      </c>
      <c r="F19" t="str">
        <f>VLOOKUP(tblBDD[[#This Row],[N abrégé 2]],Tableau5[#Data],3,FALSE)</f>
        <v>615 - Entretien, réparation</v>
      </c>
      <c r="H19" t="str">
        <f>VLOOKUP(tblBDD[[#This Row],[N Compte 1]],tblDescriptionCompte[#Data],2,FALSE)</f>
        <v>Entretien et réparations désinfection dératisation</v>
      </c>
      <c r="I19" t="b">
        <f>COUNT(tblBDD[[#This Row],[B2011]:[B2014]])=7</f>
        <v>0</v>
      </c>
      <c r="J19" s="2"/>
      <c r="K19" s="3"/>
      <c r="L19" s="2"/>
      <c r="M19" s="2"/>
      <c r="N19" s="2"/>
      <c r="O19" s="2">
        <v>820.49</v>
      </c>
      <c r="P19" s="2"/>
      <c r="Q19" s="2">
        <v>866.63</v>
      </c>
      <c r="R19" s="2"/>
      <c r="S19" s="2"/>
      <c r="T19" s="2"/>
      <c r="U19" s="2">
        <f>764.17+164.89</f>
        <v>929.06</v>
      </c>
      <c r="V19" s="2"/>
      <c r="W19" s="2"/>
      <c r="X19" s="2"/>
    </row>
    <row r="20" spans="1:24" x14ac:dyDescent="0.25">
      <c r="A20" t="s">
        <v>22</v>
      </c>
      <c r="B20">
        <v>61522100</v>
      </c>
      <c r="C20">
        <f>VALUE(LEFT(tblBDD[[#This Row],[N Compte 1]],2))</f>
        <v>61</v>
      </c>
      <c r="D20">
        <f>VALUE(LEFT(tblBDD[[#This Row],[N Compte 1]],3))</f>
        <v>615</v>
      </c>
      <c r="E20" t="str">
        <f>VLOOKUP(tblBDD[[#This Row],[N abrégé 1]],tblIntituléCompte[#Data],3,FALSE)</f>
        <v>61 - Services extérieurs</v>
      </c>
      <c r="F20" t="str">
        <f>VLOOKUP(tblBDD[[#This Row],[N abrégé 2]],Tableau5[#Data],3,FALSE)</f>
        <v>615 - Entretien, réparation</v>
      </c>
      <c r="H20" t="str">
        <f>VLOOKUP(tblBDD[[#This Row],[N Compte 1]],tblDescriptionCompte[#Data],2,FALSE)</f>
        <v>Entretien et petites réparations miroiterie, vitrerie</v>
      </c>
      <c r="I20" t="b">
        <f>COUNT(tblBDD[[#This Row],[B2011]:[B2014]])=7</f>
        <v>0</v>
      </c>
      <c r="J20" s="2"/>
      <c r="K20" s="3"/>
      <c r="L20" s="2"/>
      <c r="M20" s="2">
        <v>2350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t="s">
        <v>22</v>
      </c>
      <c r="B21">
        <v>61550100</v>
      </c>
      <c r="C21">
        <f>VALUE(LEFT(tblBDD[[#This Row],[N Compte 1]],2))</f>
        <v>61</v>
      </c>
      <c r="D21">
        <f>VALUE(LEFT(tblBDD[[#This Row],[N Compte 1]],3))</f>
        <v>615</v>
      </c>
      <c r="E21" t="str">
        <f>VLOOKUP(tblBDD[[#This Row],[N abrégé 1]],tblIntituléCompte[#Data],3,FALSE)</f>
        <v>61 - Services extérieurs</v>
      </c>
      <c r="F21" t="str">
        <f>VLOOKUP(tblBDD[[#This Row],[N abrégé 2]],Tableau5[#Data],3,FALSE)</f>
        <v>615 - Entretien, réparation</v>
      </c>
      <c r="H21" t="str">
        <f>VLOOKUP(tblBDD[[#This Row],[N Compte 1]],tblDescriptionCompte[#Data],2,FALSE)</f>
        <v>Entretien et petites réparations matériel</v>
      </c>
      <c r="I21" t="b">
        <f>COUNT(tblBDD[[#This Row],[B2011]:[B2014]])=7</f>
        <v>1</v>
      </c>
      <c r="J21" s="2">
        <v>500</v>
      </c>
      <c r="K21" s="3">
        <v>3556.38</v>
      </c>
      <c r="L21" s="2">
        <v>500</v>
      </c>
      <c r="M21" s="2">
        <v>997.6</v>
      </c>
      <c r="N21" s="2">
        <v>500</v>
      </c>
      <c r="O21" s="2">
        <v>370</v>
      </c>
      <c r="P21" s="2">
        <v>550</v>
      </c>
      <c r="Q21" s="2"/>
      <c r="R21" s="2"/>
      <c r="S21" s="2"/>
      <c r="T21" s="2"/>
      <c r="U21" s="2">
        <v>481.58</v>
      </c>
      <c r="V21" s="2"/>
      <c r="W21" s="2"/>
      <c r="X21" s="2"/>
    </row>
    <row r="22" spans="1:24" x14ac:dyDescent="0.25">
      <c r="A22" t="s">
        <v>22</v>
      </c>
      <c r="B22">
        <v>61529500</v>
      </c>
      <c r="C22">
        <f>VALUE(LEFT(tblBDD[[#This Row],[N Compte 1]],2))</f>
        <v>61</v>
      </c>
      <c r="D22">
        <f>VALUE(LEFT(tblBDD[[#This Row],[N Compte 1]],3))</f>
        <v>615</v>
      </c>
      <c r="E22" t="str">
        <f>VLOOKUP(tblBDD[[#This Row],[N abrégé 1]],tblIntituléCompte[#Data],3,FALSE)</f>
        <v>61 - Services extérieurs</v>
      </c>
      <c r="F22" t="str">
        <f>VLOOKUP(tblBDD[[#This Row],[N abrégé 2]],Tableau5[#Data],3,FALSE)</f>
        <v>615 - Entretien, réparation</v>
      </c>
      <c r="H22" t="str">
        <f>VLOOKUP(tblBDD[[#This Row],[N Compte 1]],tblDescriptionCompte[#Data],2,FALSE)</f>
        <v>Entretien réparation biens immobiliers</v>
      </c>
      <c r="I22" t="b">
        <f>COUNT(tblBDD[[#This Row],[B2011]:[B2014]])=7</f>
        <v>0</v>
      </c>
      <c r="J22" s="2"/>
      <c r="K22" s="3"/>
      <c r="L22" s="2"/>
      <c r="M22" s="2"/>
      <c r="N22" s="2"/>
      <c r="O22" s="2"/>
      <c r="P22" s="2"/>
      <c r="Q22" s="2">
        <v>4611.2</v>
      </c>
      <c r="R22" s="2"/>
      <c r="S22" s="2"/>
      <c r="T22" s="2"/>
      <c r="U22" s="2"/>
      <c r="V22" s="2"/>
      <c r="W22" s="2"/>
      <c r="X22" s="2"/>
    </row>
    <row r="23" spans="1:24" x14ac:dyDescent="0.25">
      <c r="A23" t="s">
        <v>22</v>
      </c>
      <c r="B23">
        <v>61610000</v>
      </c>
      <c r="C23">
        <f>VALUE(LEFT(tblBDD[[#This Row],[N Compte 1]],2))</f>
        <v>61</v>
      </c>
      <c r="D23">
        <f>VALUE(LEFT(tblBDD[[#This Row],[N Compte 1]],3))</f>
        <v>616</v>
      </c>
      <c r="E23" t="str">
        <f>VLOOKUP(tblBDD[[#This Row],[N abrégé 1]],tblIntituléCompte[#Data],3,FALSE)</f>
        <v>61 - Services extérieurs</v>
      </c>
      <c r="F23" t="str">
        <f>VLOOKUP(tblBDD[[#This Row],[N abrégé 2]],Tableau5[#Data],3,FALSE)</f>
        <v>616 - Assurances</v>
      </c>
      <c r="H23" t="str">
        <f>VLOOKUP(tblBDD[[#This Row],[N Compte 1]],tblDescriptionCompte[#Data],2,FALSE)</f>
        <v>Assurance Multirisques</v>
      </c>
      <c r="I23" t="b">
        <f>COUNT(tblBDD[[#This Row],[B2011]:[B2014]])=7</f>
        <v>1</v>
      </c>
      <c r="J23" s="2">
        <v>13500</v>
      </c>
      <c r="K23" s="3">
        <v>13450.93</v>
      </c>
      <c r="L23" s="2">
        <v>13500</v>
      </c>
      <c r="M23" s="2">
        <v>14055.92</v>
      </c>
      <c r="N23" s="2">
        <v>14400</v>
      </c>
      <c r="O23" s="2">
        <v>14404.66</v>
      </c>
      <c r="P23" s="2">
        <v>14850</v>
      </c>
      <c r="Q23" s="2">
        <v>14606.58</v>
      </c>
      <c r="R23" s="2">
        <v>14680</v>
      </c>
      <c r="S23" s="2">
        <v>14679.75</v>
      </c>
      <c r="T23" s="2">
        <v>14690</v>
      </c>
      <c r="U23" s="2">
        <v>14773.19</v>
      </c>
      <c r="V23" s="2">
        <v>14690</v>
      </c>
      <c r="W23" s="2">
        <v>14920</v>
      </c>
      <c r="X23" s="2">
        <v>14920</v>
      </c>
    </row>
    <row r="24" spans="1:24" x14ac:dyDescent="0.25">
      <c r="A24" t="s">
        <v>22</v>
      </c>
      <c r="B24">
        <v>62110000</v>
      </c>
      <c r="C24">
        <f>VALUE(LEFT(tblBDD[[#This Row],[N Compte 1]],2))</f>
        <v>62</v>
      </c>
      <c r="D24">
        <f>VALUE(LEFT(tblBDD[[#This Row],[N Compte 1]],3))</f>
        <v>621</v>
      </c>
      <c r="E24" t="str">
        <f>VLOOKUP(tblBDD[[#This Row],[N abrégé 1]],tblIntituléCompte[#Data],3,FALSE)</f>
        <v>62 - Administration</v>
      </c>
      <c r="F24" t="str">
        <f>VLOOKUP(tblBDD[[#This Row],[N abrégé 2]],Tableau5[#Data],3,FALSE)</f>
        <v>621 - Hono. Syndic opérations gestion courante</v>
      </c>
      <c r="H24" t="str">
        <f>VLOOKUP(tblBDD[[#This Row],[N Compte 1]],tblDescriptionCompte[#Data],2,FALSE)</f>
        <v>Rémunération du syndic Honoraires de gestion</v>
      </c>
      <c r="I24" t="b">
        <f>COUNT(tblBDD[[#This Row],[B2011]:[B2014]])=7</f>
        <v>1</v>
      </c>
      <c r="J24" s="2">
        <v>15800</v>
      </c>
      <c r="K24" s="3">
        <v>15800</v>
      </c>
      <c r="L24" s="2">
        <v>16590</v>
      </c>
      <c r="M24" s="2">
        <v>16590</v>
      </c>
      <c r="N24" s="2">
        <v>17420</v>
      </c>
      <c r="O24" s="2">
        <v>17420</v>
      </c>
      <c r="P24" s="2">
        <v>17940</v>
      </c>
      <c r="Q24" s="2">
        <v>18789.14</v>
      </c>
      <c r="R24" s="2">
        <v>20100</v>
      </c>
      <c r="S24" s="2">
        <v>20100</v>
      </c>
      <c r="T24" s="2">
        <v>20100</v>
      </c>
      <c r="U24" s="2">
        <f>7785.97+13668.92</f>
        <v>21454.89</v>
      </c>
      <c r="V24" s="2">
        <v>20100</v>
      </c>
      <c r="W24" s="2">
        <v>22714</v>
      </c>
      <c r="X24" s="2">
        <v>22714</v>
      </c>
    </row>
    <row r="25" spans="1:24" x14ac:dyDescent="0.25">
      <c r="A25" t="s">
        <v>22</v>
      </c>
      <c r="B25">
        <v>62130200</v>
      </c>
      <c r="C25">
        <f>VALUE(LEFT(tblBDD[[#This Row],[N Compte 1]],2))</f>
        <v>62</v>
      </c>
      <c r="D25">
        <f>VALUE(LEFT(tblBDD[[#This Row],[N Compte 1]],3))</f>
        <v>621</v>
      </c>
      <c r="E25" t="str">
        <f>VLOOKUP(tblBDD[[#This Row],[N abrégé 1]],tblIntituléCompte[#Data],3,FALSE)</f>
        <v>62 - Administration</v>
      </c>
      <c r="F25" t="str">
        <f>VLOOKUP(tblBDD[[#This Row],[N abrégé 2]],Tableau5[#Data],3,FALSE)</f>
        <v>621 - Hono. Syndic opérations gestion courante</v>
      </c>
      <c r="H25" t="str">
        <f>VLOOKUP(tblBDD[[#This Row],[N Compte 1]],tblDescriptionCompte[#Data],2,FALSE)</f>
        <v>Frais postaux AG</v>
      </c>
      <c r="I25" t="b">
        <f>COUNT(tblBDD[[#This Row],[B2011]:[B2014]])=7</f>
        <v>1</v>
      </c>
      <c r="J25" s="2">
        <v>550</v>
      </c>
      <c r="K25" s="3">
        <v>894.96</v>
      </c>
      <c r="L25" s="2">
        <v>900</v>
      </c>
      <c r="M25" s="2">
        <v>601.48</v>
      </c>
      <c r="N25" s="2">
        <v>900</v>
      </c>
      <c r="O25" s="2">
        <v>776.12</v>
      </c>
      <c r="P25" s="2">
        <v>950</v>
      </c>
      <c r="Q25" s="2">
        <v>867.5</v>
      </c>
      <c r="R25" s="2">
        <v>1500</v>
      </c>
      <c r="S25" s="2">
        <v>2483.98</v>
      </c>
      <c r="T25" s="2">
        <v>950</v>
      </c>
      <c r="U25" s="2">
        <f>769.45+673.55</f>
        <v>1443</v>
      </c>
      <c r="V25" s="2">
        <v>950</v>
      </c>
      <c r="W25" s="2">
        <v>1965</v>
      </c>
      <c r="X25" s="2">
        <v>1965</v>
      </c>
    </row>
    <row r="26" spans="1:24" x14ac:dyDescent="0.25">
      <c r="A26" t="s">
        <v>22</v>
      </c>
      <c r="B26">
        <v>62130200</v>
      </c>
      <c r="C26">
        <f>VALUE(LEFT(tblBDD[[#This Row],[N Compte 1]],2))</f>
        <v>62</v>
      </c>
      <c r="D26">
        <f>VALUE(LEFT(tblBDD[[#This Row],[N Compte 1]],3))</f>
        <v>621</v>
      </c>
      <c r="E26" t="str">
        <f>VLOOKUP(tblBDD[[#This Row],[N abrégé 1]],tblIntituléCompte[#Data],3,FALSE)</f>
        <v>62 - Administration</v>
      </c>
      <c r="F26" t="str">
        <f>VLOOKUP(tblBDD[[#This Row],[N abrégé 2]],Tableau5[#Data],3,FALSE)</f>
        <v>621 - Hono. Syndic opérations gestion courante</v>
      </c>
      <c r="H26" t="s">
        <v>152</v>
      </c>
      <c r="I26" t="b">
        <f>COUNT(tblBDD[[#This Row],[B2011]:[B2014]])=7</f>
        <v>0</v>
      </c>
      <c r="J26" s="2"/>
      <c r="K26" s="3"/>
      <c r="L26" s="2"/>
      <c r="M26" s="2"/>
      <c r="N26" s="2"/>
      <c r="O26" s="2"/>
      <c r="P26" s="2"/>
      <c r="Q26" s="2"/>
      <c r="R26" s="2"/>
      <c r="S26" s="2"/>
      <c r="T26" s="2"/>
      <c r="U26" s="2">
        <f>250.81+230.34</f>
        <v>481.15</v>
      </c>
      <c r="V26" s="2"/>
      <c r="W26" s="2"/>
      <c r="X26" s="2"/>
    </row>
    <row r="27" spans="1:24" x14ac:dyDescent="0.25">
      <c r="A27" t="s">
        <v>22</v>
      </c>
      <c r="B27">
        <v>62211000</v>
      </c>
      <c r="C27">
        <f>VALUE(LEFT(tblBDD[[#This Row],[N Compte 1]],2))</f>
        <v>62</v>
      </c>
      <c r="D27">
        <f>VALUE(LEFT(tblBDD[[#This Row],[N Compte 1]],3))</f>
        <v>622</v>
      </c>
      <c r="E27" t="str">
        <f>VLOOKUP(tblBDD[[#This Row],[N abrégé 1]],tblIntituléCompte[#Data],3,FALSE)</f>
        <v>62 - Administration</v>
      </c>
      <c r="F27" t="str">
        <f>VLOOKUP(tblBDD[[#This Row],[N abrégé 2]],Tableau5[#Data],3,FALSE)</f>
        <v>622 - Hono. Syndic opérations exceptionnelles</v>
      </c>
      <c r="H27" t="str">
        <f>VLOOKUP(tblBDD[[#This Row],[N Compte 1]],tblDescriptionCompte[#Data],2,FALSE)</f>
        <v>Honoraires syndic travaux</v>
      </c>
      <c r="I27" t="b">
        <f>COUNT(tblBDD[[#This Row],[B2011]:[B2014]])=7</f>
        <v>0</v>
      </c>
      <c r="J27" s="2"/>
      <c r="K27" s="3"/>
      <c r="L27" s="2"/>
      <c r="M27" s="2"/>
      <c r="N27" s="2"/>
      <c r="O27" s="2"/>
      <c r="P27" s="2"/>
      <c r="Q27" s="2">
        <v>421.86</v>
      </c>
      <c r="R27" s="2"/>
      <c r="S27" s="2">
        <v>422.02</v>
      </c>
      <c r="T27" s="2"/>
      <c r="U27" s="2"/>
      <c r="V27" s="2"/>
      <c r="W27" s="2"/>
      <c r="X27" s="2"/>
    </row>
    <row r="28" spans="1:24" x14ac:dyDescent="0.25">
      <c r="A28" t="s">
        <v>22</v>
      </c>
      <c r="B28">
        <v>62220200</v>
      </c>
      <c r="C28">
        <f>VALUE(LEFT(tblBDD[[#This Row],[N Compte 1]],2))</f>
        <v>62</v>
      </c>
      <c r="D28">
        <f>VALUE(LEFT(tblBDD[[#This Row],[N Compte 1]],3))</f>
        <v>622</v>
      </c>
      <c r="E28" t="str">
        <f>VLOOKUP(tblBDD[[#This Row],[N abrégé 1]],tblIntituléCompte[#Data],3,FALSE)</f>
        <v>62 - Administration</v>
      </c>
      <c r="F28" t="str">
        <f>VLOOKUP(tblBDD[[#This Row],[N abrégé 2]],Tableau5[#Data],3,FALSE)</f>
        <v>622 - Hono. Syndic opérations exceptionnelles</v>
      </c>
      <c r="H28" t="str">
        <f>VLOOKUP(tblBDD[[#This Row],[N Compte 1]],tblDescriptionCompte[#Data],2,FALSE)</f>
        <v>Honoraires syndic sinistres</v>
      </c>
      <c r="I28" t="b">
        <f>COUNT(tblBDD[[#This Row],[B2011]:[B2014]])=7</f>
        <v>0</v>
      </c>
      <c r="J28" s="2"/>
      <c r="K28" s="3">
        <v>609.96</v>
      </c>
      <c r="L28" s="2">
        <v>500</v>
      </c>
      <c r="M28" s="2">
        <v>514.98</v>
      </c>
      <c r="N28" s="2">
        <v>500</v>
      </c>
      <c r="O28" s="2">
        <v>735</v>
      </c>
      <c r="P28" s="2">
        <v>500</v>
      </c>
      <c r="Q28" s="2">
        <v>526.75</v>
      </c>
      <c r="R28" s="2">
        <v>240</v>
      </c>
      <c r="S28" s="2">
        <v>316.51</v>
      </c>
      <c r="T28" s="2">
        <v>240</v>
      </c>
      <c r="U28" s="2"/>
      <c r="V28" s="2">
        <v>210</v>
      </c>
      <c r="W28" s="2"/>
      <c r="X28" s="2"/>
    </row>
    <row r="29" spans="1:24" x14ac:dyDescent="0.25">
      <c r="A29" t="s">
        <v>22</v>
      </c>
      <c r="B29">
        <v>62220300</v>
      </c>
      <c r="C29">
        <f>VALUE(LEFT(tblBDD[[#This Row],[N Compte 1]],2))</f>
        <v>62</v>
      </c>
      <c r="D29">
        <f>VALUE(LEFT(tblBDD[[#This Row],[N Compte 1]],3))</f>
        <v>622</v>
      </c>
      <c r="E29" t="str">
        <f>VLOOKUP(tblBDD[[#This Row],[N abrégé 1]],tblIntituléCompte[#Data],3,FALSE)</f>
        <v>62 - Administration</v>
      </c>
      <c r="F29" t="str">
        <f>VLOOKUP(tblBDD[[#This Row],[N abrégé 2]],Tableau5[#Data],3,FALSE)</f>
        <v>622 - Hono. Syndic opérations exceptionnelles</v>
      </c>
      <c r="H29" t="str">
        <f>VLOOKUP(tblBDD[[#This Row],[N Compte 1]],tblDescriptionCompte[#Data],2,FALSE)</f>
        <v>Honoraires syndic contentieux et impayés</v>
      </c>
      <c r="I29" t="b">
        <f>COUNT(tblBDD[[#This Row],[B2011]:[B2014]])=7</f>
        <v>1</v>
      </c>
      <c r="J29" s="2">
        <v>900</v>
      </c>
      <c r="K29" s="3">
        <v>1815.52</v>
      </c>
      <c r="L29" s="2">
        <v>1260</v>
      </c>
      <c r="M29" s="2">
        <v>1548.28</v>
      </c>
      <c r="N29" s="2">
        <v>1260</v>
      </c>
      <c r="O29" s="2">
        <v>2414.96</v>
      </c>
      <c r="P29" s="2">
        <v>1300</v>
      </c>
      <c r="Q29" s="2">
        <v>1053.49</v>
      </c>
      <c r="R29" s="2"/>
      <c r="S29" s="2"/>
      <c r="T29" s="2"/>
      <c r="U29" s="2">
        <v>81</v>
      </c>
      <c r="V29" s="2"/>
      <c r="W29" s="2"/>
      <c r="X29" s="2"/>
    </row>
    <row r="30" spans="1:24" x14ac:dyDescent="0.25">
      <c r="A30" t="s">
        <v>22</v>
      </c>
      <c r="B30">
        <v>62220500</v>
      </c>
      <c r="C30">
        <f>VALUE(LEFT(tblBDD[[#This Row],[N Compte 1]],2))</f>
        <v>62</v>
      </c>
      <c r="D30">
        <f>VALUE(LEFT(tblBDD[[#This Row],[N Compte 1]],3))</f>
        <v>622</v>
      </c>
      <c r="E30" t="str">
        <f>VLOOKUP(tblBDD[[#This Row],[N abrégé 1]],tblIntituléCompte[#Data],3,FALSE)</f>
        <v>62 - Administration</v>
      </c>
      <c r="F30" t="str">
        <f>VLOOKUP(tblBDD[[#This Row],[N abrégé 2]],Tableau5[#Data],3,FALSE)</f>
        <v>622 - Hono. Syndic opérations exceptionnelles</v>
      </c>
      <c r="H30" t="str">
        <f>VLOOKUP(tblBDD[[#This Row],[N Compte 1]],tblDescriptionCompte[#Data],2,FALSE)</f>
        <v>Honoraires syndic frais administratifs</v>
      </c>
      <c r="I30" t="b">
        <f>COUNT(tblBDD[[#This Row],[B2011]:[B2014]])=7</f>
        <v>1</v>
      </c>
      <c r="J30" s="2">
        <v>2050</v>
      </c>
      <c r="K30" s="3">
        <v>2128.9</v>
      </c>
      <c r="L30" s="2">
        <v>2100</v>
      </c>
      <c r="M30" s="2">
        <v>2376.37</v>
      </c>
      <c r="N30" s="2">
        <v>2100</v>
      </c>
      <c r="O30" s="2">
        <v>2376.37</v>
      </c>
      <c r="P30" s="2">
        <v>2150</v>
      </c>
      <c r="Q30" s="2">
        <v>1192.1600000000001</v>
      </c>
      <c r="R30" s="2"/>
      <c r="S30" s="2"/>
      <c r="T30" s="2"/>
      <c r="U30" s="2"/>
      <c r="V30" s="2"/>
      <c r="W30" s="2"/>
      <c r="X30" s="2"/>
    </row>
    <row r="31" spans="1:24" x14ac:dyDescent="0.25">
      <c r="A31" t="s">
        <v>22</v>
      </c>
      <c r="B31">
        <v>62220610</v>
      </c>
      <c r="C31">
        <f>VALUE(LEFT(tblBDD[[#This Row],[N Compte 1]],2))</f>
        <v>62</v>
      </c>
      <c r="D31">
        <f>VALUE(LEFT(tblBDD[[#This Row],[N Compte 1]],3))</f>
        <v>622</v>
      </c>
      <c r="E31" t="str">
        <f>VLOOKUP(tblBDD[[#This Row],[N abrégé 1]],tblIntituléCompte[#Data],3,FALSE)</f>
        <v>62 - Administration</v>
      </c>
      <c r="F31" t="str">
        <f>VLOOKUP(tblBDD[[#This Row],[N abrégé 2]],Tableau5[#Data],3,FALSE)</f>
        <v>622 - Hono. Syndic opérations exceptionnelles</v>
      </c>
      <c r="H31" t="str">
        <f>VLOOKUP(tblBDD[[#This Row],[N Compte 1]],tblDescriptionCompte[#Data],2,FALSE)</f>
        <v>Honoraires syndic vacations</v>
      </c>
      <c r="I31" t="b">
        <f>COUNT(tblBDD[[#This Row],[B2011]:[B2014]])=7</f>
        <v>1</v>
      </c>
      <c r="J31" s="2">
        <v>400</v>
      </c>
      <c r="K31" s="3">
        <v>403.05</v>
      </c>
      <c r="L31" s="2">
        <v>400</v>
      </c>
      <c r="M31" s="2">
        <v>521.65</v>
      </c>
      <c r="N31" s="2">
        <v>400</v>
      </c>
      <c r="O31" s="2">
        <v>419.99</v>
      </c>
      <c r="P31" s="2">
        <v>420</v>
      </c>
      <c r="Q31" s="2">
        <v>105.35</v>
      </c>
      <c r="R31" s="2"/>
      <c r="S31" s="2">
        <v>316.51</v>
      </c>
      <c r="T31" s="2"/>
      <c r="U31" s="2">
        <f>422.01+202.5+162</f>
        <v>786.51</v>
      </c>
      <c r="V31" s="2"/>
      <c r="W31" s="2">
        <v>600</v>
      </c>
      <c r="X31" s="2">
        <v>600</v>
      </c>
    </row>
    <row r="32" spans="1:24" x14ac:dyDescent="0.25">
      <c r="A32" t="s">
        <v>22</v>
      </c>
      <c r="B32">
        <v>62221100</v>
      </c>
      <c r="C32">
        <f>VALUE(LEFT(tblBDD[[#This Row],[N Compte 1]],2))</f>
        <v>62</v>
      </c>
      <c r="D32">
        <f>VALUE(LEFT(tblBDD[[#This Row],[N Compte 1]],3))</f>
        <v>622</v>
      </c>
      <c r="E32" t="str">
        <f>VLOOKUP(tblBDD[[#This Row],[N abrégé 1]],tblIntituléCompte[#Data],3,FALSE)</f>
        <v>62 - Administration</v>
      </c>
      <c r="F32" t="str">
        <f>VLOOKUP(tblBDD[[#This Row],[N abrégé 2]],Tableau5[#Data],3,FALSE)</f>
        <v>622 - Hono. Syndic opérations exceptionnelles</v>
      </c>
      <c r="H32" t="str">
        <f>VLOOKUP(tblBDD[[#This Row],[N Compte 1]],tblDescriptionCompte[#Data],2,FALSE)</f>
        <v>Honoraires syndic AG et CS</v>
      </c>
      <c r="I32" t="b">
        <f>COUNT(tblBDD[[#This Row],[B2011]:[B2014]])=7</f>
        <v>1</v>
      </c>
      <c r="J32" s="2">
        <v>1000</v>
      </c>
      <c r="K32" s="3">
        <v>1100.32</v>
      </c>
      <c r="L32" s="2">
        <v>1000</v>
      </c>
      <c r="M32" s="2">
        <v>1417.76</v>
      </c>
      <c r="N32" s="2">
        <v>1000</v>
      </c>
      <c r="O32" s="2">
        <v>1269.98</v>
      </c>
      <c r="P32" s="2">
        <v>1050</v>
      </c>
      <c r="Q32" s="2">
        <v>1856.17</v>
      </c>
      <c r="R32" s="2">
        <v>1700</v>
      </c>
      <c r="S32" s="2">
        <v>1134</v>
      </c>
      <c r="T32" s="2">
        <v>500</v>
      </c>
      <c r="U32" s="2"/>
      <c r="V32" s="2">
        <v>500</v>
      </c>
      <c r="W32" s="2"/>
      <c r="X32" s="2"/>
    </row>
    <row r="33" spans="1:24" x14ac:dyDescent="0.25">
      <c r="A33" t="s">
        <v>22</v>
      </c>
      <c r="B33">
        <v>62221200</v>
      </c>
      <c r="C33">
        <f>VALUE(LEFT(tblBDD[[#This Row],[N Compte 1]],2))</f>
        <v>62</v>
      </c>
      <c r="D33">
        <f>VALUE(LEFT(tblBDD[[#This Row],[N Compte 1]],3))</f>
        <v>622</v>
      </c>
      <c r="E33" t="str">
        <f>VLOOKUP(tblBDD[[#This Row],[N abrégé 1]],tblIntituléCompte[#Data],3,FALSE)</f>
        <v>62 - Administration</v>
      </c>
      <c r="F33" t="str">
        <f>VLOOKUP(tblBDD[[#This Row],[N abrégé 2]],Tableau5[#Data],3,FALSE)</f>
        <v>622 - Hono. Syndic opérations exceptionnelles</v>
      </c>
      <c r="H33" t="str">
        <f>VLOOKUP(tblBDD[[#This Row],[N Compte 1]],tblDescriptionCompte[#Data],2,FALSE)</f>
        <v>Honoraires syndic photocopies</v>
      </c>
      <c r="I33" t="b">
        <f>COUNT(tblBDD[[#This Row],[B2011]:[B2014]])=7</f>
        <v>1</v>
      </c>
      <c r="J33" s="2">
        <v>750</v>
      </c>
      <c r="K33" s="3">
        <v>3515.16</v>
      </c>
      <c r="L33" s="2">
        <v>3500</v>
      </c>
      <c r="M33" s="2">
        <v>2021.12</v>
      </c>
      <c r="N33" s="2">
        <v>3500</v>
      </c>
      <c r="O33" s="2">
        <v>3227.86</v>
      </c>
      <c r="P33" s="2">
        <v>3600</v>
      </c>
      <c r="Q33" s="2">
        <v>6117.5</v>
      </c>
      <c r="R33" s="2"/>
      <c r="S33" s="2"/>
      <c r="T33" s="2"/>
      <c r="U33" s="2"/>
      <c r="V33" s="2"/>
      <c r="W33" s="2"/>
      <c r="X33" s="2"/>
    </row>
    <row r="34" spans="1:24" x14ac:dyDescent="0.25">
      <c r="A34" t="s">
        <v>22</v>
      </c>
      <c r="B34">
        <v>62229900</v>
      </c>
      <c r="C34">
        <f>VALUE(LEFT(tblBDD[[#This Row],[N Compte 1]],2))</f>
        <v>62</v>
      </c>
      <c r="D34">
        <f>VALUE(LEFT(tblBDD[[#This Row],[N Compte 1]],3))</f>
        <v>622</v>
      </c>
      <c r="E34" t="str">
        <f>VLOOKUP(tblBDD[[#This Row],[N abrégé 1]],tblIntituléCompte[#Data],3,FALSE)</f>
        <v>62 - Administration</v>
      </c>
      <c r="F34" t="str">
        <f>VLOOKUP(tblBDD[[#This Row],[N abrégé 2]],Tableau5[#Data],3,FALSE)</f>
        <v>622 - Hono. Syndic opérations exceptionnelles</v>
      </c>
      <c r="H34" t="str">
        <f>VLOOKUP(tblBDD[[#This Row],[N Compte 1]],tblDescriptionCompte[#Data],2,FALSE)</f>
        <v>Autres honoraires syndic prestations particulières</v>
      </c>
      <c r="I34" t="b">
        <f>COUNT(tblBDD[[#This Row],[B2011]:[B2014]])=7</f>
        <v>0</v>
      </c>
      <c r="J34" s="2"/>
      <c r="K34" s="3"/>
      <c r="L34" s="2"/>
      <c r="M34" s="2">
        <v>160.63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x14ac:dyDescent="0.25">
      <c r="A35" t="s">
        <v>22</v>
      </c>
      <c r="B35">
        <v>62310000</v>
      </c>
      <c r="C35">
        <f>VALUE(LEFT(tblBDD[[#This Row],[N Compte 1]],2))</f>
        <v>62</v>
      </c>
      <c r="D35">
        <f>VALUE(LEFT(tblBDD[[#This Row],[N Compte 1]],3))</f>
        <v>623</v>
      </c>
      <c r="E35" t="str">
        <f>VLOOKUP(tblBDD[[#This Row],[N abrégé 1]],tblIntituléCompte[#Data],3,FALSE)</f>
        <v>62 - Administration</v>
      </c>
      <c r="F35" t="str">
        <f>VLOOKUP(tblBDD[[#This Row],[N abrégé 2]],Tableau5[#Data],3,FALSE)</f>
        <v>623 - Avocats</v>
      </c>
      <c r="H35" t="str">
        <f>VLOOKUP(tblBDD[[#This Row],[N Compte 1]],tblDescriptionCompte[#Data],2,FALSE)</f>
        <v>Avocats</v>
      </c>
      <c r="I35" t="b">
        <f>COUNT(tblBDD[[#This Row],[B2011]:[B2014]])=7</f>
        <v>1</v>
      </c>
      <c r="J35" s="2">
        <v>500</v>
      </c>
      <c r="K35" s="3">
        <v>1322.78</v>
      </c>
      <c r="L35" s="2">
        <v>5000</v>
      </c>
      <c r="M35" s="2">
        <v>1914.78</v>
      </c>
      <c r="N35" s="2">
        <v>3380</v>
      </c>
      <c r="O35" s="2">
        <v>5385.83</v>
      </c>
      <c r="P35" s="2">
        <v>3500</v>
      </c>
      <c r="Q35" s="2">
        <v>3962.24</v>
      </c>
      <c r="R35" s="2">
        <v>4000</v>
      </c>
      <c r="S35" s="2">
        <v>2394.17</v>
      </c>
      <c r="T35" s="2">
        <v>4000</v>
      </c>
      <c r="U35" s="2"/>
      <c r="V35" s="2">
        <v>4000</v>
      </c>
      <c r="W35" s="2">
        <v>4000</v>
      </c>
      <c r="X35" s="2">
        <v>4000</v>
      </c>
    </row>
    <row r="36" spans="1:24" x14ac:dyDescent="0.25">
      <c r="A36" t="s">
        <v>22</v>
      </c>
      <c r="B36">
        <v>67300000</v>
      </c>
      <c r="C36">
        <f>VALUE(LEFT(tblBDD[[#This Row],[N Compte 1]],2))</f>
        <v>67</v>
      </c>
      <c r="D36">
        <f>VALUE(LEFT(tblBDD[[#This Row],[N Compte 1]],3))</f>
        <v>673</v>
      </c>
      <c r="E36" t="str">
        <f>VLOOKUP(tblBDD[[#This Row],[N abrégé 1]],tblIntituléCompte[#Data],3,FALSE)</f>
        <v>67 - Charges exceptionnelles</v>
      </c>
      <c r="F36" t="str">
        <f>VLOOKUP(tblBDD[[#This Row],[N abrégé 2]],Tableau5[#Data],3,FALSE)</f>
        <v>673 - Etudes techniques</v>
      </c>
      <c r="H36" t="str">
        <f>VLOOKUP(tblBDD[[#This Row],[N Compte 1]],tblDescriptionCompte[#Data],2,FALSE)</f>
        <v>Experts et bureaux d'étude</v>
      </c>
      <c r="I36" t="b">
        <f>COUNT(tblBDD[[#This Row],[B2011]:[B2014]])=7</f>
        <v>0</v>
      </c>
      <c r="J36" s="2"/>
      <c r="K36" s="3"/>
      <c r="L36" s="2"/>
      <c r="M36" s="2"/>
      <c r="N36" s="2"/>
      <c r="O36" s="2">
        <v>7543.25</v>
      </c>
      <c r="P36" s="2"/>
      <c r="Q36" s="2"/>
      <c r="R36" s="2"/>
      <c r="S36" s="2">
        <v>1158</v>
      </c>
      <c r="T36" s="2"/>
      <c r="U36" s="2"/>
      <c r="V36" s="2"/>
      <c r="W36" s="2"/>
      <c r="X36" s="2"/>
    </row>
    <row r="37" spans="1:24" x14ac:dyDescent="0.25">
      <c r="A37" t="s">
        <v>22</v>
      </c>
      <c r="B37">
        <v>62400000</v>
      </c>
      <c r="C37">
        <f>VALUE(LEFT(tblBDD[[#This Row],[N Compte 1]],2))</f>
        <v>62</v>
      </c>
      <c r="D37">
        <f>VALUE(LEFT(tblBDD[[#This Row],[N Compte 1]],3))</f>
        <v>624</v>
      </c>
      <c r="E37" t="str">
        <f>VLOOKUP(tblBDD[[#This Row],[N abrégé 1]],tblIntituléCompte[#Data],3,FALSE)</f>
        <v>62 - Administration</v>
      </c>
      <c r="F37" t="str">
        <f>VLOOKUP(tblBDD[[#This Row],[N abrégé 2]],Tableau5[#Data],3,FALSE)</f>
        <v>624 - Autres frais</v>
      </c>
      <c r="H37" t="str">
        <f>VLOOKUP(tblBDD[[#This Row],[N Compte 1]],tblDescriptionCompte[#Data],2,FALSE)</f>
        <v>Frais conseil syndical</v>
      </c>
      <c r="I37" t="b">
        <f>COUNT(tblBDD[[#This Row],[B2011]:[B2014]])=7</f>
        <v>1</v>
      </c>
      <c r="J37" s="2">
        <v>470</v>
      </c>
      <c r="K37" s="3">
        <v>485.1</v>
      </c>
      <c r="L37" s="2">
        <v>490</v>
      </c>
      <c r="M37" s="2">
        <v>495</v>
      </c>
      <c r="N37" s="2">
        <v>490</v>
      </c>
      <c r="O37" s="2">
        <v>495</v>
      </c>
      <c r="P37" s="2">
        <v>500</v>
      </c>
      <c r="Q37" s="2">
        <v>495</v>
      </c>
      <c r="R37" s="2">
        <v>500</v>
      </c>
      <c r="S37" s="2">
        <v>495</v>
      </c>
      <c r="T37" s="2">
        <v>500</v>
      </c>
      <c r="U37" s="2">
        <v>495</v>
      </c>
      <c r="V37" s="2">
        <v>500</v>
      </c>
      <c r="W37" s="2">
        <v>495</v>
      </c>
      <c r="X37" s="2">
        <v>495</v>
      </c>
    </row>
    <row r="38" spans="1:24" x14ac:dyDescent="0.25">
      <c r="A38" t="s">
        <v>22</v>
      </c>
      <c r="B38">
        <v>62400000</v>
      </c>
      <c r="C38">
        <f>VALUE(LEFT(tblBDD[[#This Row],[N Compte 1]],2))</f>
        <v>62</v>
      </c>
      <c r="D38">
        <f>VALUE(LEFT(tblBDD[[#This Row],[N Compte 1]],3))</f>
        <v>624</v>
      </c>
      <c r="E38" t="str">
        <f>VLOOKUP(tblBDD[[#This Row],[N abrégé 1]],tblIntituléCompte[#Data],3,FALSE)</f>
        <v>62 - Administration</v>
      </c>
      <c r="F38" t="str">
        <f>VLOOKUP(tblBDD[[#This Row],[N abrégé 2]],Tableau5[#Data],3,FALSE)</f>
        <v>624 - Autres frais</v>
      </c>
      <c r="H38" t="str">
        <f>VLOOKUP(tblBDD[[#This Row],[N Compte 1]],tblDescriptionCompte[#Data],2,FALSE)</f>
        <v>Frais conseil syndical</v>
      </c>
      <c r="I38" t="b">
        <f>COUNT(tblBDD[[#This Row],[B2011]:[B2014]])=7</f>
        <v>0</v>
      </c>
      <c r="J38" s="2">
        <v>100</v>
      </c>
      <c r="K38" s="3"/>
      <c r="L38" s="2">
        <v>100</v>
      </c>
      <c r="M38" s="2"/>
      <c r="N38" s="2">
        <v>100</v>
      </c>
      <c r="O38" s="2"/>
      <c r="P38" s="2">
        <v>100</v>
      </c>
      <c r="Q38" s="2">
        <v>500</v>
      </c>
      <c r="R38" s="2">
        <v>500</v>
      </c>
      <c r="S38" s="2">
        <v>500</v>
      </c>
      <c r="T38" s="2">
        <v>500</v>
      </c>
      <c r="U38" s="2"/>
      <c r="V38" s="2">
        <v>500</v>
      </c>
      <c r="W38" s="2"/>
      <c r="X38" s="2"/>
    </row>
    <row r="39" spans="1:24" x14ac:dyDescent="0.25">
      <c r="A39" t="s">
        <v>22</v>
      </c>
      <c r="B39">
        <v>62400000</v>
      </c>
      <c r="C39">
        <f>VALUE(LEFT(tblBDD[[#This Row],[N Compte 1]],2))</f>
        <v>62</v>
      </c>
      <c r="D39">
        <f>VALUE(LEFT(tblBDD[[#This Row],[N Compte 1]],3))</f>
        <v>624</v>
      </c>
      <c r="E39" t="str">
        <f>VLOOKUP(tblBDD[[#This Row],[N abrégé 1]],tblIntituléCompte[#Data],3,FALSE)</f>
        <v>62 - Administration</v>
      </c>
      <c r="F39" t="str">
        <f>VLOOKUP(tblBDD[[#This Row],[N abrégé 2]],Tableau5[#Data],3,FALSE)</f>
        <v>624 - Autres frais</v>
      </c>
      <c r="H39" t="str">
        <f>VLOOKUP(tblBDD[[#This Row],[N Compte 1]],tblDescriptionCompte[#Data],2,FALSE)</f>
        <v>Frais conseil syndical</v>
      </c>
      <c r="I39" t="b">
        <f>COUNT(tblBDD[[#This Row],[B2011]:[B2014]])=7</f>
        <v>0</v>
      </c>
      <c r="J39" s="2"/>
      <c r="K39" s="3"/>
      <c r="L39" s="2"/>
      <c r="M39" s="2"/>
      <c r="N39" s="2"/>
      <c r="O39" s="2"/>
      <c r="P39" s="2"/>
      <c r="Q39" s="2">
        <v>238.79</v>
      </c>
      <c r="R39" s="2"/>
      <c r="S39" s="2"/>
      <c r="T39" s="2"/>
      <c r="U39" s="2"/>
      <c r="V39" s="2"/>
      <c r="W39" s="2"/>
      <c r="X39" s="2"/>
    </row>
    <row r="40" spans="1:24" x14ac:dyDescent="0.25">
      <c r="A40" t="s">
        <v>22</v>
      </c>
      <c r="B40">
        <v>62621000</v>
      </c>
      <c r="C40">
        <f>VALUE(LEFT(tblBDD[[#This Row],[N Compte 1]],2))</f>
        <v>62</v>
      </c>
      <c r="D40">
        <f>VALUE(LEFT(tblBDD[[#This Row],[N Compte 1]],3))</f>
        <v>626</v>
      </c>
      <c r="E40" t="str">
        <f>VLOOKUP(tblBDD[[#This Row],[N abrégé 1]],tblIntituléCompte[#Data],3,FALSE)</f>
        <v>62 - Administration</v>
      </c>
      <c r="F40" t="str">
        <f>VLOOKUP(tblBDD[[#This Row],[N abrégé 2]],Tableau5[#Data],3,FALSE)</f>
        <v>626 - Téléphone</v>
      </c>
      <c r="H40" t="str">
        <f>VLOOKUP(tblBDD[[#This Row],[N Compte 1]],tblDescriptionCompte[#Data],2,FALSE)</f>
        <v>Téléphone</v>
      </c>
      <c r="I40" t="b">
        <f>COUNT(tblBDD[[#This Row],[B2011]:[B2014]])=7</f>
        <v>1</v>
      </c>
      <c r="J40" s="2">
        <v>320</v>
      </c>
      <c r="K40" s="3">
        <v>293.25</v>
      </c>
      <c r="L40" s="2">
        <v>300</v>
      </c>
      <c r="M40" s="2">
        <v>303.52</v>
      </c>
      <c r="N40" s="2">
        <v>300</v>
      </c>
      <c r="O40" s="2">
        <v>301.12</v>
      </c>
      <c r="P40" s="2">
        <v>300</v>
      </c>
      <c r="Q40" s="2">
        <v>276</v>
      </c>
      <c r="R40" s="2">
        <v>300</v>
      </c>
      <c r="S40" s="2">
        <v>249.92</v>
      </c>
      <c r="T40" s="2">
        <v>300</v>
      </c>
      <c r="U40" s="2"/>
      <c r="V40" s="2"/>
      <c r="W40" s="2"/>
      <c r="X40" s="2"/>
    </row>
    <row r="41" spans="1:24" x14ac:dyDescent="0.25">
      <c r="A41" t="s">
        <v>22</v>
      </c>
      <c r="B41">
        <v>63301000</v>
      </c>
      <c r="C41">
        <f>VALUE(LEFT(tblBDD[[#This Row],[N Compte 1]],2))</f>
        <v>63</v>
      </c>
      <c r="D41">
        <f>VALUE(LEFT(tblBDD[[#This Row],[N Compte 1]],3))</f>
        <v>633</v>
      </c>
      <c r="E41" t="str">
        <f>VLOOKUP(tblBDD[[#This Row],[N abrégé 1]],tblIntituléCompte[#Data],3,FALSE)</f>
        <v>63 - Impôts &amp; taxes</v>
      </c>
      <c r="F41" t="str">
        <f>VLOOKUP(tblBDD[[#This Row],[N abrégé 2]],Tableau5[#Data],3,FALSE)</f>
        <v>633 - Taxes foncières</v>
      </c>
      <c r="H41" t="str">
        <f>VLOOKUP(tblBDD[[#This Row],[N Compte 1]],tblDescriptionCompte[#Data],2,FALSE)</f>
        <v>Taxes foncières</v>
      </c>
      <c r="I41" t="b">
        <f>COUNT(tblBDD[[#This Row],[B2011]:[B2014]])=7</f>
        <v>1</v>
      </c>
      <c r="J41" s="2">
        <v>740</v>
      </c>
      <c r="K41" s="3">
        <v>734</v>
      </c>
      <c r="L41" s="2">
        <v>740</v>
      </c>
      <c r="M41" s="2">
        <v>747</v>
      </c>
      <c r="N41" s="2">
        <v>740</v>
      </c>
      <c r="O41" s="2">
        <v>753</v>
      </c>
      <c r="P41" s="2">
        <v>750</v>
      </c>
      <c r="Q41" s="2">
        <v>761</v>
      </c>
      <c r="R41" s="2">
        <v>770</v>
      </c>
      <c r="S41" s="2">
        <v>653</v>
      </c>
      <c r="T41" s="2">
        <v>770</v>
      </c>
      <c r="U41" s="2">
        <v>804</v>
      </c>
      <c r="V41" s="2">
        <v>700</v>
      </c>
      <c r="W41" s="2">
        <v>820</v>
      </c>
      <c r="X41" s="2">
        <v>820</v>
      </c>
    </row>
    <row r="42" spans="1:24" x14ac:dyDescent="0.25">
      <c r="A42" t="s">
        <v>22</v>
      </c>
      <c r="B42">
        <v>64101000</v>
      </c>
      <c r="C42">
        <f>VALUE(LEFT(tblBDD[[#This Row],[N Compte 1]],2))</f>
        <v>64</v>
      </c>
      <c r="D42">
        <f>VALUE(LEFT(tblBDD[[#This Row],[N Compte 1]],3))</f>
        <v>641</v>
      </c>
      <c r="E42" t="str">
        <f>VLOOKUP(tblBDD[[#This Row],[N abrégé 1]],tblIntituléCompte[#Data],3,FALSE)</f>
        <v>64 - Frais de personnel</v>
      </c>
      <c r="F42" t="str">
        <f>VLOOKUP(tblBDD[[#This Row],[N abrégé 2]],Tableau5[#Data],3,FALSE)</f>
        <v>641 - Salaires gardiens et personnels immeubles</v>
      </c>
      <c r="H42" t="str">
        <f>VLOOKUP(tblBDD[[#This Row],[N Compte 1]],tblDescriptionCompte[#Data],2,FALSE)</f>
        <v>Salaires gardiens et personnels immeubles</v>
      </c>
      <c r="I42" t="b">
        <f>COUNT(tblBDD[[#This Row],[B2011]:[B2014]])=7</f>
        <v>1</v>
      </c>
      <c r="J42" s="2">
        <v>51600</v>
      </c>
      <c r="K42" s="3">
        <v>56873.42</v>
      </c>
      <c r="L42" s="2">
        <v>57000</v>
      </c>
      <c r="M42" s="2">
        <v>58176.23</v>
      </c>
      <c r="N42" s="2">
        <v>57000</v>
      </c>
      <c r="O42" s="2">
        <v>58771.7</v>
      </c>
      <c r="P42" s="2">
        <v>58700</v>
      </c>
      <c r="Q42" s="2">
        <f>110124.76</f>
        <v>110124.76</v>
      </c>
      <c r="R42" s="2">
        <v>12000</v>
      </c>
      <c r="S42" s="2">
        <v>10671.6</v>
      </c>
      <c r="T42" s="2">
        <v>23000</v>
      </c>
      <c r="U42" s="2">
        <v>15844</v>
      </c>
      <c r="V42" s="2">
        <v>23000</v>
      </c>
      <c r="W42" s="2">
        <v>7275</v>
      </c>
      <c r="X42" s="2">
        <f>10728</f>
        <v>10728</v>
      </c>
    </row>
    <row r="43" spans="1:24" x14ac:dyDescent="0.25">
      <c r="A43" t="s">
        <v>22</v>
      </c>
      <c r="B43">
        <v>64170000</v>
      </c>
      <c r="C43">
        <f>VALUE(LEFT(tblBDD[[#This Row],[N Compte 1]],2))</f>
        <v>64</v>
      </c>
      <c r="D43">
        <f>VALUE(LEFT(tblBDD[[#This Row],[N Compte 1]],3))</f>
        <v>641</v>
      </c>
      <c r="E43" t="str">
        <f>VLOOKUP(tblBDD[[#This Row],[N abrégé 1]],tblIntituléCompte[#Data],3,FALSE)</f>
        <v>64 - Frais de personnel</v>
      </c>
      <c r="F43" t="str">
        <f>VLOOKUP(tblBDD[[#This Row],[N abrégé 2]],Tableau5[#Data],3,FALSE)</f>
        <v>641 - Salaires gardiens et personnels immeubles</v>
      </c>
      <c r="H43" t="str">
        <f>VLOOKUP(tblBDD[[#This Row],[N Compte 1]],tblDescriptionCompte[#Data],2,FALSE)</f>
        <v>Avantages en nature</v>
      </c>
      <c r="I43" t="b">
        <f>COUNT(tblBDD[[#This Row],[B2011]:[B2014]])=7</f>
        <v>0</v>
      </c>
      <c r="J43" s="2"/>
      <c r="K43" s="3">
        <v>-180</v>
      </c>
      <c r="L43" s="2"/>
      <c r="M43" s="2"/>
      <c r="N43" s="2"/>
      <c r="O43" s="2"/>
      <c r="P43" s="2"/>
      <c r="Q43" s="2"/>
      <c r="R43" s="2"/>
      <c r="S43" s="2">
        <v>-1122</v>
      </c>
      <c r="T43" s="2"/>
      <c r="U43" s="2"/>
      <c r="V43" s="2"/>
      <c r="W43" s="2"/>
      <c r="X43" s="2"/>
    </row>
    <row r="44" spans="1:24" x14ac:dyDescent="0.25">
      <c r="A44" t="s">
        <v>22</v>
      </c>
      <c r="B44">
        <v>64190000</v>
      </c>
      <c r="C44">
        <f>VALUE(LEFT(tblBDD[[#This Row],[N Compte 1]],2))</f>
        <v>64</v>
      </c>
      <c r="D44">
        <f>VALUE(LEFT(tblBDD[[#This Row],[N Compte 1]],3))</f>
        <v>641</v>
      </c>
      <c r="E44" t="str">
        <f>VLOOKUP(tblBDD[[#This Row],[N abrégé 1]],tblIntituléCompte[#Data],3,FALSE)</f>
        <v>64 - Frais de personnel</v>
      </c>
      <c r="F44" t="str">
        <f>VLOOKUP(tblBDD[[#This Row],[N abrégé 2]],Tableau5[#Data],3,FALSE)</f>
        <v>641 - Salaires gardiens et personnels immeubles</v>
      </c>
      <c r="H44" t="str">
        <f>VLOOKUP(tblBDD[[#This Row],[N Compte 1]],tblDescriptionCompte[#Data],2,FALSE)</f>
        <v>Reprise en avantage en nature</v>
      </c>
      <c r="I44" t="b">
        <f>COUNT(tblBDD[[#This Row],[B2011]:[B2014]])=7</f>
        <v>0</v>
      </c>
      <c r="J44" s="2"/>
      <c r="K44" s="3">
        <v>-3025.92</v>
      </c>
      <c r="L44" s="2"/>
      <c r="M44" s="2">
        <v>-2807.84</v>
      </c>
      <c r="N44" s="2"/>
      <c r="O44" s="2">
        <v>-3184.66</v>
      </c>
      <c r="P44" s="2"/>
      <c r="Q44" s="2">
        <v>-1706</v>
      </c>
      <c r="R44" s="2"/>
      <c r="S44" s="2"/>
      <c r="T44" s="2"/>
      <c r="U44" s="2"/>
      <c r="V44" s="2"/>
      <c r="W44" s="2"/>
      <c r="X44" s="2"/>
    </row>
    <row r="45" spans="1:24" x14ac:dyDescent="0.25">
      <c r="A45" t="s">
        <v>22</v>
      </c>
      <c r="B45">
        <v>64200000</v>
      </c>
      <c r="C45">
        <f>VALUE(LEFT(tblBDD[[#This Row],[N Compte 1]],2))</f>
        <v>64</v>
      </c>
      <c r="D45">
        <f>VALUE(LEFT(tblBDD[[#This Row],[N Compte 1]],3))</f>
        <v>642</v>
      </c>
      <c r="E45" t="str">
        <f>VLOOKUP(tblBDD[[#This Row],[N abrégé 1]],tblIntituléCompte[#Data],3,FALSE)</f>
        <v>64 - Frais de personnel</v>
      </c>
      <c r="F45" t="str">
        <f>VLOOKUP(tblBDD[[#This Row],[N abrégé 2]],Tableau5[#Data],3,FALSE)</f>
        <v>642 - URSSAF</v>
      </c>
      <c r="H45" t="s">
        <v>229</v>
      </c>
      <c r="I45" t="b">
        <f>COUNT(tblBDD[[#This Row],[B2011]:[B2014]])=7</f>
        <v>0</v>
      </c>
      <c r="J45" s="2"/>
      <c r="K45" s="3"/>
      <c r="L45" s="2"/>
      <c r="M45" s="2"/>
      <c r="N45" s="2"/>
      <c r="O45" s="2"/>
      <c r="P45" s="2"/>
      <c r="Q45" s="2"/>
      <c r="R45" s="2"/>
      <c r="S45" s="2"/>
      <c r="T45" s="2"/>
      <c r="U45" s="2">
        <v>11695.98</v>
      </c>
      <c r="V45" s="2"/>
      <c r="W45" s="2">
        <v>7228</v>
      </c>
      <c r="X45" s="2">
        <v>8778</v>
      </c>
    </row>
    <row r="46" spans="1:24" x14ac:dyDescent="0.25">
      <c r="A46" t="s">
        <v>22</v>
      </c>
      <c r="B46">
        <v>64224100</v>
      </c>
      <c r="C46">
        <f>VALUE(LEFT(tblBDD[[#This Row],[N Compte 1]],2))</f>
        <v>64</v>
      </c>
      <c r="D46">
        <f>VALUE(LEFT(tblBDD[[#This Row],[N Compte 1]],3))</f>
        <v>642</v>
      </c>
      <c r="E46" t="str">
        <f>VLOOKUP(tblBDD[[#This Row],[N abrégé 1]],tblIntituléCompte[#Data],3,FALSE)</f>
        <v>64 - Frais de personnel</v>
      </c>
      <c r="F46" t="str">
        <f>VLOOKUP(tblBDD[[#This Row],[N abrégé 2]],Tableau5[#Data],3,FALSE)</f>
        <v>642 - URSSAF</v>
      </c>
      <c r="H46" t="str">
        <f>VLOOKUP(tblBDD[[#This Row],[N Compte 1]],tblDescriptionCompte[#Data],2,FALSE)</f>
        <v>Cotisations URSSAF</v>
      </c>
      <c r="I46" t="b">
        <f>COUNT(tblBDD[[#This Row],[B2011]:[B2014]])=7</f>
        <v>1</v>
      </c>
      <c r="J46" s="2">
        <v>15280</v>
      </c>
      <c r="K46" s="3">
        <v>16862.580000000002</v>
      </c>
      <c r="L46" s="2">
        <v>16900</v>
      </c>
      <c r="M46" s="2">
        <v>17047.91</v>
      </c>
      <c r="N46" s="2">
        <v>16900</v>
      </c>
      <c r="O46" s="2">
        <v>17290.150000000001</v>
      </c>
      <c r="P46" s="2">
        <v>17400</v>
      </c>
      <c r="Q46" s="2">
        <f>29294.42</f>
        <v>29294.42</v>
      </c>
      <c r="R46" s="2">
        <v>1750</v>
      </c>
      <c r="S46" s="2">
        <v>2012.25</v>
      </c>
      <c r="T46" s="2">
        <v>3250</v>
      </c>
      <c r="U46" s="2"/>
      <c r="V46" s="2">
        <v>3250</v>
      </c>
      <c r="W46" s="2"/>
      <c r="X46" s="2"/>
    </row>
    <row r="47" spans="1:24" x14ac:dyDescent="0.25">
      <c r="A47" t="s">
        <v>22</v>
      </c>
      <c r="B47">
        <v>64243000</v>
      </c>
      <c r="C47">
        <f>VALUE(LEFT(tblBDD[[#This Row],[N Compte 1]],2))</f>
        <v>64</v>
      </c>
      <c r="D47">
        <f>VALUE(LEFT(tblBDD[[#This Row],[N Compte 1]],3))</f>
        <v>642</v>
      </c>
      <c r="E47" t="str">
        <f>VLOOKUP(tblBDD[[#This Row],[N abrégé 1]],tblIntituléCompte[#Data],3,FALSE)</f>
        <v>64 - Frais de personnel</v>
      </c>
      <c r="F47" t="str">
        <f>VLOOKUP(tblBDD[[#This Row],[N abrégé 2]],Tableau5[#Data],3,FALSE)</f>
        <v>642 - URSSAF</v>
      </c>
      <c r="H47" t="str">
        <f>VLOOKUP(tblBDD[[#This Row],[N Compte 1]],tblDescriptionCompte[#Data],2,FALSE)</f>
        <v>Cotisations caisses de retraites</v>
      </c>
      <c r="I47" t="b">
        <f>COUNT(tblBDD[[#This Row],[B2011]:[B2014]])=7</f>
        <v>1</v>
      </c>
      <c r="J47" s="2">
        <v>3310</v>
      </c>
      <c r="K47" s="3">
        <v>3813.81</v>
      </c>
      <c r="L47" s="2">
        <v>3900</v>
      </c>
      <c r="M47" s="2">
        <v>3897.75</v>
      </c>
      <c r="N47" s="2">
        <v>3900</v>
      </c>
      <c r="O47" s="2">
        <v>3937.65</v>
      </c>
      <c r="P47" s="2">
        <v>4000</v>
      </c>
      <c r="Q47" s="2">
        <f>10760.61</f>
        <v>10760.61</v>
      </c>
      <c r="R47" s="2">
        <v>800</v>
      </c>
      <c r="S47" s="2">
        <v>714.96</v>
      </c>
      <c r="T47" s="2">
        <v>1500</v>
      </c>
      <c r="U47" s="2"/>
      <c r="V47" s="2">
        <v>1500</v>
      </c>
      <c r="W47" s="2"/>
      <c r="X47" s="2"/>
    </row>
    <row r="48" spans="1:24" x14ac:dyDescent="0.25">
      <c r="A48" t="s">
        <v>22</v>
      </c>
      <c r="B48">
        <v>64244000</v>
      </c>
      <c r="C48">
        <f>VALUE(LEFT(tblBDD[[#This Row],[N Compte 1]],2))</f>
        <v>64</v>
      </c>
      <c r="D48">
        <f>VALUE(LEFT(tblBDD[[#This Row],[N Compte 1]],3))</f>
        <v>642</v>
      </c>
      <c r="E48" t="str">
        <f>VLOOKUP(tblBDD[[#This Row],[N abrégé 1]],tblIntituléCompte[#Data],3,FALSE)</f>
        <v>64 - Frais de personnel</v>
      </c>
      <c r="F48" t="str">
        <f>VLOOKUP(tblBDD[[#This Row],[N abrégé 2]],Tableau5[#Data],3,FALSE)</f>
        <v>642 - URSSAF</v>
      </c>
      <c r="H48" t="str">
        <f>VLOOKUP(tblBDD[[#This Row],[N Compte 1]],tblDescriptionCompte[#Data],2,FALSE)</f>
        <v>Cotisations Pôle emploi</v>
      </c>
      <c r="I48" t="b">
        <f>COUNT(tblBDD[[#This Row],[B2011]:[B2014]])=7</f>
        <v>1</v>
      </c>
      <c r="J48" s="2">
        <v>2190</v>
      </c>
      <c r="K48" s="3">
        <v>2276.96</v>
      </c>
      <c r="L48" s="2">
        <v>2300</v>
      </c>
      <c r="M48" s="2">
        <v>2327.08</v>
      </c>
      <c r="N48" s="2">
        <v>2300</v>
      </c>
      <c r="O48" s="2">
        <v>2350.91</v>
      </c>
      <c r="P48" s="2">
        <v>2350</v>
      </c>
      <c r="Q48" s="2">
        <f>4405.02</f>
        <v>4405.0200000000004</v>
      </c>
      <c r="R48" s="2">
        <v>500</v>
      </c>
      <c r="S48" s="2">
        <v>426.86</v>
      </c>
      <c r="T48" s="2">
        <v>900</v>
      </c>
      <c r="U48" s="2"/>
      <c r="V48" s="2">
        <v>900</v>
      </c>
      <c r="W48" s="2"/>
      <c r="X48" s="2"/>
    </row>
    <row r="49" spans="1:24" x14ac:dyDescent="0.25">
      <c r="A49" t="s">
        <v>22</v>
      </c>
      <c r="B49">
        <v>64248000</v>
      </c>
      <c r="C49">
        <f>VALUE(LEFT(tblBDD[[#This Row],[N Compte 1]],2))</f>
        <v>64</v>
      </c>
      <c r="D49">
        <f>VALUE(LEFT(tblBDD[[#This Row],[N Compte 1]],3))</f>
        <v>642</v>
      </c>
      <c r="E49" t="str">
        <f>VLOOKUP(tblBDD[[#This Row],[N abrégé 1]],tblIntituléCompte[#Data],3,FALSE)</f>
        <v>64 - Frais de personnel</v>
      </c>
      <c r="F49" t="str">
        <f>VLOOKUP(tblBDD[[#This Row],[N abrégé 2]],Tableau5[#Data],3,FALSE)</f>
        <v>642 - URSSAF</v>
      </c>
      <c r="H49" t="str">
        <f>VLOOKUP(tblBDD[[#This Row],[N Compte 1]],tblDescriptionCompte[#Data],2,FALSE)</f>
        <v>Cotisations autres organismes sociaux</v>
      </c>
      <c r="I49" t="b">
        <f>COUNT(tblBDD[[#This Row],[B2011]:[B2014]])=7</f>
        <v>0</v>
      </c>
      <c r="J49" s="2"/>
      <c r="K49" s="3">
        <v>553.47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x14ac:dyDescent="0.25">
      <c r="A50" t="s">
        <v>22</v>
      </c>
      <c r="B50">
        <v>64300000</v>
      </c>
      <c r="C50">
        <f>VALUE(LEFT(tblBDD[[#This Row],[N Compte 1]],2))</f>
        <v>64</v>
      </c>
      <c r="D50">
        <f>VALUE(LEFT(tblBDD[[#This Row],[N Compte 1]],3))</f>
        <v>643</v>
      </c>
      <c r="E50" t="str">
        <f>VLOOKUP(tblBDD[[#This Row],[N abrégé 1]],tblIntituléCompte[#Data],3,FALSE)</f>
        <v>64 - Frais de personnel</v>
      </c>
      <c r="F50" t="str">
        <f>VLOOKUP(tblBDD[[#This Row],[N abrégé 2]],Tableau5[#Data],3,FALSE)</f>
        <v>643 - Cotisations</v>
      </c>
      <c r="H50" t="str">
        <f>VLOOKUP(tblBDD[[#This Row],[N Compte 1]],tblDescriptionCompte[#Data],2,FALSE)</f>
        <v>Taxes sur salaire</v>
      </c>
      <c r="I50" t="b">
        <f>COUNT(tblBDD[[#This Row],[B2011]:[B2014]])=7</f>
        <v>1</v>
      </c>
      <c r="J50" s="2">
        <v>6000</v>
      </c>
      <c r="K50" s="3">
        <v>5546</v>
      </c>
      <c r="L50" s="2">
        <v>6000</v>
      </c>
      <c r="M50" s="2">
        <v>5717</v>
      </c>
      <c r="N50" s="2">
        <v>6000</v>
      </c>
      <c r="O50" s="2">
        <v>5798</v>
      </c>
      <c r="P50" s="2">
        <v>6150</v>
      </c>
      <c r="Q50" s="2">
        <f>12764</f>
        <v>12764</v>
      </c>
      <c r="R50" s="2">
        <v>2500</v>
      </c>
      <c r="S50" s="2"/>
      <c r="T50" s="2">
        <v>5000</v>
      </c>
      <c r="U50" s="2"/>
      <c r="V50" s="2">
        <v>5000</v>
      </c>
      <c r="W50" s="2"/>
      <c r="X50" s="2"/>
    </row>
    <row r="51" spans="1:24" x14ac:dyDescent="0.25">
      <c r="A51" t="s">
        <v>22</v>
      </c>
      <c r="B51">
        <v>64410000</v>
      </c>
      <c r="C51">
        <f>VALUE(LEFT(tblBDD[[#This Row],[N Compte 1]],2))</f>
        <v>64</v>
      </c>
      <c r="D51">
        <f>VALUE(LEFT(tblBDD[[#This Row],[N Compte 1]],3))</f>
        <v>644</v>
      </c>
      <c r="E51" t="str">
        <f>VLOOKUP(tblBDD[[#This Row],[N abrégé 1]],tblIntituléCompte[#Data],3,FALSE)</f>
        <v>64 - Frais de personnel</v>
      </c>
      <c r="F51" t="str">
        <f>VLOOKUP(tblBDD[[#This Row],[N abrégé 2]],Tableau5[#Data],3,FALSE)</f>
        <v>644 - Frais de personnel</v>
      </c>
      <c r="H51" t="str">
        <f>VLOOKUP(tblBDD[[#This Row],[N Compte 1]],tblDescriptionCompte[#Data],2,FALSE)</f>
        <v>Cotisations Médecine du travail</v>
      </c>
      <c r="I51" t="b">
        <f>COUNT(tblBDD[[#This Row],[B2011]:[B2014]])=7</f>
        <v>0</v>
      </c>
      <c r="J51" s="2">
        <v>550</v>
      </c>
      <c r="K51" s="3"/>
      <c r="L51" s="2">
        <v>550</v>
      </c>
      <c r="M51" s="2">
        <v>226.52</v>
      </c>
      <c r="N51" s="2">
        <v>550</v>
      </c>
      <c r="O51" s="2">
        <v>230.59</v>
      </c>
      <c r="P51" s="2">
        <v>570</v>
      </c>
      <c r="Q51" s="2">
        <v>234.6</v>
      </c>
      <c r="R51" s="2">
        <v>250</v>
      </c>
      <c r="S51" s="2"/>
      <c r="T51" s="2">
        <v>250</v>
      </c>
      <c r="U51" s="2">
        <v>120.66</v>
      </c>
      <c r="V51" s="2">
        <v>250</v>
      </c>
      <c r="W51" s="2"/>
      <c r="X51" s="2">
        <v>121</v>
      </c>
    </row>
    <row r="52" spans="1:24" x14ac:dyDescent="0.25">
      <c r="A52" t="s">
        <v>22</v>
      </c>
      <c r="B52">
        <v>64430000</v>
      </c>
      <c r="C52">
        <f>VALUE(LEFT(tblBDD[[#This Row],[N Compte 1]],2))</f>
        <v>64</v>
      </c>
      <c r="D52">
        <f>VALUE(LEFT(tblBDD[[#This Row],[N Compte 1]],3))</f>
        <v>644</v>
      </c>
      <c r="E52" t="str">
        <f>VLOOKUP(tblBDD[[#This Row],[N abrégé 1]],tblIntituléCompte[#Data],3,FALSE)</f>
        <v>64 - Frais de personnel</v>
      </c>
      <c r="F52" t="str">
        <f>VLOOKUP(tblBDD[[#This Row],[N abrégé 2]],Tableau5[#Data],3,FALSE)</f>
        <v>644 - Frais de personnel</v>
      </c>
      <c r="H52" t="str">
        <f>VLOOKUP(tblBDD[[#This Row],[N Compte 1]],tblDescriptionCompte[#Data],2,FALSE)</f>
        <v>Cotisation formation professionnelle</v>
      </c>
      <c r="I52" t="b">
        <f>COUNT(tblBDD[[#This Row],[B2011]:[B2014]])=7</f>
        <v>0</v>
      </c>
      <c r="J52" s="2">
        <v>280</v>
      </c>
      <c r="K52" s="3">
        <v>313.07</v>
      </c>
      <c r="L52" s="2">
        <v>280</v>
      </c>
      <c r="M52" s="2">
        <v>319.95999999999998</v>
      </c>
      <c r="N52" s="2">
        <v>280</v>
      </c>
      <c r="O52" s="2"/>
      <c r="P52" s="2">
        <v>290</v>
      </c>
      <c r="Q52" s="2">
        <f>928.94</f>
        <v>928.94</v>
      </c>
      <c r="R52" s="2">
        <v>250</v>
      </c>
      <c r="S52" s="2">
        <v>58.7</v>
      </c>
      <c r="T52" s="2">
        <v>250</v>
      </c>
      <c r="U52" s="2"/>
      <c r="V52" s="2">
        <v>250</v>
      </c>
      <c r="W52" s="2"/>
      <c r="X52" s="2"/>
    </row>
    <row r="53" spans="1:24" x14ac:dyDescent="0.25">
      <c r="A53" t="s">
        <v>22</v>
      </c>
      <c r="B53">
        <v>67890000</v>
      </c>
      <c r="C53">
        <f>VALUE(LEFT(tblBDD[[#This Row],[N Compte 1]],2))</f>
        <v>67</v>
      </c>
      <c r="D53">
        <f>VALUE(LEFT(tblBDD[[#This Row],[N Compte 1]],3))</f>
        <v>678</v>
      </c>
      <c r="E53" t="str">
        <f>VLOOKUP(tblBDD[[#This Row],[N abrégé 1]],tblIntituléCompte[#Data],3,FALSE)</f>
        <v>67 - Charges exceptionnelles</v>
      </c>
      <c r="F53" t="str">
        <f>VLOOKUP(tblBDD[[#This Row],[N abrégé 2]],Tableau5[#Data],3,FALSE)</f>
        <v>678 - Charges exceptionnelles</v>
      </c>
      <c r="H53" t="str">
        <f>VLOOKUP(tblBDD[[#This Row],[N Compte 1]],tblDescriptionCompte[#Data],2,FALSE)</f>
        <v>Ecarts sur appels et répartition</v>
      </c>
      <c r="I53" t="b">
        <f>COUNT(tblBDD[[#This Row],[B2011]:[B2014]])=7</f>
        <v>0</v>
      </c>
      <c r="J53" s="2"/>
      <c r="K53" s="3">
        <v>3.18</v>
      </c>
      <c r="L53" s="2"/>
      <c r="M53" s="2">
        <v>-0.72</v>
      </c>
      <c r="N53" s="2"/>
      <c r="O53" s="2">
        <v>-0.22</v>
      </c>
      <c r="P53" s="2"/>
      <c r="Q53" s="2">
        <v>-0.78</v>
      </c>
      <c r="R53" s="2"/>
      <c r="S53" s="2">
        <v>-0.01</v>
      </c>
      <c r="T53" s="2"/>
      <c r="U53" s="2"/>
      <c r="V53" s="2"/>
      <c r="W53" s="2"/>
      <c r="X53" s="2"/>
    </row>
    <row r="54" spans="1:24" x14ac:dyDescent="0.25">
      <c r="A54" t="s">
        <v>22</v>
      </c>
      <c r="B54">
        <v>71331000</v>
      </c>
      <c r="C54">
        <f>VALUE(LEFT(tblBDD[[#This Row],[N Compte 1]],2))</f>
        <v>71</v>
      </c>
      <c r="D54">
        <f>VALUE(LEFT(tblBDD[[#This Row],[N Compte 1]],3))</f>
        <v>713</v>
      </c>
      <c r="E54" t="str">
        <f>VLOOKUP(tblBDD[[#This Row],[N abrégé 1]],tblIntituléCompte[#Data],3,FALSE)</f>
        <v>71 - Autres produits</v>
      </c>
      <c r="F54" t="str">
        <f>VLOOKUP(tblBDD[[#This Row],[N abrégé 2]],Tableau5[#Data],3,FALSE)</f>
        <v>713 - Indemnités assurance</v>
      </c>
      <c r="H54" t="str">
        <f>VLOOKUP(tblBDD[[#This Row],[N Compte 1]],tblDescriptionCompte[#Data],2,FALSE)</f>
        <v>Indemnités d'assurances - opérations courantes</v>
      </c>
      <c r="I54" t="b">
        <f>COUNT(tblBDD[[#This Row],[B2011]:[B2014]])=7</f>
        <v>0</v>
      </c>
      <c r="J54" s="2"/>
      <c r="K54" s="3">
        <v>-3556.38</v>
      </c>
      <c r="L54" s="2"/>
      <c r="M54" s="2">
        <v>-1821.1</v>
      </c>
      <c r="N54" s="2"/>
      <c r="O54" s="2">
        <v>-1803.3</v>
      </c>
      <c r="P54" s="2"/>
      <c r="Q54" s="2">
        <v>-4611.2</v>
      </c>
      <c r="R54" s="2"/>
      <c r="S54" s="2"/>
      <c r="T54" s="2"/>
      <c r="U54" s="2"/>
      <c r="V54" s="2"/>
      <c r="W54" s="2"/>
      <c r="X54" s="2"/>
    </row>
    <row r="55" spans="1:24" x14ac:dyDescent="0.25">
      <c r="A55" t="s">
        <v>22</v>
      </c>
      <c r="B55">
        <v>71331000</v>
      </c>
      <c r="C55">
        <f>VALUE(LEFT(tblBDD[[#This Row],[N Compte 1]],2))</f>
        <v>71</v>
      </c>
      <c r="D55">
        <f>VALUE(LEFT(tblBDD[[#This Row],[N Compte 1]],3))</f>
        <v>713</v>
      </c>
      <c r="E55" t="str">
        <f>VLOOKUP(tblBDD[[#This Row],[N abrégé 1]],tblIntituléCompte[#Data],3,FALSE)</f>
        <v>71 - Autres produits</v>
      </c>
      <c r="F55" t="str">
        <f>VLOOKUP(tblBDD[[#This Row],[N abrégé 2]],Tableau5[#Data],3,FALSE)</f>
        <v>713 - Indemnités assurance</v>
      </c>
      <c r="H55" t="str">
        <f>VLOOKUP(tblBDD[[#This Row],[N Compte 1]],tblDescriptionCompte[#Data],2,FALSE)</f>
        <v>Indemnités d'assurances - opérations courantes</v>
      </c>
      <c r="I55" t="b">
        <f>COUNT(tblBDD[[#This Row],[B2011]:[B2014]])=7</f>
        <v>0</v>
      </c>
      <c r="J55" s="2"/>
      <c r="K55" s="3"/>
      <c r="L55" s="2"/>
      <c r="M55" s="2"/>
      <c r="N55" s="2"/>
      <c r="O55" s="2">
        <v>-1144.8399999999999</v>
      </c>
      <c r="P55" s="2"/>
      <c r="Q55" s="2"/>
      <c r="R55" s="2"/>
      <c r="S55" s="2"/>
      <c r="T55" s="2"/>
      <c r="U55" s="2"/>
      <c r="V55" s="2"/>
      <c r="W55" s="2"/>
      <c r="X55" s="2"/>
    </row>
    <row r="56" spans="1:24" x14ac:dyDescent="0.25">
      <c r="A56" t="s">
        <v>22</v>
      </c>
      <c r="B56">
        <v>71410000</v>
      </c>
      <c r="C56">
        <f>VALUE(LEFT(tblBDD[[#This Row],[N Compte 1]],2))</f>
        <v>71</v>
      </c>
      <c r="D56">
        <f>VALUE(LEFT(tblBDD[[#This Row],[N Compte 1]],3))</f>
        <v>714</v>
      </c>
      <c r="E56" t="str">
        <f>VLOOKUP(tblBDD[[#This Row],[N abrégé 1]],tblIntituléCompte[#Data],3,FALSE)</f>
        <v>71 - Autres produits</v>
      </c>
      <c r="F56" t="str">
        <f>VLOOKUP(tblBDD[[#This Row],[N abrégé 2]],Tableau5[#Data],3,FALSE)</f>
        <v>714 - Produits divers</v>
      </c>
      <c r="H56" t="str">
        <f>VLOOKUP(tblBDD[[#This Row],[N Compte 1]],tblDescriptionCompte[#Data],2,FALSE)</f>
        <v>Produits divers - Opératiosn courantes</v>
      </c>
      <c r="I56" t="b">
        <f>COUNT(tblBDD[[#This Row],[B2011]:[B2014]])=7</f>
        <v>0</v>
      </c>
      <c r="J56" s="2"/>
      <c r="K56" s="3"/>
      <c r="L56" s="2"/>
      <c r="M56" s="2"/>
      <c r="N56" s="2"/>
      <c r="O56" s="2"/>
      <c r="P56" s="2"/>
      <c r="Q56" s="2">
        <v>-1230</v>
      </c>
      <c r="R56" s="2"/>
      <c r="S56" s="2"/>
      <c r="T56" s="2"/>
      <c r="U56" s="2"/>
      <c r="V56" s="2"/>
      <c r="W56" s="2"/>
      <c r="X56" s="2"/>
    </row>
    <row r="57" spans="1:24" x14ac:dyDescent="0.25">
      <c r="A57" t="s">
        <v>24</v>
      </c>
      <c r="B57">
        <v>60210000</v>
      </c>
      <c r="C57">
        <f>VALUE(LEFT(tblBDD[[#This Row],[N Compte 1]],2))</f>
        <v>60</v>
      </c>
      <c r="D57">
        <f>VALUE(LEFT(tblBDD[[#This Row],[N Compte 1]],3))</f>
        <v>602</v>
      </c>
      <c r="E57" t="str">
        <f>VLOOKUP(tblBDD[[#This Row],[N abrégé 1]],tblIntituléCompte[#Data],3,FALSE)</f>
        <v>60 - Achats fournitures</v>
      </c>
      <c r="F57" t="str">
        <f>VLOOKUP(tblBDD[[#This Row],[N abrégé 2]],Tableau5[#Data],3,FALSE)</f>
        <v>602 - Electricité</v>
      </c>
      <c r="G57" t="s">
        <v>25</v>
      </c>
      <c r="H57" t="str">
        <f>VLOOKUP(tblBDD[[#This Row],[N Compte 1]],tblDescriptionCompte[#Data],2,FALSE)</f>
        <v>Electricité</v>
      </c>
      <c r="I57" t="b">
        <f>COUNT(tblBDD[[#This Row],[B2011]:[B2014]])=7</f>
        <v>1</v>
      </c>
      <c r="J57" s="2">
        <v>850</v>
      </c>
      <c r="K57" s="3">
        <v>943.79</v>
      </c>
      <c r="L57" s="2">
        <v>1000</v>
      </c>
      <c r="M57" s="2">
        <v>776.32</v>
      </c>
      <c r="N57" s="2">
        <v>1000</v>
      </c>
      <c r="O57" s="2">
        <v>836.07</v>
      </c>
      <c r="P57" s="2">
        <v>1030</v>
      </c>
      <c r="Q57" s="2">
        <v>926.16</v>
      </c>
      <c r="R57" s="2">
        <v>1300</v>
      </c>
      <c r="S57" s="2">
        <v>949.21</v>
      </c>
      <c r="T57" s="2">
        <v>1300</v>
      </c>
      <c r="U57" s="2">
        <v>1699.68</v>
      </c>
      <c r="V57" s="2">
        <v>1300</v>
      </c>
      <c r="W57" s="2">
        <v>1750</v>
      </c>
      <c r="X57" s="2">
        <v>1750</v>
      </c>
    </row>
    <row r="58" spans="1:24" x14ac:dyDescent="0.25">
      <c r="A58" t="s">
        <v>24</v>
      </c>
      <c r="B58">
        <v>60500000</v>
      </c>
      <c r="C58">
        <f>VALUE(LEFT(tblBDD[[#This Row],[N Compte 1]],2))</f>
        <v>60</v>
      </c>
      <c r="D58">
        <f>VALUE(LEFT(tblBDD[[#This Row],[N Compte 1]],3))</f>
        <v>605</v>
      </c>
      <c r="E58" t="str">
        <f>VLOOKUP(tblBDD[[#This Row],[N abrégé 1]],tblIntituléCompte[#Data],3,FALSE)</f>
        <v>60 - Achats fournitures</v>
      </c>
      <c r="F58" t="str">
        <f>VLOOKUP(tblBDD[[#This Row],[N abrégé 2]],Tableau5[#Data],3,FALSE)</f>
        <v>605 - Achat de matériel, équipements</v>
      </c>
      <c r="G58" t="s">
        <v>25</v>
      </c>
      <c r="H58" t="str">
        <f>VLOOKUP(tblBDD[[#This Row],[N Compte 1]],tblDescriptionCompte[#Data],2,FALSE)</f>
        <v>Achat de matériel, équipements</v>
      </c>
      <c r="I58" t="b">
        <f>COUNT(tblBDD[[#This Row],[B2011]:[B2014]])=7</f>
        <v>1</v>
      </c>
      <c r="J58" s="2">
        <v>200</v>
      </c>
      <c r="K58" s="3">
        <v>-308.58</v>
      </c>
      <c r="L58" s="2">
        <v>200</v>
      </c>
      <c r="M58" s="2">
        <v>-102.88</v>
      </c>
      <c r="N58" s="2">
        <v>200</v>
      </c>
      <c r="O58" s="2">
        <v>110.02</v>
      </c>
      <c r="P58" s="2">
        <v>200</v>
      </c>
      <c r="Q58" s="2">
        <v>-205.72</v>
      </c>
      <c r="R58" s="2">
        <v>200</v>
      </c>
      <c r="S58" s="2">
        <v>-51.43</v>
      </c>
      <c r="T58" s="2">
        <v>200</v>
      </c>
      <c r="U58" s="2">
        <f>308-184.8-33.6-61.6-67.2-33.6-33.6</f>
        <v>-106.4</v>
      </c>
      <c r="V58" s="2">
        <v>200</v>
      </c>
      <c r="W58" s="2"/>
      <c r="X58" s="2"/>
    </row>
    <row r="59" spans="1:24" x14ac:dyDescent="0.25">
      <c r="A59" t="s">
        <v>24</v>
      </c>
      <c r="B59">
        <v>61402000</v>
      </c>
      <c r="C59">
        <f>VALUE(LEFT(tblBDD[[#This Row],[N Compte 1]],2))</f>
        <v>61</v>
      </c>
      <c r="D59">
        <f>VALUE(LEFT(tblBDD[[#This Row],[N Compte 1]],3))</f>
        <v>614</v>
      </c>
      <c r="E59" t="str">
        <f>VLOOKUP(tblBDD[[#This Row],[N abrégé 1]],tblIntituléCompte[#Data],3,FALSE)</f>
        <v>61 - Services extérieurs</v>
      </c>
      <c r="F59" t="str">
        <f>VLOOKUP(tblBDD[[#This Row],[N abrégé 2]],Tableau5[#Data],3,FALSE)</f>
        <v>614 - Contrats maintenance</v>
      </c>
      <c r="G59" t="s">
        <v>25</v>
      </c>
      <c r="H59" t="str">
        <f>VLOOKUP(tblBDD[[#This Row],[N Compte 1]],tblDescriptionCompte[#Data],2,FALSE)</f>
        <v>Contrat maintenance portails, portes</v>
      </c>
      <c r="I59" t="b">
        <f>COUNT(tblBDD[[#This Row],[B2011]:[B2014]])=7</f>
        <v>1</v>
      </c>
      <c r="J59" s="2">
        <v>1160</v>
      </c>
      <c r="K59" s="3">
        <v>477.22</v>
      </c>
      <c r="L59" s="2">
        <v>500</v>
      </c>
      <c r="M59" s="2">
        <v>256.8</v>
      </c>
      <c r="N59" s="2">
        <v>500</v>
      </c>
      <c r="O59" s="2">
        <v>256.8</v>
      </c>
      <c r="P59" s="2">
        <v>510</v>
      </c>
      <c r="Q59" s="2">
        <v>256.8</v>
      </c>
      <c r="R59" s="2">
        <v>600</v>
      </c>
      <c r="S59" s="2">
        <v>264</v>
      </c>
      <c r="T59" s="2">
        <v>600</v>
      </c>
      <c r="U59" s="2">
        <v>528</v>
      </c>
      <c r="V59" s="2">
        <v>600</v>
      </c>
      <c r="W59" s="2"/>
      <c r="X59" s="2">
        <v>544</v>
      </c>
    </row>
    <row r="60" spans="1:24" x14ac:dyDescent="0.25">
      <c r="A60" t="s">
        <v>24</v>
      </c>
      <c r="B60">
        <v>61405000</v>
      </c>
      <c r="C60">
        <f>VALUE(LEFT(tblBDD[[#This Row],[N Compte 1]],2))</f>
        <v>61</v>
      </c>
      <c r="D60">
        <f>VALUE(LEFT(tblBDD[[#This Row],[N Compte 1]],3))</f>
        <v>614</v>
      </c>
      <c r="E60" t="str">
        <f>VLOOKUP(tblBDD[[#This Row],[N abrégé 1]],tblIntituléCompte[#Data],3,FALSE)</f>
        <v>61 - Services extérieurs</v>
      </c>
      <c r="F60" t="str">
        <f>VLOOKUP(tblBDD[[#This Row],[N abrégé 2]],Tableau5[#Data],3,FALSE)</f>
        <v>614 - Contrats maintenance</v>
      </c>
      <c r="G60" t="s">
        <v>25</v>
      </c>
      <c r="H60" t="str">
        <f>VLOOKUP(tblBDD[[#This Row],[N Compte 1]],tblDescriptionCompte[#Data],2,FALSE)</f>
        <v>Contrat maintenance extincteurs</v>
      </c>
      <c r="I60" t="b">
        <f>COUNT(tblBDD[[#This Row],[B2011]:[B2014]])=7</f>
        <v>0</v>
      </c>
      <c r="J60" s="2">
        <v>440</v>
      </c>
      <c r="K60" s="3">
        <v>1158.6099999999999</v>
      </c>
      <c r="L60" s="2">
        <v>200</v>
      </c>
      <c r="M60" s="2">
        <v>436.56</v>
      </c>
      <c r="N60" s="2">
        <v>1200</v>
      </c>
      <c r="O60" s="2"/>
      <c r="P60" s="2">
        <v>1240</v>
      </c>
      <c r="Q60" s="2"/>
      <c r="R60" s="2">
        <v>500</v>
      </c>
      <c r="S60" s="2">
        <v>298.99</v>
      </c>
      <c r="T60" s="2">
        <v>500</v>
      </c>
      <c r="U60" s="2">
        <v>784.21</v>
      </c>
      <c r="V60" s="2">
        <v>500</v>
      </c>
      <c r="W60" s="2"/>
      <c r="X60" s="2">
        <v>799</v>
      </c>
    </row>
    <row r="61" spans="1:24" x14ac:dyDescent="0.25">
      <c r="A61" t="s">
        <v>24</v>
      </c>
      <c r="B61">
        <v>61520300</v>
      </c>
      <c r="C61">
        <f>VALUE(LEFT(tblBDD[[#This Row],[N Compte 1]],2))</f>
        <v>61</v>
      </c>
      <c r="D61">
        <f>VALUE(LEFT(tblBDD[[#This Row],[N Compte 1]],3))</f>
        <v>615</v>
      </c>
      <c r="E61" t="str">
        <f>VLOOKUP(tblBDD[[#This Row],[N abrégé 1]],tblIntituléCompte[#Data],3,FALSE)</f>
        <v>61 - Services extérieurs</v>
      </c>
      <c r="F61" t="str">
        <f>VLOOKUP(tblBDD[[#This Row],[N abrégé 2]],Tableau5[#Data],3,FALSE)</f>
        <v>615 - Entretien, réparation</v>
      </c>
      <c r="G61" t="s">
        <v>25</v>
      </c>
      <c r="H61" t="str">
        <f>VLOOKUP(tblBDD[[#This Row],[N Compte 1]],tblDescriptionCompte[#Data],2,FALSE)</f>
        <v>Entretien et petites réparations électricité</v>
      </c>
      <c r="I61" t="b">
        <f>COUNT(tblBDD[[#This Row],[B2011]:[B2014]])=7</f>
        <v>0</v>
      </c>
      <c r="J61" s="2"/>
      <c r="K61" s="3">
        <v>152.97999999999999</v>
      </c>
      <c r="L61" s="2"/>
      <c r="M61" s="2">
        <v>211.7</v>
      </c>
      <c r="N61" s="2"/>
      <c r="O61" s="2">
        <v>396.22</v>
      </c>
      <c r="P61" s="2"/>
      <c r="Q61" s="2"/>
      <c r="R61" s="2"/>
      <c r="S61" s="2">
        <v>239.8</v>
      </c>
      <c r="T61" s="2"/>
      <c r="U61" s="2"/>
      <c r="V61" s="2"/>
      <c r="W61" s="2"/>
      <c r="X61" s="2"/>
    </row>
    <row r="62" spans="1:24" x14ac:dyDescent="0.25">
      <c r="A62" t="s">
        <v>24</v>
      </c>
      <c r="B62">
        <v>61520800</v>
      </c>
      <c r="C62">
        <f>VALUE(LEFT(tblBDD[[#This Row],[N Compte 1]],2))</f>
        <v>61</v>
      </c>
      <c r="D62">
        <f>VALUE(LEFT(tblBDD[[#This Row],[N Compte 1]],3))</f>
        <v>615</v>
      </c>
      <c r="E62" t="str">
        <f>VLOOKUP(tblBDD[[#This Row],[N abrégé 1]],tblIntituléCompte[#Data],3,FALSE)</f>
        <v>61 - Services extérieurs</v>
      </c>
      <c r="F62" t="str">
        <f>VLOOKUP(tblBDD[[#This Row],[N abrégé 2]],Tableau5[#Data],3,FALSE)</f>
        <v>615 - Entretien, réparation</v>
      </c>
      <c r="G62" t="s">
        <v>25</v>
      </c>
      <c r="H62" t="str">
        <f>VLOOKUP(tblBDD[[#This Row],[N Compte 1]],tblDescriptionCompte[#Data],2,FALSE)</f>
        <v>Entretien et petites réparations portes et serrures</v>
      </c>
      <c r="I62" t="b">
        <f>COUNT(tblBDD[[#This Row],[B2011]:[B2014]])=7</f>
        <v>0</v>
      </c>
      <c r="J62" s="2"/>
      <c r="K62" s="3">
        <v>565.48</v>
      </c>
      <c r="L62" s="2"/>
      <c r="M62" s="2"/>
      <c r="N62" s="2"/>
      <c r="O62" s="2">
        <v>7276</v>
      </c>
      <c r="P62" s="2"/>
      <c r="Q62" s="2"/>
      <c r="R62" s="2"/>
      <c r="S62" s="2">
        <v>99</v>
      </c>
      <c r="T62" s="2"/>
      <c r="U62" s="2"/>
      <c r="V62" s="2"/>
      <c r="W62" s="2"/>
      <c r="X62" s="2"/>
    </row>
    <row r="63" spans="1:24" x14ac:dyDescent="0.25">
      <c r="A63" t="s">
        <v>24</v>
      </c>
      <c r="B63">
        <v>61550100</v>
      </c>
      <c r="C63">
        <f>VALUE(LEFT(tblBDD[[#This Row],[N Compte 1]],2))</f>
        <v>61</v>
      </c>
      <c r="D63">
        <f>VALUE(LEFT(tblBDD[[#This Row],[N Compte 1]],3))</f>
        <v>615</v>
      </c>
      <c r="E63" t="str">
        <f>VLOOKUP(tblBDD[[#This Row],[N abrégé 1]],tblIntituléCompte[#Data],3,FALSE)</f>
        <v>61 - Services extérieurs</v>
      </c>
      <c r="F63" t="str">
        <f>VLOOKUP(tblBDD[[#This Row],[N abrégé 2]],Tableau5[#Data],3,FALSE)</f>
        <v>615 - Entretien, réparation</v>
      </c>
      <c r="G63" t="s">
        <v>25</v>
      </c>
      <c r="H63" t="str">
        <f>VLOOKUP(tblBDD[[#This Row],[N Compte 1]],tblDescriptionCompte[#Data],2,FALSE)</f>
        <v>Entretien et petites réparations matériel</v>
      </c>
      <c r="I63" t="b">
        <f>COUNT(tblBDD[[#This Row],[B2011]:[B2014]])=7</f>
        <v>0</v>
      </c>
      <c r="J63" s="2">
        <v>200</v>
      </c>
      <c r="K63" s="3"/>
      <c r="L63" s="2">
        <v>500</v>
      </c>
      <c r="M63" s="2"/>
      <c r="N63" s="2">
        <v>500</v>
      </c>
      <c r="O63" s="2"/>
      <c r="P63" s="2">
        <v>510</v>
      </c>
      <c r="Q63" s="2"/>
      <c r="R63" s="2">
        <v>550</v>
      </c>
      <c r="S63" s="2"/>
      <c r="T63" s="2">
        <v>550</v>
      </c>
      <c r="U63" s="2"/>
      <c r="V63" s="2">
        <v>550</v>
      </c>
      <c r="W63" s="2"/>
      <c r="X63" s="2">
        <v>550</v>
      </c>
    </row>
    <row r="64" spans="1:24" x14ac:dyDescent="0.25">
      <c r="A64" t="s">
        <v>24</v>
      </c>
      <c r="B64">
        <v>71310000</v>
      </c>
      <c r="C64">
        <f>VALUE(LEFT(tblBDD[[#This Row],[N Compte 1]],2))</f>
        <v>71</v>
      </c>
      <c r="D64">
        <f>VALUE(LEFT(tblBDD[[#This Row],[N Compte 1]],3))</f>
        <v>713</v>
      </c>
      <c r="E64" t="str">
        <f>VLOOKUP(tblBDD[[#This Row],[N abrégé 1]],tblIntituléCompte[#Data],3,FALSE)</f>
        <v>71 - Autres produits</v>
      </c>
      <c r="F64" t="str">
        <f>VLOOKUP(tblBDD[[#This Row],[N abrégé 2]],Tableau5[#Data],3,FALSE)</f>
        <v>713 - Indemnités assurance</v>
      </c>
      <c r="G64" t="s">
        <v>25</v>
      </c>
      <c r="H64" t="str">
        <f>VLOOKUP(tblBDD[[#This Row],[N Compte 1]],tblDescriptionCompte[#Data],2,FALSE)</f>
        <v>Indemnités d'assurances - opérations courantes</v>
      </c>
      <c r="I64" t="b">
        <f>COUNT(tblBDD[[#This Row],[B2011]:[B2014]])=7</f>
        <v>0</v>
      </c>
      <c r="J64" s="2"/>
      <c r="K64" s="3"/>
      <c r="L64" s="2"/>
      <c r="M64" s="2"/>
      <c r="N64" s="2"/>
      <c r="O64" s="2">
        <v>-7276</v>
      </c>
      <c r="P64" s="2"/>
      <c r="Q64" s="2"/>
      <c r="R64" s="2"/>
      <c r="S64" s="2"/>
      <c r="T64" s="2"/>
      <c r="U64" s="2"/>
      <c r="V64" s="2"/>
      <c r="W64" s="2"/>
      <c r="X64" s="2"/>
    </row>
    <row r="65" spans="1:24" x14ac:dyDescent="0.25">
      <c r="A65" t="s">
        <v>26</v>
      </c>
      <c r="B65">
        <v>60210000</v>
      </c>
      <c r="C65">
        <f>VALUE(LEFT(tblBDD[[#This Row],[N Compte 1]],2))</f>
        <v>60</v>
      </c>
      <c r="D65">
        <f>VALUE(LEFT(tblBDD[[#This Row],[N Compte 1]],3))</f>
        <v>602</v>
      </c>
      <c r="E65" t="str">
        <f>VLOOKUP(tblBDD[[#This Row],[N abrégé 1]],tblIntituléCompte[#Data],3,FALSE)</f>
        <v>60 - Achats fournitures</v>
      </c>
      <c r="F65" t="str">
        <f>VLOOKUP(tblBDD[[#This Row],[N abrégé 2]],Tableau5[#Data],3,FALSE)</f>
        <v>602 - Electricité</v>
      </c>
      <c r="H65" t="str">
        <f>VLOOKUP(tblBDD[[#This Row],[N Compte 1]],tblDescriptionCompte[#Data],2,FALSE)</f>
        <v>Electricité</v>
      </c>
      <c r="I65" t="b">
        <f>COUNT(tblBDD[[#This Row],[B2011]:[B2014]])=7</f>
        <v>0</v>
      </c>
      <c r="J65" s="2"/>
      <c r="K65" s="3"/>
      <c r="L65" s="2"/>
      <c r="M65" s="2"/>
      <c r="N65" s="2"/>
      <c r="O65" s="2"/>
      <c r="P65" s="2"/>
      <c r="Q65" s="2"/>
      <c r="R65" s="2"/>
      <c r="S65" s="2"/>
      <c r="T65" s="2"/>
      <c r="U65" s="2">
        <f>1577.65+8.51+18.97</f>
        <v>1605.13</v>
      </c>
      <c r="V65" s="2"/>
      <c r="W65" s="2"/>
      <c r="X65" s="2"/>
    </row>
    <row r="66" spans="1:24" x14ac:dyDescent="0.25">
      <c r="A66" t="s">
        <v>26</v>
      </c>
      <c r="B66">
        <v>61403000</v>
      </c>
      <c r="C66">
        <f>VALUE(LEFT(tblBDD[[#This Row],[N Compte 1]],2))</f>
        <v>61</v>
      </c>
      <c r="D66">
        <f>VALUE(LEFT(tblBDD[[#This Row],[N Compte 1]],3))</f>
        <v>614</v>
      </c>
      <c r="E66" t="str">
        <f>VLOOKUP(tblBDD[[#This Row],[N abrégé 1]],tblIntituléCompte[#Data],3,FALSE)</f>
        <v>61 - Services extérieurs</v>
      </c>
      <c r="F66" t="str">
        <f>VLOOKUP(tblBDD[[#This Row],[N abrégé 2]],Tableau5[#Data],3,FALSE)</f>
        <v>614 - Contrats maintenance</v>
      </c>
      <c r="H66" t="str">
        <f>VLOOKUP(tblBDD[[#This Row],[N Compte 1]],tblDescriptionCompte[#Data],2,FALSE)</f>
        <v>Contrat maintenance VMC</v>
      </c>
      <c r="I66" t="b">
        <f>COUNT(tblBDD[[#This Row],[B2011]:[B2014]])=7</f>
        <v>1</v>
      </c>
      <c r="J66" s="2">
        <v>2240</v>
      </c>
      <c r="K66" s="3">
        <v>2209.7600000000002</v>
      </c>
      <c r="L66" s="2">
        <v>2240</v>
      </c>
      <c r="M66" s="2">
        <v>2343</v>
      </c>
      <c r="N66" s="2">
        <v>2240</v>
      </c>
      <c r="O66" s="2">
        <v>2389.1799999999998</v>
      </c>
      <c r="P66" s="2">
        <v>2300</v>
      </c>
      <c r="Q66" s="2">
        <v>2483.06</v>
      </c>
      <c r="R66" s="2">
        <v>2510</v>
      </c>
      <c r="S66" s="2">
        <v>2506.5</v>
      </c>
      <c r="T66" s="2">
        <v>2510</v>
      </c>
      <c r="U66" s="2">
        <v>2531.1</v>
      </c>
      <c r="V66" s="2">
        <v>2510</v>
      </c>
      <c r="W66" s="2"/>
      <c r="X66" s="2">
        <v>2607</v>
      </c>
    </row>
    <row r="67" spans="1:24" x14ac:dyDescent="0.25">
      <c r="A67" t="s">
        <v>26</v>
      </c>
      <c r="B67">
        <v>61404000</v>
      </c>
      <c r="C67">
        <f>VALUE(LEFT(tblBDD[[#This Row],[N Compte 1]],2))</f>
        <v>61</v>
      </c>
      <c r="D67">
        <f>VALUE(LEFT(tblBDD[[#This Row],[N Compte 1]],3))</f>
        <v>614</v>
      </c>
      <c r="E67" t="str">
        <f>VLOOKUP(tblBDD[[#This Row],[N abrégé 1]],tblIntituléCompte[#Data],3,FALSE)</f>
        <v>61 - Services extérieurs</v>
      </c>
      <c r="F67" t="str">
        <f>VLOOKUP(tblBDD[[#This Row],[N abrégé 2]],Tableau5[#Data],3,FALSE)</f>
        <v>614 - Contrats maintenance</v>
      </c>
      <c r="H67" t="str">
        <f>VLOOKUP(tblBDD[[#This Row],[N Compte 1]],tblDescriptionCompte[#Data],2,FALSE)</f>
        <v>Contrat maintenance suppresseur, extraction</v>
      </c>
      <c r="I67" t="b">
        <f>COUNT(tblBDD[[#This Row],[B2011]:[B2014]])=7</f>
        <v>1</v>
      </c>
      <c r="J67" s="2">
        <v>310</v>
      </c>
      <c r="K67" s="3">
        <v>298.39999999999998</v>
      </c>
      <c r="L67" s="2">
        <v>310</v>
      </c>
      <c r="M67" s="2">
        <v>316.38</v>
      </c>
      <c r="N67" s="2">
        <v>310</v>
      </c>
      <c r="O67" s="2">
        <v>322.60000000000002</v>
      </c>
      <c r="P67" s="2">
        <v>320</v>
      </c>
      <c r="Q67" s="2">
        <v>335.26</v>
      </c>
      <c r="R67" s="2">
        <v>340</v>
      </c>
      <c r="S67" s="2">
        <v>338.44</v>
      </c>
      <c r="T67" s="2">
        <v>340</v>
      </c>
      <c r="U67" s="2">
        <v>341.78</v>
      </c>
      <c r="V67" s="2">
        <v>350</v>
      </c>
      <c r="W67" s="2"/>
      <c r="X67" s="2">
        <v>352</v>
      </c>
    </row>
    <row r="68" spans="1:24" x14ac:dyDescent="0.25">
      <c r="A68" t="s">
        <v>26</v>
      </c>
      <c r="B68">
        <v>61416000</v>
      </c>
      <c r="C68">
        <f>VALUE(LEFT(tblBDD[[#This Row],[N Compte 1]],2))</f>
        <v>61</v>
      </c>
      <c r="D68">
        <f>VALUE(LEFT(tblBDD[[#This Row],[N Compte 1]],3))</f>
        <v>614</v>
      </c>
      <c r="E68" t="str">
        <f>VLOOKUP(tblBDD[[#This Row],[N abrégé 1]],tblIntituléCompte[#Data],3,FALSE)</f>
        <v>61 - Services extérieurs</v>
      </c>
      <c r="F68" t="str">
        <f>VLOOKUP(tblBDD[[#This Row],[N abrégé 2]],Tableau5[#Data],3,FALSE)</f>
        <v>614 - Contrats maintenance</v>
      </c>
      <c r="H68" t="str">
        <f>VLOOKUP(tblBDD[[#This Row],[N Compte 1]],tblDescriptionCompte[#Data],2,FALSE)</f>
        <v>Contrat maintenance entreprise désinfection VO</v>
      </c>
      <c r="I68" t="b">
        <f>COUNT(tblBDD[[#This Row],[B2011]:[B2014]])=7</f>
        <v>1</v>
      </c>
      <c r="J68" s="2">
        <v>1860</v>
      </c>
      <c r="K68" s="3">
        <v>1907.49</v>
      </c>
      <c r="L68" s="2">
        <v>1950</v>
      </c>
      <c r="M68" s="2">
        <v>1949.28</v>
      </c>
      <c r="N68" s="2">
        <v>1950</v>
      </c>
      <c r="O68" s="2">
        <v>1957.96</v>
      </c>
      <c r="P68" s="2">
        <v>2000</v>
      </c>
      <c r="Q68" s="2">
        <v>1331.71</v>
      </c>
      <c r="R68" s="2">
        <v>310</v>
      </c>
      <c r="S68" s="2">
        <v>-1449.44</v>
      </c>
      <c r="T68" s="2"/>
      <c r="U68" s="2"/>
      <c r="V68" s="2"/>
      <c r="W68" s="2"/>
      <c r="X68" s="2"/>
    </row>
    <row r="69" spans="1:24" x14ac:dyDescent="0.25">
      <c r="A69" t="s">
        <v>26</v>
      </c>
      <c r="B69">
        <v>61521100</v>
      </c>
      <c r="C69">
        <f>VALUE(LEFT(tblBDD[[#This Row],[N Compte 1]],2))</f>
        <v>61</v>
      </c>
      <c r="D69">
        <f>VALUE(LEFT(tblBDD[[#This Row],[N Compte 1]],3))</f>
        <v>615</v>
      </c>
      <c r="E69" t="str">
        <f>VLOOKUP(tblBDD[[#This Row],[N abrégé 1]],tblIntituléCompte[#Data],3,FALSE)</f>
        <v>61 - Services extérieurs</v>
      </c>
      <c r="F69" t="str">
        <f>VLOOKUP(tblBDD[[#This Row],[N abrégé 2]],Tableau5[#Data],3,FALSE)</f>
        <v>615 - Entretien, réparation</v>
      </c>
      <c r="H69" t="str">
        <f>VLOOKUP(tblBDD[[#This Row],[N Compte 1]],tblDescriptionCompte[#Data],2,FALSE)</f>
        <v>Entretien et petites réparations ventilations</v>
      </c>
      <c r="I69" t="b">
        <f>COUNT(tblBDD[[#This Row],[B2011]:[B2014]])=7</f>
        <v>0</v>
      </c>
      <c r="J69" s="2"/>
      <c r="K69" s="3">
        <v>191.64</v>
      </c>
      <c r="L69" s="2"/>
      <c r="M69" s="2">
        <v>141.62</v>
      </c>
      <c r="N69" s="2"/>
      <c r="O69" s="2">
        <v>31.35</v>
      </c>
      <c r="P69" s="2"/>
      <c r="Q69" s="2">
        <v>98.78</v>
      </c>
      <c r="R69" s="2"/>
      <c r="S69" s="2">
        <v>69.14</v>
      </c>
      <c r="T69" s="2"/>
      <c r="U69" s="2"/>
      <c r="V69" s="2"/>
      <c r="W69" s="2"/>
      <c r="X69" s="2"/>
    </row>
    <row r="70" spans="1:24" x14ac:dyDescent="0.25">
      <c r="A70" t="s">
        <v>26</v>
      </c>
      <c r="B70">
        <v>61550100</v>
      </c>
      <c r="C70">
        <f>VALUE(LEFT(tblBDD[[#This Row],[N Compte 1]],2))</f>
        <v>61</v>
      </c>
      <c r="D70">
        <f>VALUE(LEFT(tblBDD[[#This Row],[N Compte 1]],3))</f>
        <v>615</v>
      </c>
      <c r="E70" t="str">
        <f>VLOOKUP(tblBDD[[#This Row],[N abrégé 1]],tblIntituléCompte[#Data],3,FALSE)</f>
        <v>61 - Services extérieurs</v>
      </c>
      <c r="F70" t="str">
        <f>VLOOKUP(tblBDD[[#This Row],[N abrégé 2]],Tableau5[#Data],3,FALSE)</f>
        <v>615 - Entretien, réparation</v>
      </c>
      <c r="H70" t="str">
        <f>VLOOKUP(tblBDD[[#This Row],[N Compte 1]],tblDescriptionCompte[#Data],2,FALSE)</f>
        <v>Entretien et petites réparations matériel</v>
      </c>
      <c r="I70" t="b">
        <f>COUNT(tblBDD[[#This Row],[B2011]:[B2014]])=7</f>
        <v>0</v>
      </c>
      <c r="J70" s="2">
        <v>500</v>
      </c>
      <c r="K70" s="3"/>
      <c r="L70" s="2">
        <v>500</v>
      </c>
      <c r="M70" s="2"/>
      <c r="N70" s="2">
        <v>500</v>
      </c>
      <c r="O70" s="2"/>
      <c r="P70" s="2">
        <v>510</v>
      </c>
      <c r="Q70" s="2"/>
      <c r="R70" s="2">
        <v>600</v>
      </c>
      <c r="S70" s="2"/>
      <c r="T70" s="2">
        <v>600</v>
      </c>
      <c r="U70" s="2"/>
      <c r="V70" s="2">
        <v>600</v>
      </c>
      <c r="W70" s="2"/>
      <c r="X70" s="2"/>
    </row>
    <row r="71" spans="1:24" x14ac:dyDescent="0.25">
      <c r="A71" t="s">
        <v>23</v>
      </c>
      <c r="B71">
        <v>60210000</v>
      </c>
      <c r="C71">
        <f>VALUE(LEFT(tblBDD[[#This Row],[N Compte 1]],2))</f>
        <v>60</v>
      </c>
      <c r="D71">
        <f>VALUE(LEFT(tblBDD[[#This Row],[N Compte 1]],3))</f>
        <v>602</v>
      </c>
      <c r="E71" t="str">
        <f>VLOOKUP(tblBDD[[#This Row],[N abrégé 1]],tblIntituléCompte[#Data],3,FALSE)</f>
        <v>60 - Achats fournitures</v>
      </c>
      <c r="F71" t="str">
        <f>VLOOKUP(tblBDD[[#This Row],[N abrégé 2]],Tableau5[#Data],3,FALSE)</f>
        <v>602 - Electricité</v>
      </c>
      <c r="G71">
        <v>1</v>
      </c>
      <c r="H71" t="str">
        <f>VLOOKUP(tblBDD[[#This Row],[N Compte 1]],tblDescriptionCompte[#Data],2,FALSE)</f>
        <v>Electricité</v>
      </c>
      <c r="I71" t="b">
        <f>COUNT(tblBDD[[#This Row],[B2011]:[B2014]])=7</f>
        <v>1</v>
      </c>
      <c r="J71" s="2">
        <v>600</v>
      </c>
      <c r="K71" s="3">
        <v>342.44</v>
      </c>
      <c r="L71" s="2">
        <v>600</v>
      </c>
      <c r="M71" s="2">
        <v>518.04999999999995</v>
      </c>
      <c r="N71" s="2">
        <v>600</v>
      </c>
      <c r="O71" s="2">
        <v>545.41999999999996</v>
      </c>
      <c r="P71" s="2">
        <v>620</v>
      </c>
      <c r="Q71" s="2">
        <v>625.44000000000005</v>
      </c>
      <c r="R71" s="2">
        <v>700</v>
      </c>
      <c r="S71" s="2">
        <v>662.57</v>
      </c>
      <c r="T71" s="2">
        <v>700</v>
      </c>
      <c r="U71" s="2">
        <v>651.73</v>
      </c>
      <c r="V71" s="2">
        <v>700</v>
      </c>
      <c r="W71" s="2">
        <v>665</v>
      </c>
      <c r="X71" s="2">
        <v>665</v>
      </c>
    </row>
    <row r="72" spans="1:24" x14ac:dyDescent="0.25">
      <c r="A72" t="s">
        <v>23</v>
      </c>
      <c r="B72">
        <v>60441000</v>
      </c>
      <c r="C72">
        <f>VALUE(LEFT(tblBDD[[#This Row],[N Compte 1]],2))</f>
        <v>60</v>
      </c>
      <c r="D72">
        <f>VALUE(LEFT(tblBDD[[#This Row],[N Compte 1]],3))</f>
        <v>604</v>
      </c>
      <c r="E72" t="str">
        <f>VLOOKUP(tblBDD[[#This Row],[N abrégé 1]],tblIntituléCompte[#Data],3,FALSE)</f>
        <v>60 - Achats fournitures</v>
      </c>
      <c r="F72" t="str">
        <f>VLOOKUP(tblBDD[[#This Row],[N abrégé 2]],Tableau5[#Data],3,FALSE)</f>
        <v>604 - Produits d'entretien et petit équipement</v>
      </c>
      <c r="G72">
        <v>1</v>
      </c>
      <c r="H72" t="str">
        <f>VLOOKUP(tblBDD[[#This Row],[N Compte 1]],tblDescriptionCompte[#Data],2,FALSE)</f>
        <v>Produits d'entretien et petit équipement</v>
      </c>
      <c r="I72" t="b">
        <f>COUNT(tblBDD[[#This Row],[B2011]:[B2014]])=7</f>
        <v>0</v>
      </c>
      <c r="J72" s="2"/>
      <c r="K72" s="3"/>
      <c r="L72" s="2"/>
      <c r="M72" s="2">
        <v>30.3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x14ac:dyDescent="0.25">
      <c r="A73" t="s">
        <v>23</v>
      </c>
      <c r="B73">
        <v>61520300</v>
      </c>
      <c r="C73">
        <f>VALUE(LEFT(tblBDD[[#This Row],[N Compte 1]],2))</f>
        <v>61</v>
      </c>
      <c r="D73">
        <f>VALUE(LEFT(tblBDD[[#This Row],[N Compte 1]],3))</f>
        <v>615</v>
      </c>
      <c r="E73" t="str">
        <f>VLOOKUP(tblBDD[[#This Row],[N abrégé 1]],tblIntituléCompte[#Data],3,FALSE)</f>
        <v>61 - Services extérieurs</v>
      </c>
      <c r="F73" t="str">
        <f>VLOOKUP(tblBDD[[#This Row],[N abrégé 2]],Tableau5[#Data],3,FALSE)</f>
        <v>615 - Entretien, réparation</v>
      </c>
      <c r="G73">
        <v>1</v>
      </c>
      <c r="H73" t="str">
        <f>VLOOKUP(tblBDD[[#This Row],[N Compte 1]],tblDescriptionCompte[#Data],2,FALSE)</f>
        <v>Entretien et petites réparations électricité</v>
      </c>
      <c r="I73" t="b">
        <f>COUNT(tblBDD[[#This Row],[B2011]:[B2014]])=7</f>
        <v>0</v>
      </c>
      <c r="J73" s="2"/>
      <c r="K73" s="3"/>
      <c r="L73" s="2"/>
      <c r="M73" s="2"/>
      <c r="N73" s="2"/>
      <c r="O73" s="2">
        <v>137.91999999999999</v>
      </c>
      <c r="P73" s="2"/>
      <c r="Q73" s="2"/>
      <c r="R73" s="2"/>
      <c r="S73" s="2"/>
      <c r="T73" s="2"/>
      <c r="U73" s="2"/>
      <c r="V73" s="2"/>
      <c r="W73" s="2"/>
      <c r="X73" s="2"/>
    </row>
    <row r="74" spans="1:24" x14ac:dyDescent="0.25">
      <c r="A74" t="s">
        <v>23</v>
      </c>
      <c r="B74">
        <v>61520400</v>
      </c>
      <c r="C74">
        <f>VALUE(LEFT(tblBDD[[#This Row],[N Compte 1]],2))</f>
        <v>61</v>
      </c>
      <c r="D74">
        <f>VALUE(LEFT(tblBDD[[#This Row],[N Compte 1]],3))</f>
        <v>615</v>
      </c>
      <c r="E74" t="str">
        <f>VLOOKUP(tblBDD[[#This Row],[N abrégé 1]],tblIntituléCompte[#Data],3,FALSE)</f>
        <v>61 - Services extérieurs</v>
      </c>
      <c r="F74" t="str">
        <f>VLOOKUP(tblBDD[[#This Row],[N abrégé 2]],Tableau5[#Data],3,FALSE)</f>
        <v>615 - Entretien, réparation</v>
      </c>
      <c r="G74">
        <v>1</v>
      </c>
      <c r="H74" t="str">
        <f>VLOOKUP(tblBDD[[#This Row],[N Compte 1]],tblDescriptionCompte[#Data],2,FALSE)</f>
        <v>Entretien et petites réparations plomberie</v>
      </c>
      <c r="I74" t="b">
        <f>COUNT(tblBDD[[#This Row],[B2011]:[B2014]])=7</f>
        <v>0</v>
      </c>
      <c r="J74" s="2"/>
      <c r="K74" s="3">
        <v>609.79</v>
      </c>
      <c r="L74" s="2"/>
      <c r="M74" s="2"/>
      <c r="N74" s="2"/>
      <c r="O74" s="2"/>
      <c r="P74" s="2"/>
      <c r="Q74" s="2"/>
      <c r="R74" s="2"/>
      <c r="S74" s="2"/>
      <c r="T74" s="2"/>
      <c r="U74" s="2">
        <v>1334.47</v>
      </c>
      <c r="V74" s="2"/>
      <c r="W74" s="2"/>
      <c r="X74" s="2"/>
    </row>
    <row r="75" spans="1:24" x14ac:dyDescent="0.25">
      <c r="A75" t="s">
        <v>23</v>
      </c>
      <c r="B75">
        <v>61520800</v>
      </c>
      <c r="C75">
        <f>VALUE(LEFT(tblBDD[[#This Row],[N Compte 1]],2))</f>
        <v>61</v>
      </c>
      <c r="D75">
        <f>VALUE(LEFT(tblBDD[[#This Row],[N Compte 1]],3))</f>
        <v>615</v>
      </c>
      <c r="E75" t="str">
        <f>VLOOKUP(tblBDD[[#This Row],[N abrégé 1]],tblIntituléCompte[#Data],3,FALSE)</f>
        <v>61 - Services extérieurs</v>
      </c>
      <c r="F75" t="str">
        <f>VLOOKUP(tblBDD[[#This Row],[N abrégé 2]],Tableau5[#Data],3,FALSE)</f>
        <v>615 - Entretien, réparation</v>
      </c>
      <c r="G75">
        <v>1</v>
      </c>
      <c r="H75" t="str">
        <f>VLOOKUP(tblBDD[[#This Row],[N Compte 1]],tblDescriptionCompte[#Data],2,FALSE)</f>
        <v>Entretien et petites réparations portes et serrures</v>
      </c>
      <c r="I75" t="b">
        <f>COUNT(tblBDD[[#This Row],[B2011]:[B2014]])=7</f>
        <v>0</v>
      </c>
      <c r="J75" s="2"/>
      <c r="K75" s="3">
        <v>490.44</v>
      </c>
      <c r="L75" s="2"/>
      <c r="M75" s="2"/>
      <c r="N75" s="2"/>
      <c r="O75" s="2">
        <v>247.87</v>
      </c>
      <c r="P75" s="2"/>
      <c r="Q75" s="2"/>
      <c r="R75" s="2"/>
      <c r="S75" s="2"/>
      <c r="T75" s="2"/>
      <c r="U75" s="2"/>
      <c r="V75" s="2"/>
      <c r="W75" s="2"/>
      <c r="X75" s="2"/>
    </row>
    <row r="76" spans="1:24" x14ac:dyDescent="0.25">
      <c r="A76" t="s">
        <v>23</v>
      </c>
      <c r="B76">
        <v>61521100</v>
      </c>
      <c r="C76">
        <f>VALUE(LEFT(tblBDD[[#This Row],[N Compte 1]],2))</f>
        <v>61</v>
      </c>
      <c r="D76">
        <f>VALUE(LEFT(tblBDD[[#This Row],[N Compte 1]],3))</f>
        <v>615</v>
      </c>
      <c r="E76" t="str">
        <f>VLOOKUP(tblBDD[[#This Row],[N abrégé 1]],tblIntituléCompte[#Data],3,FALSE)</f>
        <v>61 - Services extérieurs</v>
      </c>
      <c r="F76" t="str">
        <f>VLOOKUP(tblBDD[[#This Row],[N abrégé 2]],Tableau5[#Data],3,FALSE)</f>
        <v>615 - Entretien, réparation</v>
      </c>
      <c r="G76">
        <v>1</v>
      </c>
      <c r="H76" t="str">
        <f>VLOOKUP(tblBDD[[#This Row],[N Compte 1]],tblDescriptionCompte[#Data],2,FALSE)</f>
        <v>Entretien et petites réparations ventilations</v>
      </c>
      <c r="I76" t="b">
        <f>COUNT(tblBDD[[#This Row],[B2011]:[B2014]])=7</f>
        <v>0</v>
      </c>
      <c r="J76" s="2"/>
      <c r="K76" s="3">
        <v>15.46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x14ac:dyDescent="0.25">
      <c r="A77" t="s">
        <v>23</v>
      </c>
      <c r="B77">
        <v>61550100</v>
      </c>
      <c r="C77">
        <f>VALUE(LEFT(tblBDD[[#This Row],[N Compte 1]],2))</f>
        <v>61</v>
      </c>
      <c r="D77">
        <f>VALUE(LEFT(tblBDD[[#This Row],[N Compte 1]],3))</f>
        <v>615</v>
      </c>
      <c r="E77" t="str">
        <f>VLOOKUP(tblBDD[[#This Row],[N abrégé 1]],tblIntituléCompte[#Data],3,FALSE)</f>
        <v>61 - Services extérieurs</v>
      </c>
      <c r="F77" t="str">
        <f>VLOOKUP(tblBDD[[#This Row],[N abrégé 2]],Tableau5[#Data],3,FALSE)</f>
        <v>615 - Entretien, réparation</v>
      </c>
      <c r="G77">
        <v>1</v>
      </c>
      <c r="H77" t="str">
        <f>VLOOKUP(tblBDD[[#This Row],[N Compte 1]],tblDescriptionCompte[#Data],2,FALSE)</f>
        <v>Entretien et petites réparations matériel</v>
      </c>
      <c r="I77" t="b">
        <f>COUNT(tblBDD[[#This Row],[B2011]:[B2014]])=7</f>
        <v>0</v>
      </c>
      <c r="J77" s="2">
        <v>300</v>
      </c>
      <c r="K77" s="3"/>
      <c r="L77" s="2">
        <v>500</v>
      </c>
      <c r="M77" s="2"/>
      <c r="N77" s="2">
        <v>500</v>
      </c>
      <c r="O77" s="2"/>
      <c r="P77" s="2">
        <v>510</v>
      </c>
      <c r="Q77" s="2"/>
      <c r="R77" s="2">
        <v>550</v>
      </c>
      <c r="S77" s="2"/>
      <c r="T77" s="2">
        <v>550</v>
      </c>
      <c r="U77" s="2">
        <v>302.11</v>
      </c>
      <c r="V77" s="2">
        <v>550</v>
      </c>
      <c r="W77" s="2">
        <v>550</v>
      </c>
      <c r="X77" s="2">
        <v>550</v>
      </c>
    </row>
    <row r="78" spans="1:24" x14ac:dyDescent="0.25">
      <c r="A78" t="s">
        <v>23</v>
      </c>
      <c r="B78">
        <v>60210000</v>
      </c>
      <c r="C78">
        <f>VALUE(LEFT(tblBDD[[#This Row],[N Compte 1]],2))</f>
        <v>60</v>
      </c>
      <c r="D78">
        <f>VALUE(LEFT(tblBDD[[#This Row],[N Compte 1]],3))</f>
        <v>602</v>
      </c>
      <c r="E78" t="str">
        <f>VLOOKUP(tblBDD[[#This Row],[N abrégé 1]],tblIntituléCompte[#Data],3,FALSE)</f>
        <v>60 - Achats fournitures</v>
      </c>
      <c r="F78" t="str">
        <f>VLOOKUP(tblBDD[[#This Row],[N abrégé 2]],Tableau5[#Data],3,FALSE)</f>
        <v>602 - Electricité</v>
      </c>
      <c r="G78">
        <v>2</v>
      </c>
      <c r="H78" t="str">
        <f>VLOOKUP(tblBDD[[#This Row],[N Compte 1]],tblDescriptionCompte[#Data],2,FALSE)</f>
        <v>Electricité</v>
      </c>
      <c r="I78" t="b">
        <f>COUNT(tblBDD[[#This Row],[B2011]:[B2014]])=7</f>
        <v>1</v>
      </c>
      <c r="J78" s="2">
        <v>600</v>
      </c>
      <c r="K78" s="3">
        <v>308.31</v>
      </c>
      <c r="L78" s="2">
        <v>600</v>
      </c>
      <c r="M78" s="2">
        <v>502.75</v>
      </c>
      <c r="N78" s="2">
        <v>600</v>
      </c>
      <c r="O78" s="2">
        <v>519.74</v>
      </c>
      <c r="P78" s="2">
        <v>620</v>
      </c>
      <c r="Q78" s="2">
        <v>591.63</v>
      </c>
      <c r="R78" s="2">
        <v>700</v>
      </c>
      <c r="S78" s="2">
        <v>615.07000000000005</v>
      </c>
      <c r="T78" s="2">
        <v>700</v>
      </c>
      <c r="U78" s="2">
        <v>640.74</v>
      </c>
      <c r="V78" s="2">
        <v>700</v>
      </c>
      <c r="W78" s="2">
        <v>655</v>
      </c>
      <c r="X78" s="2">
        <v>655</v>
      </c>
    </row>
    <row r="79" spans="1:24" x14ac:dyDescent="0.25">
      <c r="A79" t="s">
        <v>23</v>
      </c>
      <c r="B79">
        <v>60500000</v>
      </c>
      <c r="C79">
        <f>VALUE(LEFT(tblBDD[[#This Row],[N Compte 1]],2))</f>
        <v>60</v>
      </c>
      <c r="D79">
        <f>VALUE(LEFT(tblBDD[[#This Row],[N Compte 1]],3))</f>
        <v>605</v>
      </c>
      <c r="E79" t="str">
        <f>VLOOKUP(tblBDD[[#This Row],[N abrégé 1]],tblIntituléCompte[#Data],3,FALSE)</f>
        <v>60 - Achats fournitures</v>
      </c>
      <c r="F79" t="str">
        <f>VLOOKUP(tblBDD[[#This Row],[N abrégé 2]],Tableau5[#Data],3,FALSE)</f>
        <v>605 - Achat de matériel, équipements</v>
      </c>
      <c r="G79">
        <v>2</v>
      </c>
      <c r="H79" t="str">
        <f>VLOOKUP(tblBDD[[#This Row],[N Compte 1]],tblDescriptionCompte[#Data],2,FALSE)</f>
        <v>Achat de matériel, équipements</v>
      </c>
      <c r="I79" t="b">
        <f>COUNT(tblBDD[[#This Row],[B2011]:[B2014]])=7</f>
        <v>0</v>
      </c>
      <c r="J79" s="2"/>
      <c r="K79" s="3">
        <v>1537.27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x14ac:dyDescent="0.25">
      <c r="A80" t="s">
        <v>23</v>
      </c>
      <c r="B80">
        <v>61427000</v>
      </c>
      <c r="C80">
        <f>VALUE(LEFT(tblBDD[[#This Row],[N Compte 1]],2))</f>
        <v>61</v>
      </c>
      <c r="D80">
        <f>VALUE(LEFT(tblBDD[[#This Row],[N Compte 1]],3))</f>
        <v>614</v>
      </c>
      <c r="E80" t="str">
        <f>VLOOKUP(tblBDD[[#This Row],[N abrégé 1]],tblIntituléCompte[#Data],3,FALSE)</f>
        <v>61 - Services extérieurs</v>
      </c>
      <c r="F80" t="str">
        <f>VLOOKUP(tblBDD[[#This Row],[N abrégé 2]],Tableau5[#Data],3,FALSE)</f>
        <v>614 - Contrats maintenance</v>
      </c>
      <c r="G80">
        <v>2</v>
      </c>
      <c r="H80" t="str">
        <f>VLOOKUP(tblBDD[[#This Row],[N Compte 1]],tblDescriptionCompte[#Data],2,FALSE)</f>
        <v>Contrat maintenance contrôle d'accès</v>
      </c>
      <c r="I80" t="b">
        <f>COUNT(tblBDD[[#This Row],[B2011]:[B2014]])=7</f>
        <v>0</v>
      </c>
      <c r="J80" s="2"/>
      <c r="K80" s="3">
        <v>136.49</v>
      </c>
      <c r="L80" s="2"/>
      <c r="M80" s="2">
        <v>229.68</v>
      </c>
      <c r="N80" s="2"/>
      <c r="O80" s="2">
        <v>229.68</v>
      </c>
      <c r="P80" s="2"/>
      <c r="Q80" s="2">
        <v>230.4</v>
      </c>
      <c r="R80" s="2">
        <v>240</v>
      </c>
      <c r="S80" s="2">
        <v>230.4</v>
      </c>
      <c r="T80" s="2">
        <v>240</v>
      </c>
      <c r="U80" s="2">
        <v>230.4</v>
      </c>
      <c r="V80" s="2">
        <v>240</v>
      </c>
      <c r="W80" s="2">
        <v>235</v>
      </c>
      <c r="X80" s="2">
        <v>235</v>
      </c>
    </row>
    <row r="81" spans="1:24" x14ac:dyDescent="0.25">
      <c r="A81" t="s">
        <v>23</v>
      </c>
      <c r="B81">
        <v>61520200</v>
      </c>
      <c r="C81">
        <f>VALUE(LEFT(tblBDD[[#This Row],[N Compte 1]],2))</f>
        <v>61</v>
      </c>
      <c r="D81">
        <f>VALUE(LEFT(tblBDD[[#This Row],[N Compte 1]],3))</f>
        <v>615</v>
      </c>
      <c r="E81" t="str">
        <f>VLOOKUP(tblBDD[[#This Row],[N abrégé 1]],tblIntituléCompte[#Data],3,FALSE)</f>
        <v>61 - Services extérieurs</v>
      </c>
      <c r="F81" t="str">
        <f>VLOOKUP(tblBDD[[#This Row],[N abrégé 2]],Tableau5[#Data],3,FALSE)</f>
        <v>615 - Entretien, réparation</v>
      </c>
      <c r="G81">
        <v>2</v>
      </c>
      <c r="H81" t="str">
        <f>VLOOKUP(tblBDD[[#This Row],[N Compte 1]],tblDescriptionCompte[#Data],2,FALSE)</f>
        <v>Entretien et petites réparations vide ordure</v>
      </c>
      <c r="I81" t="b">
        <f>COUNT(tblBDD[[#This Row],[B2011]:[B2014]])=7</f>
        <v>0</v>
      </c>
      <c r="J81" s="2"/>
      <c r="K81" s="3">
        <v>260.8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x14ac:dyDescent="0.25">
      <c r="A82" t="s">
        <v>23</v>
      </c>
      <c r="B82">
        <v>61520300</v>
      </c>
      <c r="C82">
        <f>VALUE(LEFT(tblBDD[[#This Row],[N Compte 1]],2))</f>
        <v>61</v>
      </c>
      <c r="D82">
        <f>VALUE(LEFT(tblBDD[[#This Row],[N Compte 1]],3))</f>
        <v>615</v>
      </c>
      <c r="E82" t="str">
        <f>VLOOKUP(tblBDD[[#This Row],[N abrégé 1]],tblIntituléCompte[#Data],3,FALSE)</f>
        <v>61 - Services extérieurs</v>
      </c>
      <c r="F82" t="str">
        <f>VLOOKUP(tblBDD[[#This Row],[N abrégé 2]],Tableau5[#Data],3,FALSE)</f>
        <v>615 - Entretien, réparation</v>
      </c>
      <c r="G82">
        <v>2</v>
      </c>
      <c r="H82" t="str">
        <f>VLOOKUP(tblBDD[[#This Row],[N Compte 1]],tblDescriptionCompte[#Data],2,FALSE)</f>
        <v>Entretien et petites réparations électricité</v>
      </c>
      <c r="I82" t="b">
        <f>COUNT(tblBDD[[#This Row],[B2011]:[B2014]])=7</f>
        <v>0</v>
      </c>
      <c r="J82" s="2"/>
      <c r="K82" s="3">
        <v>276.94</v>
      </c>
      <c r="L82" s="2"/>
      <c r="M82" s="2">
        <v>203.18</v>
      </c>
      <c r="N82" s="2"/>
      <c r="O82" s="2">
        <v>111.28</v>
      </c>
      <c r="P82" s="2"/>
      <c r="Q82" s="2"/>
      <c r="R82" s="2"/>
      <c r="S82" s="2"/>
      <c r="T82" s="2"/>
      <c r="U82" s="2"/>
      <c r="V82" s="2"/>
      <c r="W82" s="2"/>
      <c r="X82" s="2"/>
    </row>
    <row r="83" spans="1:24" x14ac:dyDescent="0.25">
      <c r="A83" t="s">
        <v>23</v>
      </c>
      <c r="B83">
        <v>61520400</v>
      </c>
      <c r="C83">
        <f>VALUE(LEFT(tblBDD[[#This Row],[N Compte 1]],2))</f>
        <v>61</v>
      </c>
      <c r="D83">
        <f>VALUE(LEFT(tblBDD[[#This Row],[N Compte 1]],3))</f>
        <v>615</v>
      </c>
      <c r="E83" t="str">
        <f>VLOOKUP(tblBDD[[#This Row],[N abrégé 1]],tblIntituléCompte[#Data],3,FALSE)</f>
        <v>61 - Services extérieurs</v>
      </c>
      <c r="F83" t="str">
        <f>VLOOKUP(tblBDD[[#This Row],[N abrégé 2]],Tableau5[#Data],3,FALSE)</f>
        <v>615 - Entretien, réparation</v>
      </c>
      <c r="G83">
        <v>2</v>
      </c>
      <c r="H83" t="str">
        <f>VLOOKUP(tblBDD[[#This Row],[N Compte 1]],tblDescriptionCompte[#Data],2,FALSE)</f>
        <v>Entretien et petites réparations plomberie</v>
      </c>
      <c r="I83" t="b">
        <f>COUNT(tblBDD[[#This Row],[B2011]:[B2014]])=7</f>
        <v>0</v>
      </c>
      <c r="J83" s="2"/>
      <c r="K83" s="3"/>
      <c r="L83" s="2"/>
      <c r="M83" s="2"/>
      <c r="N83" s="2"/>
      <c r="O83" s="2"/>
      <c r="P83" s="2"/>
      <c r="Q83" s="2"/>
      <c r="R83" s="2"/>
      <c r="S83" s="2"/>
      <c r="T83" s="2"/>
      <c r="U83" s="2">
        <f>1204.93+92.95</f>
        <v>1297.8800000000001</v>
      </c>
      <c r="V83" s="2"/>
      <c r="W83" s="2"/>
      <c r="X83" s="2"/>
    </row>
    <row r="84" spans="1:24" x14ac:dyDescent="0.25">
      <c r="A84" t="s">
        <v>23</v>
      </c>
      <c r="B84">
        <v>61522100</v>
      </c>
      <c r="C84">
        <f>VALUE(LEFT(tblBDD[[#This Row],[N Compte 1]],2))</f>
        <v>61</v>
      </c>
      <c r="D84">
        <f>VALUE(LEFT(tblBDD[[#This Row],[N Compte 1]],3))</f>
        <v>615</v>
      </c>
      <c r="E84" t="str">
        <f>VLOOKUP(tblBDD[[#This Row],[N abrégé 1]],tblIntituléCompte[#Data],3,FALSE)</f>
        <v>61 - Services extérieurs</v>
      </c>
      <c r="F84" t="str">
        <f>VLOOKUP(tblBDD[[#This Row],[N abrégé 2]],Tableau5[#Data],3,FALSE)</f>
        <v>615 - Entretien, réparation</v>
      </c>
      <c r="G84">
        <v>2</v>
      </c>
      <c r="H84" t="str">
        <f>VLOOKUP(tblBDD[[#This Row],[N Compte 1]],tblDescriptionCompte[#Data],2,FALSE)</f>
        <v>Entretien et petites réparations miroiterie, vitrerie</v>
      </c>
      <c r="I84" t="b">
        <f>COUNT(tblBDD[[#This Row],[B2011]:[B2014]])=7</f>
        <v>0</v>
      </c>
      <c r="J84" s="2"/>
      <c r="K84" s="3"/>
      <c r="L84" s="2"/>
      <c r="M84" s="2">
        <v>900</v>
      </c>
      <c r="N84" s="2"/>
      <c r="O84" s="2"/>
      <c r="P84" s="2"/>
      <c r="Q84" s="2"/>
      <c r="R84" s="2"/>
      <c r="S84" s="2">
        <v>927.92</v>
      </c>
      <c r="T84" s="2"/>
      <c r="U84" s="2"/>
      <c r="V84" s="2"/>
      <c r="W84" s="2"/>
      <c r="X84" s="2"/>
    </row>
    <row r="85" spans="1:24" x14ac:dyDescent="0.25">
      <c r="A85" t="s">
        <v>23</v>
      </c>
      <c r="B85">
        <v>61550100</v>
      </c>
      <c r="C85">
        <f>VALUE(LEFT(tblBDD[[#This Row],[N Compte 1]],2))</f>
        <v>61</v>
      </c>
      <c r="D85">
        <f>VALUE(LEFT(tblBDD[[#This Row],[N Compte 1]],3))</f>
        <v>615</v>
      </c>
      <c r="E85" t="str">
        <f>VLOOKUP(tblBDD[[#This Row],[N abrégé 1]],tblIntituléCompte[#Data],3,FALSE)</f>
        <v>61 - Services extérieurs</v>
      </c>
      <c r="F85" t="str">
        <f>VLOOKUP(tblBDD[[#This Row],[N abrégé 2]],Tableau5[#Data],3,FALSE)</f>
        <v>615 - Entretien, réparation</v>
      </c>
      <c r="G85">
        <v>2</v>
      </c>
      <c r="H85" t="str">
        <f>VLOOKUP(tblBDD[[#This Row],[N Compte 1]],tblDescriptionCompte[#Data],2,FALSE)</f>
        <v>Entretien et petites réparations matériel</v>
      </c>
      <c r="I85" t="b">
        <f>COUNT(tblBDD[[#This Row],[B2011]:[B2014]])=7</f>
        <v>0</v>
      </c>
      <c r="J85" s="2">
        <v>300</v>
      </c>
      <c r="K85" s="3"/>
      <c r="L85" s="2">
        <v>500</v>
      </c>
      <c r="M85" s="2"/>
      <c r="N85" s="2">
        <v>500</v>
      </c>
      <c r="O85" s="2"/>
      <c r="P85" s="2">
        <v>515</v>
      </c>
      <c r="Q85" s="2"/>
      <c r="R85" s="2">
        <v>550</v>
      </c>
      <c r="S85" s="2"/>
      <c r="T85" s="2">
        <v>550</v>
      </c>
      <c r="U85" s="2">
        <v>353.33</v>
      </c>
      <c r="V85" s="2">
        <v>550</v>
      </c>
      <c r="W85" s="2">
        <v>550</v>
      </c>
      <c r="X85" s="2">
        <v>550</v>
      </c>
    </row>
    <row r="86" spans="1:24" x14ac:dyDescent="0.25">
      <c r="A86" t="s">
        <v>23</v>
      </c>
      <c r="B86">
        <v>60210000</v>
      </c>
      <c r="C86">
        <f>VALUE(LEFT(tblBDD[[#This Row],[N Compte 1]],2))</f>
        <v>60</v>
      </c>
      <c r="D86">
        <f>VALUE(LEFT(tblBDD[[#This Row],[N Compte 1]],3))</f>
        <v>602</v>
      </c>
      <c r="E86" t="str">
        <f>VLOOKUP(tblBDD[[#This Row],[N abrégé 1]],tblIntituléCompte[#Data],3,FALSE)</f>
        <v>60 - Achats fournitures</v>
      </c>
      <c r="F86" t="str">
        <f>VLOOKUP(tblBDD[[#This Row],[N abrégé 2]],Tableau5[#Data],3,FALSE)</f>
        <v>602 - Electricité</v>
      </c>
      <c r="G86">
        <v>3</v>
      </c>
      <c r="H86" t="str">
        <f>VLOOKUP(tblBDD[[#This Row],[N Compte 1]],tblDescriptionCompte[#Data],2,FALSE)</f>
        <v>Electricité</v>
      </c>
      <c r="I86" t="b">
        <f>COUNT(tblBDD[[#This Row],[B2011]:[B2014]])=7</f>
        <v>1</v>
      </c>
      <c r="J86" s="2">
        <v>450</v>
      </c>
      <c r="K86" s="3">
        <v>-16.579999999999998</v>
      </c>
      <c r="L86" s="2">
        <v>450</v>
      </c>
      <c r="M86" s="2">
        <v>299.88</v>
      </c>
      <c r="N86" s="2">
        <v>450</v>
      </c>
      <c r="O86" s="2">
        <v>318.39</v>
      </c>
      <c r="P86" s="2">
        <v>470</v>
      </c>
      <c r="Q86" s="2">
        <v>349.68</v>
      </c>
      <c r="R86" s="2">
        <v>470</v>
      </c>
      <c r="S86" s="2">
        <v>360.27</v>
      </c>
      <c r="T86" s="2">
        <v>470</v>
      </c>
      <c r="U86" s="2">
        <v>386.11</v>
      </c>
      <c r="V86" s="2">
        <v>470</v>
      </c>
      <c r="W86" s="2">
        <v>395</v>
      </c>
      <c r="X86" s="2">
        <v>395</v>
      </c>
    </row>
    <row r="87" spans="1:24" x14ac:dyDescent="0.25">
      <c r="A87" t="s">
        <v>23</v>
      </c>
      <c r="B87">
        <v>61520300</v>
      </c>
      <c r="C87">
        <f>VALUE(LEFT(tblBDD[[#This Row],[N Compte 1]],2))</f>
        <v>61</v>
      </c>
      <c r="D87">
        <f>VALUE(LEFT(tblBDD[[#This Row],[N Compte 1]],3))</f>
        <v>615</v>
      </c>
      <c r="E87" t="str">
        <f>VLOOKUP(tblBDD[[#This Row],[N abrégé 1]],tblIntituléCompte[#Data],3,FALSE)</f>
        <v>61 - Services extérieurs</v>
      </c>
      <c r="F87" t="str">
        <f>VLOOKUP(tblBDD[[#This Row],[N abrégé 2]],Tableau5[#Data],3,FALSE)</f>
        <v>615 - Entretien, réparation</v>
      </c>
      <c r="G87">
        <v>3</v>
      </c>
      <c r="H87" t="str">
        <f>VLOOKUP(tblBDD[[#This Row],[N Compte 1]],tblDescriptionCompte[#Data],2,FALSE)</f>
        <v>Entretien et petites réparations électricité</v>
      </c>
      <c r="I87" t="b">
        <f>COUNT(tblBDD[[#This Row],[B2011]:[B2014]])=7</f>
        <v>0</v>
      </c>
      <c r="J87" s="2"/>
      <c r="K87" s="3"/>
      <c r="L87" s="2"/>
      <c r="M87" s="2"/>
      <c r="N87" s="2"/>
      <c r="O87" s="2"/>
      <c r="P87" s="2"/>
      <c r="Q87" s="2">
        <v>192.17</v>
      </c>
      <c r="R87" s="2"/>
      <c r="S87" s="2"/>
      <c r="T87" s="2"/>
      <c r="U87" s="2"/>
      <c r="V87" s="2"/>
      <c r="W87" s="2"/>
      <c r="X87" s="2"/>
    </row>
    <row r="88" spans="1:24" x14ac:dyDescent="0.25">
      <c r="A88" t="s">
        <v>23</v>
      </c>
      <c r="B88">
        <v>61520400</v>
      </c>
      <c r="C88">
        <f>VALUE(LEFT(tblBDD[[#This Row],[N Compte 1]],2))</f>
        <v>61</v>
      </c>
      <c r="D88">
        <f>VALUE(LEFT(tblBDD[[#This Row],[N Compte 1]],3))</f>
        <v>615</v>
      </c>
      <c r="E88" t="str">
        <f>VLOOKUP(tblBDD[[#This Row],[N abrégé 1]],tblIntituléCompte[#Data],3,FALSE)</f>
        <v>61 - Services extérieurs</v>
      </c>
      <c r="F88" t="str">
        <f>VLOOKUP(tblBDD[[#This Row],[N abrégé 2]],Tableau5[#Data],3,FALSE)</f>
        <v>615 - Entretien, réparation</v>
      </c>
      <c r="G88">
        <v>3</v>
      </c>
      <c r="H88" t="str">
        <f>VLOOKUP(tblBDD[[#This Row],[N Compte 1]],tblDescriptionCompte[#Data],2,FALSE)</f>
        <v>Entretien et petites réparations plomberie</v>
      </c>
      <c r="I88" t="b">
        <f>COUNT(tblBDD[[#This Row],[B2011]:[B2014]])=7</f>
        <v>0</v>
      </c>
      <c r="J88" s="2"/>
      <c r="K88" s="3"/>
      <c r="L88" s="2"/>
      <c r="M88" s="2">
        <v>75.44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x14ac:dyDescent="0.25">
      <c r="A89" t="s">
        <v>23</v>
      </c>
      <c r="B89">
        <v>61520800</v>
      </c>
      <c r="C89">
        <f>VALUE(LEFT(tblBDD[[#This Row],[N Compte 1]],2))</f>
        <v>61</v>
      </c>
      <c r="D89">
        <f>VALUE(LEFT(tblBDD[[#This Row],[N Compte 1]],3))</f>
        <v>615</v>
      </c>
      <c r="E89" t="str">
        <f>VLOOKUP(tblBDD[[#This Row],[N abrégé 1]],tblIntituléCompte[#Data],3,FALSE)</f>
        <v>61 - Services extérieurs</v>
      </c>
      <c r="F89" t="str">
        <f>VLOOKUP(tblBDD[[#This Row],[N abrégé 2]],Tableau5[#Data],3,FALSE)</f>
        <v>615 - Entretien, réparation</v>
      </c>
      <c r="G89">
        <v>3</v>
      </c>
      <c r="H89" t="str">
        <f>VLOOKUP(tblBDD[[#This Row],[N Compte 1]],tblDescriptionCompte[#Data],2,FALSE)</f>
        <v>Entretien et petites réparations portes et serrures</v>
      </c>
      <c r="I89" t="b">
        <f>COUNT(tblBDD[[#This Row],[B2011]:[B2014]])=7</f>
        <v>0</v>
      </c>
      <c r="J89" s="2"/>
      <c r="K89" s="3">
        <v>104.51</v>
      </c>
      <c r="L89" s="2"/>
      <c r="M89" s="2">
        <v>470.38</v>
      </c>
      <c r="N89" s="2"/>
      <c r="O89" s="2"/>
      <c r="P89" s="2"/>
      <c r="Q89" s="2">
        <v>179.3</v>
      </c>
      <c r="R89" s="2"/>
      <c r="S89" s="2"/>
      <c r="T89" s="2"/>
      <c r="U89" s="2"/>
      <c r="V89" s="2"/>
      <c r="W89" s="2"/>
      <c r="X89" s="2"/>
    </row>
    <row r="90" spans="1:24" x14ac:dyDescent="0.25">
      <c r="A90" t="s">
        <v>23</v>
      </c>
      <c r="B90">
        <v>61521300</v>
      </c>
      <c r="C90">
        <f>VALUE(LEFT(tblBDD[[#This Row],[N Compte 1]],2))</f>
        <v>61</v>
      </c>
      <c r="D90">
        <f>VALUE(LEFT(tblBDD[[#This Row],[N Compte 1]],3))</f>
        <v>615</v>
      </c>
      <c r="E90" t="str">
        <f>VLOOKUP(tblBDD[[#This Row],[N abrégé 1]],tblIntituléCompte[#Data],3,FALSE)</f>
        <v>61 - Services extérieurs</v>
      </c>
      <c r="F90" t="str">
        <f>VLOOKUP(tblBDD[[#This Row],[N abrégé 2]],Tableau5[#Data],3,FALSE)</f>
        <v>615 - Entretien, réparation</v>
      </c>
      <c r="G90">
        <v>3</v>
      </c>
      <c r="H90" t="str">
        <f>VLOOKUP(tblBDD[[#This Row],[N Compte 1]],tblDescriptionCompte[#Data],2,FALSE)</f>
        <v>Entretien et réparations réseau eaux usées</v>
      </c>
      <c r="I90" t="b">
        <f>COUNT(tblBDD[[#This Row],[B2011]:[B2014]])=7</f>
        <v>0</v>
      </c>
      <c r="J90" s="2"/>
      <c r="K90" s="3"/>
      <c r="L90" s="2"/>
      <c r="M90" s="2">
        <v>189.39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x14ac:dyDescent="0.25">
      <c r="A91" t="s">
        <v>23</v>
      </c>
      <c r="B91">
        <v>61550100</v>
      </c>
      <c r="C91">
        <f>VALUE(LEFT(tblBDD[[#This Row],[N Compte 1]],2))</f>
        <v>61</v>
      </c>
      <c r="D91">
        <f>VALUE(LEFT(tblBDD[[#This Row],[N Compte 1]],3))</f>
        <v>615</v>
      </c>
      <c r="E91" t="str">
        <f>VLOOKUP(tblBDD[[#This Row],[N abrégé 1]],tblIntituléCompte[#Data],3,FALSE)</f>
        <v>61 - Services extérieurs</v>
      </c>
      <c r="F91" t="str">
        <f>VLOOKUP(tblBDD[[#This Row],[N abrégé 2]],Tableau5[#Data],3,FALSE)</f>
        <v>615 - Entretien, réparation</v>
      </c>
      <c r="G91">
        <v>3</v>
      </c>
      <c r="H91" t="str">
        <f>VLOOKUP(tblBDD[[#This Row],[N Compte 1]],tblDescriptionCompte[#Data],2,FALSE)</f>
        <v>Entretien et petites réparations matériel</v>
      </c>
      <c r="I91" t="b">
        <f>COUNT(tblBDD[[#This Row],[B2011]:[B2014]])=7</f>
        <v>0</v>
      </c>
      <c r="J91" s="2">
        <v>300</v>
      </c>
      <c r="K91" s="3"/>
      <c r="L91" s="2">
        <v>300</v>
      </c>
      <c r="M91" s="2"/>
      <c r="N91" s="2">
        <v>300</v>
      </c>
      <c r="O91" s="2"/>
      <c r="P91" s="2">
        <v>310</v>
      </c>
      <c r="Q91" s="2"/>
      <c r="R91" s="2">
        <v>550</v>
      </c>
      <c r="S91" s="2"/>
      <c r="T91" s="2">
        <v>550</v>
      </c>
      <c r="U91" s="2">
        <v>302.12</v>
      </c>
      <c r="V91" s="2">
        <v>550</v>
      </c>
      <c r="W91" s="2">
        <v>550</v>
      </c>
      <c r="X91" s="2">
        <v>550</v>
      </c>
    </row>
    <row r="92" spans="1:24" x14ac:dyDescent="0.25">
      <c r="A92" t="s">
        <v>23</v>
      </c>
      <c r="B92">
        <v>60210000</v>
      </c>
      <c r="C92">
        <f>VALUE(LEFT(tblBDD[[#This Row],[N Compte 1]],2))</f>
        <v>60</v>
      </c>
      <c r="D92">
        <f>VALUE(LEFT(tblBDD[[#This Row],[N Compte 1]],3))</f>
        <v>602</v>
      </c>
      <c r="E92" t="str">
        <f>VLOOKUP(tblBDD[[#This Row],[N abrégé 1]],tblIntituléCompte[#Data],3,FALSE)</f>
        <v>60 - Achats fournitures</v>
      </c>
      <c r="F92" t="str">
        <f>VLOOKUP(tblBDD[[#This Row],[N abrégé 2]],Tableau5[#Data],3,FALSE)</f>
        <v>602 - Electricité</v>
      </c>
      <c r="G92">
        <v>4</v>
      </c>
      <c r="H92" t="str">
        <f>VLOOKUP(tblBDD[[#This Row],[N Compte 1]],tblDescriptionCompte[#Data],2,FALSE)</f>
        <v>Electricité</v>
      </c>
      <c r="I92" t="b">
        <f>COUNT(tblBDD[[#This Row],[B2011]:[B2014]])=7</f>
        <v>1</v>
      </c>
      <c r="J92" s="2">
        <v>370</v>
      </c>
      <c r="K92" s="3">
        <v>346.9</v>
      </c>
      <c r="L92" s="2">
        <v>450</v>
      </c>
      <c r="M92" s="2">
        <v>393.66</v>
      </c>
      <c r="N92" s="2">
        <v>450</v>
      </c>
      <c r="O92" s="2">
        <v>402.16</v>
      </c>
      <c r="P92" s="2">
        <v>470</v>
      </c>
      <c r="Q92" s="2">
        <v>450.32</v>
      </c>
      <c r="R92" s="2">
        <v>470</v>
      </c>
      <c r="S92" s="2">
        <v>469.29</v>
      </c>
      <c r="T92" s="2">
        <v>470</v>
      </c>
      <c r="U92" s="2">
        <v>494.26</v>
      </c>
      <c r="V92" s="2">
        <v>470</v>
      </c>
      <c r="W92" s="2">
        <v>550</v>
      </c>
      <c r="X92" s="2">
        <v>550</v>
      </c>
    </row>
    <row r="93" spans="1:24" x14ac:dyDescent="0.25">
      <c r="A93" t="s">
        <v>23</v>
      </c>
      <c r="B93">
        <v>61520400</v>
      </c>
      <c r="C93">
        <f>VALUE(LEFT(tblBDD[[#This Row],[N Compte 1]],2))</f>
        <v>61</v>
      </c>
      <c r="D93">
        <f>VALUE(LEFT(tblBDD[[#This Row],[N Compte 1]],3))</f>
        <v>615</v>
      </c>
      <c r="E93" t="str">
        <f>VLOOKUP(tblBDD[[#This Row],[N abrégé 1]],tblIntituléCompte[#Data],3,FALSE)</f>
        <v>61 - Services extérieurs</v>
      </c>
      <c r="F93" t="str">
        <f>VLOOKUP(tblBDD[[#This Row],[N abrégé 2]],Tableau5[#Data],3,FALSE)</f>
        <v>615 - Entretien, réparation</v>
      </c>
      <c r="G93">
        <v>4</v>
      </c>
      <c r="H93" t="str">
        <f>VLOOKUP(tblBDD[[#This Row],[N Compte 1]],tblDescriptionCompte[#Data],2,FALSE)</f>
        <v>Entretien et petites réparations plomberie</v>
      </c>
      <c r="I93" t="b">
        <f>COUNT(tblBDD[[#This Row],[B2011]:[B2014]])=7</f>
        <v>0</v>
      </c>
      <c r="J93" s="2"/>
      <c r="K93" s="3"/>
      <c r="L93" s="2"/>
      <c r="M93" s="2">
        <v>75.44</v>
      </c>
      <c r="N93" s="2"/>
      <c r="O93" s="2"/>
      <c r="P93" s="2"/>
      <c r="Q93" s="2"/>
      <c r="R93" s="2"/>
      <c r="S93" s="2">
        <v>149.86000000000001</v>
      </c>
      <c r="T93" s="2"/>
      <c r="U93" s="2"/>
      <c r="V93" s="2"/>
      <c r="W93" s="2"/>
      <c r="X93" s="2"/>
    </row>
    <row r="94" spans="1:24" x14ac:dyDescent="0.25">
      <c r="A94" t="s">
        <v>23</v>
      </c>
      <c r="B94">
        <v>61521100</v>
      </c>
      <c r="C94">
        <f>VALUE(LEFT(tblBDD[[#This Row],[N Compte 1]],2))</f>
        <v>61</v>
      </c>
      <c r="D94">
        <f>VALUE(LEFT(tblBDD[[#This Row],[N Compte 1]],3))</f>
        <v>615</v>
      </c>
      <c r="E94" t="str">
        <f>VLOOKUP(tblBDD[[#This Row],[N abrégé 1]],tblIntituléCompte[#Data],3,FALSE)</f>
        <v>61 - Services extérieurs</v>
      </c>
      <c r="F94" t="str">
        <f>VLOOKUP(tblBDD[[#This Row],[N abrégé 2]],Tableau5[#Data],3,FALSE)</f>
        <v>615 - Entretien, réparation</v>
      </c>
      <c r="G94">
        <v>4</v>
      </c>
      <c r="H94" t="str">
        <f>VLOOKUP(tblBDD[[#This Row],[N Compte 1]],tblDescriptionCompte[#Data],2,FALSE)</f>
        <v>Entretien et petites réparations ventilations</v>
      </c>
      <c r="I94" t="b">
        <f>COUNT(tblBDD[[#This Row],[B2011]:[B2014]])=7</f>
        <v>0</v>
      </c>
      <c r="J94" s="2"/>
      <c r="K94" s="3"/>
      <c r="L94" s="2"/>
      <c r="M94" s="2">
        <v>524.52</v>
      </c>
      <c r="N94" s="2"/>
      <c r="O94" s="2"/>
      <c r="P94" s="2"/>
      <c r="Q94" s="2"/>
      <c r="R94" s="2"/>
      <c r="S94" s="2"/>
      <c r="T94" s="2"/>
      <c r="U94" s="2">
        <v>292.7</v>
      </c>
      <c r="V94" s="2"/>
      <c r="W94" s="2"/>
      <c r="X94" s="2"/>
    </row>
    <row r="95" spans="1:24" x14ac:dyDescent="0.25">
      <c r="A95" t="s">
        <v>23</v>
      </c>
      <c r="B95">
        <v>61521300</v>
      </c>
      <c r="C95">
        <f>VALUE(LEFT(tblBDD[[#This Row],[N Compte 1]],2))</f>
        <v>61</v>
      </c>
      <c r="D95">
        <f>VALUE(LEFT(tblBDD[[#This Row],[N Compte 1]],3))</f>
        <v>615</v>
      </c>
      <c r="E95" t="str">
        <f>VLOOKUP(tblBDD[[#This Row],[N abrégé 1]],tblIntituléCompte[#Data],3,FALSE)</f>
        <v>61 - Services extérieurs</v>
      </c>
      <c r="F95" t="str">
        <f>VLOOKUP(tblBDD[[#This Row],[N abrégé 2]],Tableau5[#Data],3,FALSE)</f>
        <v>615 - Entretien, réparation</v>
      </c>
      <c r="G95">
        <v>4</v>
      </c>
      <c r="H95" t="str">
        <f>VLOOKUP(tblBDD[[#This Row],[N Compte 1]],tblDescriptionCompte[#Data],2,FALSE)</f>
        <v>Entretien et réparations réseau eaux usées</v>
      </c>
      <c r="I95" t="b">
        <f>COUNT(tblBDD[[#This Row],[B2011]:[B2014]])=7</f>
        <v>0</v>
      </c>
      <c r="J95" s="2"/>
      <c r="K95" s="3"/>
      <c r="L95" s="2"/>
      <c r="M95" s="2">
        <v>189.39</v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x14ac:dyDescent="0.25">
      <c r="A96" t="s">
        <v>23</v>
      </c>
      <c r="B96">
        <v>61550100</v>
      </c>
      <c r="C96">
        <f>VALUE(LEFT(tblBDD[[#This Row],[N Compte 1]],2))</f>
        <v>61</v>
      </c>
      <c r="D96">
        <f>VALUE(LEFT(tblBDD[[#This Row],[N Compte 1]],3))</f>
        <v>615</v>
      </c>
      <c r="E96" t="str">
        <f>VLOOKUP(tblBDD[[#This Row],[N abrégé 1]],tblIntituléCompte[#Data],3,FALSE)</f>
        <v>61 - Services extérieurs</v>
      </c>
      <c r="F96" t="str">
        <f>VLOOKUP(tblBDD[[#This Row],[N abrégé 2]],Tableau5[#Data],3,FALSE)</f>
        <v>615 - Entretien, réparation</v>
      </c>
      <c r="G96">
        <v>4</v>
      </c>
      <c r="H96" t="str">
        <f>VLOOKUP(tblBDD[[#This Row],[N Compte 1]],tblDescriptionCompte[#Data],2,FALSE)</f>
        <v>Entretien et petites réparations matériel</v>
      </c>
      <c r="I96" t="b">
        <f>COUNT(tblBDD[[#This Row],[B2011]:[B2014]])=7</f>
        <v>0</v>
      </c>
      <c r="J96" s="2">
        <v>300</v>
      </c>
      <c r="K96" s="3"/>
      <c r="L96" s="2">
        <v>300</v>
      </c>
      <c r="M96" s="2"/>
      <c r="N96" s="2">
        <v>300</v>
      </c>
      <c r="O96" s="2"/>
      <c r="P96" s="2">
        <v>310</v>
      </c>
      <c r="Q96" s="2"/>
      <c r="R96" s="2">
        <v>550</v>
      </c>
      <c r="S96" s="2"/>
      <c r="T96" s="2">
        <v>550</v>
      </c>
      <c r="U96" s="2">
        <f>197.82+353.1</f>
        <v>550.92000000000007</v>
      </c>
      <c r="V96" s="2">
        <v>550</v>
      </c>
      <c r="W96" s="2">
        <v>550</v>
      </c>
      <c r="X96" s="2">
        <v>550</v>
      </c>
    </row>
    <row r="97" spans="1:24" x14ac:dyDescent="0.25">
      <c r="A97" t="s">
        <v>23</v>
      </c>
      <c r="B97">
        <v>60210000</v>
      </c>
      <c r="C97">
        <f>VALUE(LEFT(tblBDD[[#This Row],[N Compte 1]],2))</f>
        <v>60</v>
      </c>
      <c r="D97">
        <f>VALUE(LEFT(tblBDD[[#This Row],[N Compte 1]],3))</f>
        <v>602</v>
      </c>
      <c r="E97" t="str">
        <f>VLOOKUP(tblBDD[[#This Row],[N abrégé 1]],tblIntituléCompte[#Data],3,FALSE)</f>
        <v>60 - Achats fournitures</v>
      </c>
      <c r="F97" t="str">
        <f>VLOOKUP(tblBDD[[#This Row],[N abrégé 2]],Tableau5[#Data],3,FALSE)</f>
        <v>602 - Electricité</v>
      </c>
      <c r="G97">
        <v>5</v>
      </c>
      <c r="H97" t="str">
        <f>VLOOKUP(tblBDD[[#This Row],[N Compte 1]],tblDescriptionCompte[#Data],2,FALSE)</f>
        <v>Electricité</v>
      </c>
      <c r="I97" t="b">
        <f>COUNT(tblBDD[[#This Row],[B2011]:[B2014]])=7</f>
        <v>1</v>
      </c>
      <c r="J97" s="2">
        <v>460</v>
      </c>
      <c r="K97" s="3">
        <v>430</v>
      </c>
      <c r="L97" s="2">
        <v>460</v>
      </c>
      <c r="M97" s="2">
        <v>1223.08</v>
      </c>
      <c r="N97" s="2">
        <v>460</v>
      </c>
      <c r="O97" s="2">
        <v>460</v>
      </c>
      <c r="P97" s="2">
        <v>480</v>
      </c>
      <c r="Q97" s="2">
        <v>460</v>
      </c>
      <c r="R97" s="2">
        <v>480</v>
      </c>
      <c r="S97" s="2">
        <v>536.16</v>
      </c>
      <c r="T97" s="2">
        <v>480</v>
      </c>
      <c r="U97" s="2">
        <v>724.55</v>
      </c>
      <c r="V97" s="2">
        <v>480</v>
      </c>
      <c r="W97" s="2">
        <v>750</v>
      </c>
      <c r="X97" s="2">
        <v>750</v>
      </c>
    </row>
    <row r="98" spans="1:24" x14ac:dyDescent="0.25">
      <c r="A98" t="s">
        <v>23</v>
      </c>
      <c r="B98">
        <v>61521100</v>
      </c>
      <c r="C98">
        <f>VALUE(LEFT(tblBDD[[#This Row],[N Compte 1]],2))</f>
        <v>61</v>
      </c>
      <c r="D98">
        <f>VALUE(LEFT(tblBDD[[#This Row],[N Compte 1]],3))</f>
        <v>615</v>
      </c>
      <c r="E98" t="str">
        <f>VLOOKUP(tblBDD[[#This Row],[N abrégé 1]],tblIntituléCompte[#Data],3,FALSE)</f>
        <v>61 - Services extérieurs</v>
      </c>
      <c r="F98" t="str">
        <f>VLOOKUP(tblBDD[[#This Row],[N abrégé 2]],Tableau5[#Data],3,FALSE)</f>
        <v>615 - Entretien, réparation</v>
      </c>
      <c r="G98">
        <v>5</v>
      </c>
      <c r="H98" t="str">
        <f>VLOOKUP(tblBDD[[#This Row],[N Compte 1]],tblDescriptionCompte[#Data],2,FALSE)</f>
        <v>Entretien et petites réparations ventilations</v>
      </c>
      <c r="I98" t="b">
        <f>COUNT(tblBDD[[#This Row],[B2011]:[B2014]])=7</f>
        <v>0</v>
      </c>
      <c r="J98" s="2"/>
      <c r="K98" s="3"/>
      <c r="L98" s="2"/>
      <c r="M98" s="2"/>
      <c r="N98" s="2"/>
      <c r="O98" s="2"/>
      <c r="P98" s="2"/>
      <c r="Q98" s="2"/>
      <c r="R98" s="2"/>
      <c r="S98" s="2">
        <v>102.51</v>
      </c>
      <c r="T98" s="2"/>
      <c r="U98" s="2"/>
      <c r="V98" s="2"/>
      <c r="W98" s="2"/>
      <c r="X98" s="2"/>
    </row>
    <row r="99" spans="1:24" x14ac:dyDescent="0.25">
      <c r="A99" t="s">
        <v>23</v>
      </c>
      <c r="B99">
        <v>61520300</v>
      </c>
      <c r="C99">
        <f>VALUE(LEFT(tblBDD[[#This Row],[N Compte 1]],2))</f>
        <v>61</v>
      </c>
      <c r="D99">
        <f>VALUE(LEFT(tblBDD[[#This Row],[N Compte 1]],3))</f>
        <v>615</v>
      </c>
      <c r="E99" t="str">
        <f>VLOOKUP(tblBDD[[#This Row],[N abrégé 1]],tblIntituléCompte[#Data],3,FALSE)</f>
        <v>61 - Services extérieurs</v>
      </c>
      <c r="F99" t="str">
        <f>VLOOKUP(tblBDD[[#This Row],[N abrégé 2]],Tableau5[#Data],3,FALSE)</f>
        <v>615 - Entretien, réparation</v>
      </c>
      <c r="G99">
        <v>5</v>
      </c>
      <c r="H99" t="str">
        <f>VLOOKUP(tblBDD[[#This Row],[N Compte 1]],tblDescriptionCompte[#Data],2,FALSE)</f>
        <v>Entretien et petites réparations électricité</v>
      </c>
      <c r="I99" t="b">
        <f>COUNT(tblBDD[[#This Row],[B2011]:[B2014]])=7</f>
        <v>0</v>
      </c>
      <c r="J99" s="2"/>
      <c r="K99" s="3"/>
      <c r="L99" s="2"/>
      <c r="M99" s="2"/>
      <c r="N99" s="2"/>
      <c r="O99" s="2">
        <v>498.19</v>
      </c>
      <c r="P99" s="2"/>
      <c r="Q99" s="2"/>
      <c r="R99" s="2"/>
      <c r="S99" s="2"/>
      <c r="T99" s="2"/>
      <c r="U99" s="2"/>
      <c r="V99" s="2"/>
      <c r="W99" s="2"/>
      <c r="X99" s="2"/>
    </row>
    <row r="100" spans="1:24" x14ac:dyDescent="0.25">
      <c r="A100" t="s">
        <v>23</v>
      </c>
      <c r="B100">
        <v>61520400</v>
      </c>
      <c r="C100">
        <f>VALUE(LEFT(tblBDD[[#This Row],[N Compte 1]],2))</f>
        <v>61</v>
      </c>
      <c r="D100">
        <f>VALUE(LEFT(tblBDD[[#This Row],[N Compte 1]],3))</f>
        <v>615</v>
      </c>
      <c r="E100" t="str">
        <f>VLOOKUP(tblBDD[[#This Row],[N abrégé 1]],tblIntituléCompte[#Data],3,FALSE)</f>
        <v>61 - Services extérieurs</v>
      </c>
      <c r="F100" t="str">
        <f>VLOOKUP(tblBDD[[#This Row],[N abrégé 2]],Tableau5[#Data],3,FALSE)</f>
        <v>615 - Entretien, réparation</v>
      </c>
      <c r="G100">
        <v>5</v>
      </c>
      <c r="H100" t="str">
        <f>VLOOKUP(tblBDD[[#This Row],[N Compte 1]],tblDescriptionCompte[#Data],2,FALSE)</f>
        <v>Entretien et petites réparations plomberie</v>
      </c>
      <c r="I100" t="b">
        <f>COUNT(tblBDD[[#This Row],[B2011]:[B2014]])=7</f>
        <v>0</v>
      </c>
      <c r="J100" s="2"/>
      <c r="K100" s="3"/>
      <c r="L100" s="2"/>
      <c r="M100" s="2"/>
      <c r="N100" s="2"/>
      <c r="O100" s="2">
        <v>760.77</v>
      </c>
      <c r="P100" s="2"/>
      <c r="Q100" s="2"/>
      <c r="R100" s="2"/>
      <c r="S100" s="2"/>
      <c r="T100" s="2"/>
      <c r="U100" s="2">
        <v>427.57</v>
      </c>
      <c r="V100" s="2"/>
      <c r="W100" s="2"/>
      <c r="X100" s="2"/>
    </row>
    <row r="101" spans="1:24" x14ac:dyDescent="0.25">
      <c r="A101" t="s">
        <v>23</v>
      </c>
      <c r="B101">
        <v>61520800</v>
      </c>
      <c r="C101">
        <f>VALUE(LEFT(tblBDD[[#This Row],[N Compte 1]],2))</f>
        <v>61</v>
      </c>
      <c r="D101">
        <f>VALUE(LEFT(tblBDD[[#This Row],[N Compte 1]],3))</f>
        <v>615</v>
      </c>
      <c r="E101" t="str">
        <f>VLOOKUP(tblBDD[[#This Row],[N abrégé 1]],tblIntituléCompte[#Data],3,FALSE)</f>
        <v>61 - Services extérieurs</v>
      </c>
      <c r="F101" t="str">
        <f>VLOOKUP(tblBDD[[#This Row],[N abrégé 2]],Tableau5[#Data],3,FALSE)</f>
        <v>615 - Entretien, réparation</v>
      </c>
      <c r="G101">
        <v>5</v>
      </c>
      <c r="H101" t="str">
        <f>VLOOKUP(tblBDD[[#This Row],[N Compte 1]],tblDescriptionCompte[#Data],2,FALSE)</f>
        <v>Entretien et petites réparations portes et serrures</v>
      </c>
      <c r="I101" t="b">
        <f>COUNT(tblBDD[[#This Row],[B2011]:[B2014]])=7</f>
        <v>0</v>
      </c>
      <c r="J101" s="2"/>
      <c r="K101" s="3">
        <v>104.51</v>
      </c>
      <c r="L101" s="2"/>
      <c r="M101" s="2">
        <v>225.34</v>
      </c>
      <c r="N101" s="2"/>
      <c r="O101" s="2">
        <v>283.44</v>
      </c>
      <c r="P101" s="2"/>
      <c r="Q101" s="2"/>
      <c r="R101" s="2"/>
      <c r="S101" s="2"/>
      <c r="T101" s="2"/>
      <c r="U101" s="2"/>
      <c r="V101" s="2"/>
      <c r="W101" s="2"/>
      <c r="X101" s="2"/>
    </row>
    <row r="102" spans="1:24" x14ac:dyDescent="0.25">
      <c r="A102" t="s">
        <v>23</v>
      </c>
      <c r="B102">
        <v>61550100</v>
      </c>
      <c r="C102">
        <f>VALUE(LEFT(tblBDD[[#This Row],[N Compte 1]],2))</f>
        <v>61</v>
      </c>
      <c r="D102">
        <f>VALUE(LEFT(tblBDD[[#This Row],[N Compte 1]],3))</f>
        <v>615</v>
      </c>
      <c r="E102" t="str">
        <f>VLOOKUP(tblBDD[[#This Row],[N abrégé 1]],tblIntituléCompte[#Data],3,FALSE)</f>
        <v>61 - Services extérieurs</v>
      </c>
      <c r="F102" t="str">
        <f>VLOOKUP(tblBDD[[#This Row],[N abrégé 2]],Tableau5[#Data],3,FALSE)</f>
        <v>615 - Entretien, réparation</v>
      </c>
      <c r="G102">
        <v>5</v>
      </c>
      <c r="H102" t="str">
        <f>VLOOKUP(tblBDD[[#This Row],[N Compte 1]],tblDescriptionCompte[#Data],2,FALSE)</f>
        <v>Entretien et petites réparations matériel</v>
      </c>
      <c r="I102" t="b">
        <f>COUNT(tblBDD[[#This Row],[B2011]:[B2014]])=7</f>
        <v>0</v>
      </c>
      <c r="J102" s="2">
        <v>300</v>
      </c>
      <c r="K102" s="3"/>
      <c r="L102" s="2">
        <v>300</v>
      </c>
      <c r="M102" s="2"/>
      <c r="N102" s="2">
        <v>300</v>
      </c>
      <c r="O102" s="2"/>
      <c r="P102" s="2">
        <v>310</v>
      </c>
      <c r="Q102" s="2"/>
      <c r="R102" s="2">
        <v>550</v>
      </c>
      <c r="S102" s="2"/>
      <c r="T102" s="2">
        <v>550</v>
      </c>
      <c r="U102" s="2"/>
      <c r="V102" s="2">
        <v>550</v>
      </c>
      <c r="W102" s="2">
        <v>550</v>
      </c>
      <c r="X102" s="2">
        <v>550</v>
      </c>
    </row>
    <row r="103" spans="1:24" x14ac:dyDescent="0.25">
      <c r="A103" t="s">
        <v>23</v>
      </c>
      <c r="B103">
        <v>60210000</v>
      </c>
      <c r="C103">
        <f>VALUE(LEFT(tblBDD[[#This Row],[N Compte 1]],2))</f>
        <v>60</v>
      </c>
      <c r="D103">
        <f>VALUE(LEFT(tblBDD[[#This Row],[N Compte 1]],3))</f>
        <v>602</v>
      </c>
      <c r="E103" t="str">
        <f>VLOOKUP(tblBDD[[#This Row],[N abrégé 1]],tblIntituléCompte[#Data],3,FALSE)</f>
        <v>60 - Achats fournitures</v>
      </c>
      <c r="F103" t="str">
        <f>VLOOKUP(tblBDD[[#This Row],[N abrégé 2]],Tableau5[#Data],3,FALSE)</f>
        <v>602 - Electricité</v>
      </c>
      <c r="G103">
        <v>6</v>
      </c>
      <c r="H103" t="str">
        <f>VLOOKUP(tblBDD[[#This Row],[N Compte 1]],tblDescriptionCompte[#Data],2,FALSE)</f>
        <v>Electricité</v>
      </c>
      <c r="I103" t="b">
        <f>COUNT(tblBDD[[#This Row],[B2011]:[B2014]])=7</f>
        <v>1</v>
      </c>
      <c r="J103" s="2">
        <v>460</v>
      </c>
      <c r="K103" s="3">
        <v>425.25</v>
      </c>
      <c r="L103" s="2">
        <v>480</v>
      </c>
      <c r="M103" s="2">
        <v>486.97</v>
      </c>
      <c r="N103" s="2">
        <v>480</v>
      </c>
      <c r="O103" s="2">
        <v>512.44000000000005</v>
      </c>
      <c r="P103" s="2">
        <v>500</v>
      </c>
      <c r="Q103" s="2">
        <v>562.59</v>
      </c>
      <c r="R103" s="2">
        <v>600</v>
      </c>
      <c r="S103" s="2">
        <v>602.41</v>
      </c>
      <c r="T103" s="2">
        <v>600</v>
      </c>
      <c r="U103" s="2">
        <v>631.04999999999995</v>
      </c>
      <c r="V103" s="2">
        <v>600</v>
      </c>
      <c r="W103" s="2">
        <v>645</v>
      </c>
      <c r="X103" s="2">
        <v>645</v>
      </c>
    </row>
    <row r="104" spans="1:24" x14ac:dyDescent="0.25">
      <c r="A104" t="s">
        <v>23</v>
      </c>
      <c r="B104">
        <v>61521100</v>
      </c>
      <c r="C104">
        <f>VALUE(LEFT(tblBDD[[#This Row],[N Compte 1]],2))</f>
        <v>61</v>
      </c>
      <c r="D104">
        <f>VALUE(LEFT(tblBDD[[#This Row],[N Compte 1]],3))</f>
        <v>615</v>
      </c>
      <c r="E104" t="str">
        <f>VLOOKUP(tblBDD[[#This Row],[N abrégé 1]],tblIntituléCompte[#Data],3,FALSE)</f>
        <v>61 - Services extérieurs</v>
      </c>
      <c r="F104" t="str">
        <f>VLOOKUP(tblBDD[[#This Row],[N abrégé 2]],Tableau5[#Data],3,FALSE)</f>
        <v>615 - Entretien, réparation</v>
      </c>
      <c r="G104">
        <v>6</v>
      </c>
      <c r="H104" t="str">
        <f>VLOOKUP(tblBDD[[#This Row],[N Compte 1]],tblDescriptionCompte[#Data],2,FALSE)</f>
        <v>Entretien et petites réparations ventilations</v>
      </c>
      <c r="I104" t="b">
        <f>COUNT(tblBDD[[#This Row],[B2011]:[B2014]])=7</f>
        <v>0</v>
      </c>
      <c r="J104" s="2"/>
      <c r="K104" s="3"/>
      <c r="L104" s="2"/>
      <c r="M104" s="2"/>
      <c r="N104" s="2"/>
      <c r="O104" s="2"/>
      <c r="P104" s="2"/>
      <c r="Q104" s="2"/>
      <c r="R104" s="2"/>
      <c r="S104" s="2"/>
      <c r="T104" s="2"/>
      <c r="U104" s="2">
        <v>34.81</v>
      </c>
      <c r="V104" s="2"/>
      <c r="W104" s="2"/>
      <c r="X104" s="2"/>
    </row>
    <row r="105" spans="1:24" x14ac:dyDescent="0.25">
      <c r="A105" t="s">
        <v>23</v>
      </c>
      <c r="B105">
        <v>61520300</v>
      </c>
      <c r="C105">
        <f>VALUE(LEFT(tblBDD[[#This Row],[N Compte 1]],2))</f>
        <v>61</v>
      </c>
      <c r="D105">
        <f>VALUE(LEFT(tblBDD[[#This Row],[N Compte 1]],3))</f>
        <v>615</v>
      </c>
      <c r="E105" t="str">
        <f>VLOOKUP(tblBDD[[#This Row],[N abrégé 1]],tblIntituléCompte[#Data],3,FALSE)</f>
        <v>61 - Services extérieurs</v>
      </c>
      <c r="F105" t="str">
        <f>VLOOKUP(tblBDD[[#This Row],[N abrégé 2]],Tableau5[#Data],3,FALSE)</f>
        <v>615 - Entretien, réparation</v>
      </c>
      <c r="G105">
        <v>6</v>
      </c>
      <c r="H105" t="str">
        <f>VLOOKUP(tblBDD[[#This Row],[N Compte 1]],tblDescriptionCompte[#Data],2,FALSE)</f>
        <v>Entretien et petites réparations électricité</v>
      </c>
      <c r="I105" t="b">
        <f>COUNT(tblBDD[[#This Row],[B2011]:[B2014]])=7</f>
        <v>0</v>
      </c>
      <c r="J105" s="2"/>
      <c r="K105" s="3"/>
      <c r="L105" s="2"/>
      <c r="M105" s="2">
        <v>286.95999999999998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x14ac:dyDescent="0.25">
      <c r="A106" t="s">
        <v>23</v>
      </c>
      <c r="B106">
        <v>61520800</v>
      </c>
      <c r="C106">
        <f>VALUE(LEFT(tblBDD[[#This Row],[N Compte 1]],2))</f>
        <v>61</v>
      </c>
      <c r="D106">
        <f>VALUE(LEFT(tblBDD[[#This Row],[N Compte 1]],3))</f>
        <v>615</v>
      </c>
      <c r="E106" t="str">
        <f>VLOOKUP(tblBDD[[#This Row],[N abrégé 1]],tblIntituléCompte[#Data],3,FALSE)</f>
        <v>61 - Services extérieurs</v>
      </c>
      <c r="F106" t="str">
        <f>VLOOKUP(tblBDD[[#This Row],[N abrégé 2]],Tableau5[#Data],3,FALSE)</f>
        <v>615 - Entretien, réparation</v>
      </c>
      <c r="G106">
        <v>6</v>
      </c>
      <c r="H106" t="str">
        <f>VLOOKUP(tblBDD[[#This Row],[N Compte 1]],tblDescriptionCompte[#Data],2,FALSE)</f>
        <v>Entretien et petites réparations portes et serrures</v>
      </c>
      <c r="I106" t="b">
        <f>COUNT(tblBDD[[#This Row],[B2011]:[B2014]])=7</f>
        <v>0</v>
      </c>
      <c r="J106" s="2"/>
      <c r="K106" s="3">
        <v>1529.68</v>
      </c>
      <c r="L106" s="2"/>
      <c r="M106" s="2">
        <v>226.73</v>
      </c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x14ac:dyDescent="0.25">
      <c r="A107" t="s">
        <v>23</v>
      </c>
      <c r="B107">
        <v>61550100</v>
      </c>
      <c r="C107">
        <f>VALUE(LEFT(tblBDD[[#This Row],[N Compte 1]],2))</f>
        <v>61</v>
      </c>
      <c r="D107">
        <f>VALUE(LEFT(tblBDD[[#This Row],[N Compte 1]],3))</f>
        <v>615</v>
      </c>
      <c r="E107" t="str">
        <f>VLOOKUP(tblBDD[[#This Row],[N abrégé 1]],tblIntituléCompte[#Data],3,FALSE)</f>
        <v>61 - Services extérieurs</v>
      </c>
      <c r="F107" t="str">
        <f>VLOOKUP(tblBDD[[#This Row],[N abrégé 2]],Tableau5[#Data],3,FALSE)</f>
        <v>615 - Entretien, réparation</v>
      </c>
      <c r="G107">
        <v>6</v>
      </c>
      <c r="H107" t="str">
        <f>VLOOKUP(tblBDD[[#This Row],[N Compte 1]],tblDescriptionCompte[#Data],2,FALSE)</f>
        <v>Entretien et petites réparations matériel</v>
      </c>
      <c r="I107" t="b">
        <f>COUNT(tblBDD[[#This Row],[B2011]:[B2014]])=7</f>
        <v>0</v>
      </c>
      <c r="J107" s="2">
        <v>300</v>
      </c>
      <c r="K107" s="3"/>
      <c r="L107" s="2">
        <v>300</v>
      </c>
      <c r="M107" s="2"/>
      <c r="N107" s="2">
        <v>300</v>
      </c>
      <c r="O107" s="2"/>
      <c r="P107" s="2">
        <v>310</v>
      </c>
      <c r="Q107" s="2"/>
      <c r="R107" s="2">
        <v>550</v>
      </c>
      <c r="S107" s="2"/>
      <c r="T107" s="2">
        <v>550</v>
      </c>
      <c r="U107" s="2"/>
      <c r="V107" s="2">
        <v>550</v>
      </c>
      <c r="W107" s="2">
        <v>550</v>
      </c>
      <c r="X107" s="2">
        <v>550</v>
      </c>
    </row>
    <row r="108" spans="1:24" x14ac:dyDescent="0.25">
      <c r="A108" t="s">
        <v>23</v>
      </c>
      <c r="B108">
        <v>60210000</v>
      </c>
      <c r="C108">
        <f>VALUE(LEFT(tblBDD[[#This Row],[N Compte 1]],2))</f>
        <v>60</v>
      </c>
      <c r="D108">
        <f>VALUE(LEFT(tblBDD[[#This Row],[N Compte 1]],3))</f>
        <v>602</v>
      </c>
      <c r="E108" t="str">
        <f>VLOOKUP(tblBDD[[#This Row],[N abrégé 1]],tblIntituléCompte[#Data],3,FALSE)</f>
        <v>60 - Achats fournitures</v>
      </c>
      <c r="F108" t="str">
        <f>VLOOKUP(tblBDD[[#This Row],[N abrégé 2]],Tableau5[#Data],3,FALSE)</f>
        <v>602 - Electricité</v>
      </c>
      <c r="G108">
        <v>7</v>
      </c>
      <c r="H108" t="str">
        <f>VLOOKUP(tblBDD[[#This Row],[N Compte 1]],tblDescriptionCompte[#Data],2,FALSE)</f>
        <v>Electricité</v>
      </c>
      <c r="I108" t="b">
        <f>COUNT(tblBDD[[#This Row],[B2011]:[B2014]])=7</f>
        <v>1</v>
      </c>
      <c r="J108" s="2">
        <v>470</v>
      </c>
      <c r="K108" s="3">
        <v>410.96</v>
      </c>
      <c r="L108" s="2">
        <v>550</v>
      </c>
      <c r="M108" s="2">
        <v>554.86</v>
      </c>
      <c r="N108" s="2">
        <v>550</v>
      </c>
      <c r="O108" s="2">
        <v>620.04</v>
      </c>
      <c r="P108" s="2">
        <v>570</v>
      </c>
      <c r="Q108" s="2">
        <v>642.08000000000004</v>
      </c>
      <c r="R108" s="2">
        <v>800</v>
      </c>
      <c r="S108" s="2">
        <v>746.33</v>
      </c>
      <c r="T108" s="2">
        <v>800</v>
      </c>
      <c r="U108" s="2">
        <v>680.83</v>
      </c>
      <c r="V108" s="2">
        <v>800</v>
      </c>
      <c r="W108" s="2">
        <v>695</v>
      </c>
      <c r="X108" s="2">
        <v>695</v>
      </c>
    </row>
    <row r="109" spans="1:24" x14ac:dyDescent="0.25">
      <c r="A109" t="s">
        <v>23</v>
      </c>
      <c r="B109">
        <v>61520200</v>
      </c>
      <c r="C109">
        <f>VALUE(LEFT(tblBDD[[#This Row],[N Compte 1]],2))</f>
        <v>61</v>
      </c>
      <c r="D109">
        <f>VALUE(LEFT(tblBDD[[#This Row],[N Compte 1]],3))</f>
        <v>615</v>
      </c>
      <c r="E109" t="str">
        <f>VLOOKUP(tblBDD[[#This Row],[N abrégé 1]],tblIntituléCompte[#Data],3,FALSE)</f>
        <v>61 - Services extérieurs</v>
      </c>
      <c r="F109" t="str">
        <f>VLOOKUP(tblBDD[[#This Row],[N abrégé 2]],Tableau5[#Data],3,FALSE)</f>
        <v>615 - Entretien, réparation</v>
      </c>
      <c r="G109">
        <v>7</v>
      </c>
      <c r="H109" t="str">
        <f>VLOOKUP(tblBDD[[#This Row],[N Compte 1]],tblDescriptionCompte[#Data],2,FALSE)</f>
        <v>Entretien et petites réparations vide ordure</v>
      </c>
      <c r="I109" t="b">
        <f>COUNT(tblBDD[[#This Row],[B2011]:[B2014]])=7</f>
        <v>0</v>
      </c>
      <c r="J109" s="2"/>
      <c r="K109" s="3">
        <v>260.8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x14ac:dyDescent="0.25">
      <c r="A110" t="s">
        <v>23</v>
      </c>
      <c r="B110">
        <v>60410000</v>
      </c>
      <c r="C110">
        <f>VALUE(LEFT(tblBDD[[#This Row],[N Compte 1]],2))</f>
        <v>60</v>
      </c>
      <c r="D110">
        <f>VALUE(LEFT(tblBDD[[#This Row],[N Compte 1]],3))</f>
        <v>604</v>
      </c>
      <c r="E110" t="str">
        <f>VLOOKUP(tblBDD[[#This Row],[N abrégé 1]],tblIntituléCompte[#Data],3,FALSE)</f>
        <v>60 - Achats fournitures</v>
      </c>
      <c r="F110" t="str">
        <f>VLOOKUP(tblBDD[[#This Row],[N abrégé 2]],Tableau5[#Data],3,FALSE)</f>
        <v>604 - Produits d'entretien et petit équipement</v>
      </c>
      <c r="G110">
        <v>7</v>
      </c>
      <c r="H110" t="str">
        <f>VLOOKUP(tblBDD[[#This Row],[N Compte 1]],tblDescriptionCompte[#Data],2,FALSE)</f>
        <v>Produits d'entretien et petit équipement</v>
      </c>
      <c r="I110" t="b">
        <f>COUNT(tblBDD[[#This Row],[B2011]:[B2014]])=7</f>
        <v>0</v>
      </c>
      <c r="J110" s="2"/>
      <c r="K110" s="3"/>
      <c r="L110" s="2"/>
      <c r="M110" s="2"/>
      <c r="N110" s="2"/>
      <c r="O110" s="2">
        <v>55.24</v>
      </c>
      <c r="P110" s="2"/>
      <c r="Q110" s="2"/>
      <c r="R110" s="2"/>
      <c r="S110" s="2">
        <v>19.899999999999999</v>
      </c>
      <c r="T110" s="2"/>
      <c r="U110" s="2"/>
      <c r="V110" s="2"/>
      <c r="W110" s="2"/>
      <c r="X110" s="2"/>
    </row>
    <row r="111" spans="1:24" x14ac:dyDescent="0.25">
      <c r="A111" t="s">
        <v>23</v>
      </c>
      <c r="B111">
        <v>61520400</v>
      </c>
      <c r="C111">
        <f>VALUE(LEFT(tblBDD[[#This Row],[N Compte 1]],2))</f>
        <v>61</v>
      </c>
      <c r="D111">
        <f>VALUE(LEFT(tblBDD[[#This Row],[N Compte 1]],3))</f>
        <v>615</v>
      </c>
      <c r="E111" t="str">
        <f>VLOOKUP(tblBDD[[#This Row],[N abrégé 1]],tblIntituléCompte[#Data],3,FALSE)</f>
        <v>61 - Services extérieurs</v>
      </c>
      <c r="F111" t="str">
        <f>VLOOKUP(tblBDD[[#This Row],[N abrégé 2]],Tableau5[#Data],3,FALSE)</f>
        <v>615 - Entretien, réparation</v>
      </c>
      <c r="G111">
        <v>7</v>
      </c>
      <c r="H111" t="str">
        <f>VLOOKUP(tblBDD[[#This Row],[N Compte 1]],tblDescriptionCompte[#Data],2,FALSE)</f>
        <v>Entretien et petites réparations plomberie</v>
      </c>
      <c r="I111" t="b">
        <f>COUNT(tblBDD[[#This Row],[B2011]:[B2014]])=7</f>
        <v>0</v>
      </c>
      <c r="J111" s="2"/>
      <c r="K111" s="3">
        <v>1623.65</v>
      </c>
      <c r="L111" s="2"/>
      <c r="M111" s="2"/>
      <c r="N111" s="2"/>
      <c r="O111" s="2"/>
      <c r="P111" s="2"/>
      <c r="Q111" s="2"/>
      <c r="R111" s="2"/>
      <c r="S111" s="2"/>
      <c r="T111" s="2"/>
      <c r="U111" s="2">
        <v>139.69999999999999</v>
      </c>
      <c r="V111" s="2"/>
      <c r="W111" s="2"/>
      <c r="X111" s="2"/>
    </row>
    <row r="112" spans="1:24" x14ac:dyDescent="0.25">
      <c r="A112" t="s">
        <v>23</v>
      </c>
      <c r="B112">
        <v>61520800</v>
      </c>
      <c r="C112">
        <f>VALUE(LEFT(tblBDD[[#This Row],[N Compte 1]],2))</f>
        <v>61</v>
      </c>
      <c r="D112">
        <f>VALUE(LEFT(tblBDD[[#This Row],[N Compte 1]],3))</f>
        <v>615</v>
      </c>
      <c r="E112" t="str">
        <f>VLOOKUP(tblBDD[[#This Row],[N abrégé 1]],tblIntituléCompte[#Data],3,FALSE)</f>
        <v>61 - Services extérieurs</v>
      </c>
      <c r="F112" t="str">
        <f>VLOOKUP(tblBDD[[#This Row],[N abrégé 2]],Tableau5[#Data],3,FALSE)</f>
        <v>615 - Entretien, réparation</v>
      </c>
      <c r="G112">
        <v>7</v>
      </c>
      <c r="H112" t="str">
        <f>VLOOKUP(tblBDD[[#This Row],[N Compte 1]],tblDescriptionCompte[#Data],2,FALSE)</f>
        <v>Entretien et petites réparations portes et serrures</v>
      </c>
      <c r="I112" t="b">
        <f>COUNT(tblBDD[[#This Row],[B2011]:[B2014]])=7</f>
        <v>0</v>
      </c>
      <c r="J112" s="2"/>
      <c r="K112" s="3"/>
      <c r="L112" s="2"/>
      <c r="M112" s="2">
        <v>400.39</v>
      </c>
      <c r="N112" s="2"/>
      <c r="O112" s="2">
        <v>263.01</v>
      </c>
      <c r="P112" s="2"/>
      <c r="Q112" s="2">
        <v>255.09</v>
      </c>
      <c r="R112" s="2"/>
      <c r="S112" s="2">
        <v>637.78</v>
      </c>
      <c r="T112" s="2"/>
      <c r="U112" s="2">
        <f>736.37+250.8</f>
        <v>987.17000000000007</v>
      </c>
      <c r="V112" s="2"/>
      <c r="W112" s="2"/>
      <c r="X112" s="2"/>
    </row>
    <row r="113" spans="1:24" x14ac:dyDescent="0.25">
      <c r="A113" t="s">
        <v>23</v>
      </c>
      <c r="B113">
        <v>61550100</v>
      </c>
      <c r="C113">
        <f>VALUE(LEFT(tblBDD[[#This Row],[N Compte 1]],2))</f>
        <v>61</v>
      </c>
      <c r="D113">
        <f>VALUE(LEFT(tblBDD[[#This Row],[N Compte 1]],3))</f>
        <v>615</v>
      </c>
      <c r="E113" t="str">
        <f>VLOOKUP(tblBDD[[#This Row],[N abrégé 1]],tblIntituléCompte[#Data],3,FALSE)</f>
        <v>61 - Services extérieurs</v>
      </c>
      <c r="F113" t="str">
        <f>VLOOKUP(tblBDD[[#This Row],[N abrégé 2]],Tableau5[#Data],3,FALSE)</f>
        <v>615 - Entretien, réparation</v>
      </c>
      <c r="G113">
        <v>7</v>
      </c>
      <c r="H113" t="str">
        <f>VLOOKUP(tblBDD[[#This Row],[N Compte 1]],tblDescriptionCompte[#Data],2,FALSE)</f>
        <v>Entretien et petites réparations matériel</v>
      </c>
      <c r="I113" t="b">
        <f>COUNT(tblBDD[[#This Row],[B2011]:[B2014]])=7</f>
        <v>0</v>
      </c>
      <c r="J113" s="2">
        <v>300</v>
      </c>
      <c r="K113" s="3"/>
      <c r="L113" s="2">
        <v>300</v>
      </c>
      <c r="M113" s="2"/>
      <c r="N113" s="2">
        <v>300</v>
      </c>
      <c r="O113" s="2"/>
      <c r="P113" s="2">
        <v>310</v>
      </c>
      <c r="Q113" s="2"/>
      <c r="R113" s="2">
        <v>550</v>
      </c>
      <c r="S113" s="2"/>
      <c r="T113" s="2">
        <v>550</v>
      </c>
      <c r="U113" s="2"/>
      <c r="V113" s="2">
        <v>550</v>
      </c>
      <c r="W113" s="2">
        <v>550</v>
      </c>
      <c r="X113" s="2">
        <v>550</v>
      </c>
    </row>
    <row r="114" spans="1:24" x14ac:dyDescent="0.25">
      <c r="A114" t="s">
        <v>23</v>
      </c>
      <c r="B114">
        <v>61520300</v>
      </c>
      <c r="C114">
        <f>VALUE(LEFT(tblBDD[[#This Row],[N Compte 1]],2))</f>
        <v>61</v>
      </c>
      <c r="D114">
        <f>VALUE(LEFT(tblBDD[[#This Row],[N Compte 1]],3))</f>
        <v>615</v>
      </c>
      <c r="E114" t="str">
        <f>VLOOKUP(tblBDD[[#This Row],[N abrégé 1]],tblIntituléCompte[#Data],3,FALSE)</f>
        <v>61 - Services extérieurs</v>
      </c>
      <c r="F114" t="str">
        <f>VLOOKUP(tblBDD[[#This Row],[N abrégé 2]],Tableau5[#Data],3,FALSE)</f>
        <v>615 - Entretien, réparation</v>
      </c>
      <c r="G114">
        <v>7</v>
      </c>
      <c r="H114" t="str">
        <f>VLOOKUP(tblBDD[[#This Row],[N Compte 1]],tblDescriptionCompte[#Data],2,FALSE)</f>
        <v>Entretien et petites réparations électricité</v>
      </c>
      <c r="I114" t="b">
        <f>COUNT(tblBDD[[#This Row],[B2011]:[B2014]])=7</f>
        <v>0</v>
      </c>
      <c r="J114" s="2"/>
      <c r="K114" s="3"/>
      <c r="L114" s="2"/>
      <c r="M114" s="2"/>
      <c r="N114" s="2"/>
      <c r="O114" s="2"/>
      <c r="P114" s="2"/>
      <c r="Q114" s="2"/>
      <c r="R114" s="2"/>
      <c r="S114" s="2">
        <v>652.29999999999995</v>
      </c>
      <c r="T114" s="2"/>
      <c r="U114" s="2"/>
      <c r="V114" s="2"/>
      <c r="W114" s="2"/>
      <c r="X114" s="2"/>
    </row>
    <row r="115" spans="1:24" x14ac:dyDescent="0.25">
      <c r="A115" t="s">
        <v>23</v>
      </c>
      <c r="B115">
        <v>62211000</v>
      </c>
      <c r="C115">
        <f>VALUE(LEFT(tblBDD[[#This Row],[N Compte 1]],2))</f>
        <v>62</v>
      </c>
      <c r="D115">
        <f>VALUE(LEFT(tblBDD[[#This Row],[N Compte 1]],3))</f>
        <v>622</v>
      </c>
      <c r="E115" t="str">
        <f>VLOOKUP(tblBDD[[#This Row],[N abrégé 1]],tblIntituléCompte[#Data],3,FALSE)</f>
        <v>62 - Administration</v>
      </c>
      <c r="F115" t="str">
        <f>VLOOKUP(tblBDD[[#This Row],[N abrégé 2]],Tableau5[#Data],3,FALSE)</f>
        <v>622 - Hono. Syndic opérations exceptionnelles</v>
      </c>
      <c r="G115">
        <v>7</v>
      </c>
      <c r="H115" t="str">
        <f>VLOOKUP(tblBDD[[#This Row],[N Compte 1]],tblDescriptionCompte[#Data],2,FALSE)</f>
        <v>Honoraires syndic travaux</v>
      </c>
      <c r="I115" t="b">
        <f>COUNT(tblBDD[[#This Row],[B2011]:[B2014]])=7</f>
        <v>0</v>
      </c>
      <c r="J115" s="2"/>
      <c r="K115" s="3"/>
      <c r="L115" s="2"/>
      <c r="M115" s="2"/>
      <c r="N115" s="2"/>
      <c r="O115" s="2">
        <v>209.99</v>
      </c>
      <c r="P115" s="2"/>
      <c r="Q115" s="2"/>
      <c r="R115" s="2"/>
      <c r="S115" s="2"/>
      <c r="T115" s="2"/>
      <c r="U115" s="2"/>
      <c r="V115" s="2"/>
      <c r="W115" s="2"/>
      <c r="X115" s="2"/>
    </row>
    <row r="116" spans="1:24" x14ac:dyDescent="0.25">
      <c r="A116" t="s">
        <v>23</v>
      </c>
      <c r="B116">
        <v>60210000</v>
      </c>
      <c r="C116">
        <f>VALUE(LEFT(tblBDD[[#This Row],[N Compte 1]],2))</f>
        <v>60</v>
      </c>
      <c r="D116">
        <f>VALUE(LEFT(tblBDD[[#This Row],[N Compte 1]],3))</f>
        <v>602</v>
      </c>
      <c r="E116" t="str">
        <f>VLOOKUP(tblBDD[[#This Row],[N abrégé 1]],tblIntituléCompte[#Data],3,FALSE)</f>
        <v>60 - Achats fournitures</v>
      </c>
      <c r="F116" t="str">
        <f>VLOOKUP(tblBDD[[#This Row],[N abrégé 2]],Tableau5[#Data],3,FALSE)</f>
        <v>602 - Electricité</v>
      </c>
      <c r="G116">
        <v>8</v>
      </c>
      <c r="H116" t="str">
        <f>VLOOKUP(tblBDD[[#This Row],[N Compte 1]],tblDescriptionCompte[#Data],2,FALSE)</f>
        <v>Electricité</v>
      </c>
      <c r="I116" t="b">
        <f>COUNT(tblBDD[[#This Row],[B2011]:[B2014]])=7</f>
        <v>1</v>
      </c>
      <c r="J116" s="2">
        <v>440</v>
      </c>
      <c r="K116" s="3">
        <v>403.12</v>
      </c>
      <c r="L116" s="2">
        <v>460</v>
      </c>
      <c r="M116" s="2">
        <v>455.85</v>
      </c>
      <c r="N116" s="2">
        <v>460</v>
      </c>
      <c r="O116" s="2">
        <v>459.18</v>
      </c>
      <c r="P116" s="2">
        <v>480</v>
      </c>
      <c r="Q116" s="2">
        <v>527.30999999999995</v>
      </c>
      <c r="R116" s="2">
        <v>600</v>
      </c>
      <c r="S116" s="2">
        <v>539.27</v>
      </c>
      <c r="T116" s="2">
        <v>600</v>
      </c>
      <c r="U116" s="2">
        <v>531.94000000000005</v>
      </c>
      <c r="V116" s="2">
        <v>600</v>
      </c>
      <c r="W116" s="2">
        <v>545</v>
      </c>
      <c r="X116" s="2">
        <v>545</v>
      </c>
    </row>
    <row r="117" spans="1:24" x14ac:dyDescent="0.25">
      <c r="A117" t="s">
        <v>23</v>
      </c>
      <c r="B117">
        <v>61521100</v>
      </c>
      <c r="C117">
        <f>VALUE(LEFT(tblBDD[[#This Row],[N Compte 1]],2))</f>
        <v>61</v>
      </c>
      <c r="D117">
        <f>VALUE(LEFT(tblBDD[[#This Row],[N Compte 1]],3))</f>
        <v>615</v>
      </c>
      <c r="E117" t="str">
        <f>VLOOKUP(tblBDD[[#This Row],[N abrégé 1]],tblIntituléCompte[#Data],3,FALSE)</f>
        <v>61 - Services extérieurs</v>
      </c>
      <c r="F117" t="str">
        <f>VLOOKUP(tblBDD[[#This Row],[N abrégé 2]],Tableau5[#Data],3,FALSE)</f>
        <v>615 - Entretien, réparation</v>
      </c>
      <c r="G117">
        <v>8</v>
      </c>
      <c r="H117" t="str">
        <f>VLOOKUP(tblBDD[[#This Row],[N Compte 1]],tblDescriptionCompte[#Data],2,FALSE)</f>
        <v>Entretien et petites réparations ventilations</v>
      </c>
      <c r="I117" t="b">
        <f>COUNT(tblBDD[[#This Row],[B2011]:[B2014]])=7</f>
        <v>0</v>
      </c>
      <c r="J117" s="2"/>
      <c r="K117" s="3"/>
      <c r="L117" s="2"/>
      <c r="M117" s="2"/>
      <c r="N117" s="2"/>
      <c r="O117" s="2"/>
      <c r="P117" s="2"/>
      <c r="Q117" s="2"/>
      <c r="R117" s="2"/>
      <c r="S117" s="2"/>
      <c r="T117" s="2"/>
      <c r="U117" s="2">
        <v>34.369999999999997</v>
      </c>
      <c r="V117" s="2"/>
      <c r="W117" s="2"/>
      <c r="X117" s="2"/>
    </row>
    <row r="118" spans="1:24" x14ac:dyDescent="0.25">
      <c r="A118" t="s">
        <v>23</v>
      </c>
      <c r="B118">
        <v>61520300</v>
      </c>
      <c r="C118">
        <f>VALUE(LEFT(tblBDD[[#This Row],[N Compte 1]],2))</f>
        <v>61</v>
      </c>
      <c r="D118">
        <f>VALUE(LEFT(tblBDD[[#This Row],[N Compte 1]],3))</f>
        <v>615</v>
      </c>
      <c r="E118" t="str">
        <f>VLOOKUP(tblBDD[[#This Row],[N abrégé 1]],tblIntituléCompte[#Data],3,FALSE)</f>
        <v>61 - Services extérieurs</v>
      </c>
      <c r="F118" t="str">
        <f>VLOOKUP(tblBDD[[#This Row],[N abrégé 2]],Tableau5[#Data],3,FALSE)</f>
        <v>615 - Entretien, réparation</v>
      </c>
      <c r="G118">
        <v>8</v>
      </c>
      <c r="H118" t="str">
        <f>VLOOKUP(tblBDD[[#This Row],[N Compte 1]],tblDescriptionCompte[#Data],2,FALSE)</f>
        <v>Entretien et petites réparations électricité</v>
      </c>
      <c r="I118" t="b">
        <f>COUNT(tblBDD[[#This Row],[B2011]:[B2014]])=7</f>
        <v>0</v>
      </c>
      <c r="J118" s="2"/>
      <c r="K118" s="3"/>
      <c r="L118" s="2"/>
      <c r="M118" s="2"/>
      <c r="N118" s="2"/>
      <c r="O118" s="2"/>
      <c r="P118" s="2"/>
      <c r="Q118" s="2"/>
      <c r="R118" s="2"/>
      <c r="S118" s="2"/>
      <c r="T118" s="2"/>
      <c r="U118" s="2">
        <v>261.10000000000002</v>
      </c>
      <c r="V118" s="2"/>
      <c r="W118" s="2"/>
      <c r="X118" s="2"/>
    </row>
    <row r="119" spans="1:24" x14ac:dyDescent="0.25">
      <c r="A119" t="s">
        <v>23</v>
      </c>
      <c r="B119">
        <v>61520800</v>
      </c>
      <c r="C119">
        <f>VALUE(LEFT(tblBDD[[#This Row],[N Compte 1]],2))</f>
        <v>61</v>
      </c>
      <c r="D119">
        <f>VALUE(LEFT(tblBDD[[#This Row],[N Compte 1]],3))</f>
        <v>615</v>
      </c>
      <c r="E119" t="str">
        <f>VLOOKUP(tblBDD[[#This Row],[N abrégé 1]],tblIntituléCompte[#Data],3,FALSE)</f>
        <v>61 - Services extérieurs</v>
      </c>
      <c r="F119" t="str">
        <f>VLOOKUP(tblBDD[[#This Row],[N abrégé 2]],Tableau5[#Data],3,FALSE)</f>
        <v>615 - Entretien, réparation</v>
      </c>
      <c r="G119">
        <v>8</v>
      </c>
      <c r="H119" t="str">
        <f>VLOOKUP(tblBDD[[#This Row],[N Compte 1]],tblDescriptionCompte[#Data],2,FALSE)</f>
        <v>Entretien et petites réparations portes et serrures</v>
      </c>
      <c r="I119" t="b">
        <f>COUNT(tblBDD[[#This Row],[B2011]:[B2014]])=7</f>
        <v>0</v>
      </c>
      <c r="J119" s="2"/>
      <c r="K119" s="3">
        <v>2091.2800000000002</v>
      </c>
      <c r="L119" s="2"/>
      <c r="M119" s="2">
        <v>263.01</v>
      </c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x14ac:dyDescent="0.25">
      <c r="A120" t="s">
        <v>23</v>
      </c>
      <c r="B120">
        <v>61550100</v>
      </c>
      <c r="C120">
        <f>VALUE(LEFT(tblBDD[[#This Row],[N Compte 1]],2))</f>
        <v>61</v>
      </c>
      <c r="D120">
        <f>VALUE(LEFT(tblBDD[[#This Row],[N Compte 1]],3))</f>
        <v>615</v>
      </c>
      <c r="E120" t="str">
        <f>VLOOKUP(tblBDD[[#This Row],[N abrégé 1]],tblIntituléCompte[#Data],3,FALSE)</f>
        <v>61 - Services extérieurs</v>
      </c>
      <c r="F120" t="str">
        <f>VLOOKUP(tblBDD[[#This Row],[N abrégé 2]],Tableau5[#Data],3,FALSE)</f>
        <v>615 - Entretien, réparation</v>
      </c>
      <c r="G120">
        <v>8</v>
      </c>
      <c r="H120" t="str">
        <f>VLOOKUP(tblBDD[[#This Row],[N Compte 1]],tblDescriptionCompte[#Data],2,FALSE)</f>
        <v>Entretien et petites réparations matériel</v>
      </c>
      <c r="I120" t="b">
        <f>COUNT(tblBDD[[#This Row],[B2011]:[B2014]])=7</f>
        <v>0</v>
      </c>
      <c r="J120" s="2">
        <v>300</v>
      </c>
      <c r="K120" s="3"/>
      <c r="L120" s="2">
        <v>300</v>
      </c>
      <c r="M120" s="2"/>
      <c r="N120" s="2">
        <v>300</v>
      </c>
      <c r="O120" s="2">
        <v>1004.94</v>
      </c>
      <c r="P120" s="2">
        <v>310</v>
      </c>
      <c r="Q120" s="2"/>
      <c r="R120" s="2">
        <v>550</v>
      </c>
      <c r="S120" s="2"/>
      <c r="T120" s="2">
        <v>550</v>
      </c>
      <c r="U120" s="2"/>
      <c r="V120" s="2">
        <v>550</v>
      </c>
      <c r="W120" s="2">
        <v>550</v>
      </c>
      <c r="X120" s="2">
        <v>550</v>
      </c>
    </row>
    <row r="121" spans="1:24" x14ac:dyDescent="0.25">
      <c r="A121" t="s">
        <v>23</v>
      </c>
      <c r="B121">
        <v>60210000</v>
      </c>
      <c r="C121">
        <f>VALUE(LEFT(tblBDD[[#This Row],[N Compte 1]],2))</f>
        <v>60</v>
      </c>
      <c r="D121">
        <f>VALUE(LEFT(tblBDD[[#This Row],[N Compte 1]],3))</f>
        <v>602</v>
      </c>
      <c r="E121" t="str">
        <f>VLOOKUP(tblBDD[[#This Row],[N abrégé 1]],tblIntituléCompte[#Data],3,FALSE)</f>
        <v>60 - Achats fournitures</v>
      </c>
      <c r="F121" t="str">
        <f>VLOOKUP(tblBDD[[#This Row],[N abrégé 2]],Tableau5[#Data],3,FALSE)</f>
        <v>602 - Electricité</v>
      </c>
      <c r="G121">
        <v>9</v>
      </c>
      <c r="H121" t="str">
        <f>VLOOKUP(tblBDD[[#This Row],[N Compte 1]],tblDescriptionCompte[#Data],2,FALSE)</f>
        <v>Electricité</v>
      </c>
      <c r="I121" t="b">
        <f>COUNT(tblBDD[[#This Row],[B2011]:[B2014]])=7</f>
        <v>1</v>
      </c>
      <c r="J121" s="2">
        <v>540</v>
      </c>
      <c r="K121" s="3">
        <v>503.06</v>
      </c>
      <c r="L121" s="2">
        <v>540</v>
      </c>
      <c r="M121" s="2">
        <v>396.28</v>
      </c>
      <c r="N121" s="2">
        <v>540</v>
      </c>
      <c r="O121" s="2">
        <v>435.26</v>
      </c>
      <c r="P121" s="2">
        <v>560</v>
      </c>
      <c r="Q121" s="2">
        <v>480.96</v>
      </c>
      <c r="R121" s="2">
        <v>560</v>
      </c>
      <c r="S121" s="2">
        <v>461.01</v>
      </c>
      <c r="T121" s="2">
        <v>560</v>
      </c>
      <c r="U121" s="2">
        <v>478.77</v>
      </c>
      <c r="V121" s="2">
        <v>560</v>
      </c>
      <c r="W121" s="2">
        <v>490</v>
      </c>
      <c r="X121" s="2">
        <v>490</v>
      </c>
    </row>
    <row r="122" spans="1:24" x14ac:dyDescent="0.25">
      <c r="A122" t="s">
        <v>23</v>
      </c>
      <c r="B122">
        <v>60410000</v>
      </c>
      <c r="C122">
        <f>VALUE(LEFT(tblBDD[[#This Row],[N Compte 1]],2))</f>
        <v>60</v>
      </c>
      <c r="D122">
        <f>VALUE(LEFT(tblBDD[[#This Row],[N Compte 1]],3))</f>
        <v>604</v>
      </c>
      <c r="E122" t="str">
        <f>VLOOKUP(tblBDD[[#This Row],[N abrégé 1]],tblIntituléCompte[#Data],3,FALSE)</f>
        <v>60 - Achats fournitures</v>
      </c>
      <c r="F122" t="str">
        <f>VLOOKUP(tblBDD[[#This Row],[N abrégé 2]],Tableau5[#Data],3,FALSE)</f>
        <v>604 - Produits d'entretien et petit équipement</v>
      </c>
      <c r="G122">
        <v>9</v>
      </c>
      <c r="H122" t="str">
        <f>VLOOKUP(tblBDD[[#This Row],[N Compte 1]],tblDescriptionCompte[#Data],2,FALSE)</f>
        <v>Produits d'entretien et petit équipement</v>
      </c>
      <c r="I122" t="b">
        <f>COUNT(tblBDD[[#This Row],[B2011]:[B2014]])=7</f>
        <v>0</v>
      </c>
      <c r="J122" s="2"/>
      <c r="K122" s="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x14ac:dyDescent="0.25">
      <c r="A123" t="s">
        <v>23</v>
      </c>
      <c r="B123">
        <v>61520200</v>
      </c>
      <c r="C123">
        <f>VALUE(LEFT(tblBDD[[#This Row],[N Compte 1]],2))</f>
        <v>61</v>
      </c>
      <c r="D123">
        <f>VALUE(LEFT(tblBDD[[#This Row],[N Compte 1]],3))</f>
        <v>615</v>
      </c>
      <c r="E123" t="str">
        <f>VLOOKUP(tblBDD[[#This Row],[N abrégé 1]],tblIntituléCompte[#Data],3,FALSE)</f>
        <v>61 - Services extérieurs</v>
      </c>
      <c r="F123" t="str">
        <f>VLOOKUP(tblBDD[[#This Row],[N abrégé 2]],Tableau5[#Data],3,FALSE)</f>
        <v>615 - Entretien, réparation</v>
      </c>
      <c r="G123">
        <v>9</v>
      </c>
      <c r="H123" t="str">
        <f>VLOOKUP(tblBDD[[#This Row],[N Compte 1]],tblDescriptionCompte[#Data],2,FALSE)</f>
        <v>Entretien et petites réparations vide ordure</v>
      </c>
      <c r="I123" t="b">
        <f>COUNT(tblBDD[[#This Row],[B2011]:[B2014]])=7</f>
        <v>0</v>
      </c>
      <c r="J123" s="2"/>
      <c r="K123" s="3"/>
      <c r="L123" s="2"/>
      <c r="M123" s="2"/>
      <c r="N123" s="2"/>
      <c r="O123" s="2"/>
      <c r="P123" s="2"/>
      <c r="Q123" s="2"/>
      <c r="R123" s="2"/>
      <c r="S123" s="2">
        <v>248.49</v>
      </c>
      <c r="T123" s="2"/>
      <c r="U123" s="2"/>
      <c r="V123" s="2"/>
      <c r="W123" s="2"/>
      <c r="X123" s="2"/>
    </row>
    <row r="124" spans="1:24" x14ac:dyDescent="0.25">
      <c r="A124" t="s">
        <v>23</v>
      </c>
      <c r="B124">
        <v>61520300</v>
      </c>
      <c r="C124">
        <f>VALUE(LEFT(tblBDD[[#This Row],[N Compte 1]],2))</f>
        <v>61</v>
      </c>
      <c r="D124">
        <f>VALUE(LEFT(tblBDD[[#This Row],[N Compte 1]],3))</f>
        <v>615</v>
      </c>
      <c r="E124" t="str">
        <f>VLOOKUP(tblBDD[[#This Row],[N abrégé 1]],tblIntituléCompte[#Data],3,FALSE)</f>
        <v>61 - Services extérieurs</v>
      </c>
      <c r="F124" t="str">
        <f>VLOOKUP(tblBDD[[#This Row],[N abrégé 2]],Tableau5[#Data],3,FALSE)</f>
        <v>615 - Entretien, réparation</v>
      </c>
      <c r="G124">
        <v>9</v>
      </c>
      <c r="H124" t="str">
        <f>VLOOKUP(tblBDD[[#This Row],[N Compte 1]],tblDescriptionCompte[#Data],2,FALSE)</f>
        <v>Entretien et petites réparations électricité</v>
      </c>
      <c r="I124" t="b">
        <f>COUNT(tblBDD[[#This Row],[B2011]:[B2014]])=7</f>
        <v>0</v>
      </c>
      <c r="J124" s="2"/>
      <c r="K124" s="3"/>
      <c r="L124" s="2"/>
      <c r="M124" s="2"/>
      <c r="N124" s="2"/>
      <c r="O124" s="2">
        <v>111.28</v>
      </c>
      <c r="P124" s="2"/>
      <c r="Q124" s="2"/>
      <c r="R124" s="2"/>
      <c r="S124" s="2">
        <v>445.83</v>
      </c>
      <c r="T124" s="2"/>
      <c r="U124" s="2"/>
      <c r="V124" s="2"/>
      <c r="W124" s="2"/>
      <c r="X124" s="2"/>
    </row>
    <row r="125" spans="1:24" x14ac:dyDescent="0.25">
      <c r="A125" t="s">
        <v>23</v>
      </c>
      <c r="B125">
        <v>61521100</v>
      </c>
      <c r="C125">
        <f>VALUE(LEFT(tblBDD[[#This Row],[N Compte 1]],2))</f>
        <v>61</v>
      </c>
      <c r="D125">
        <f>VALUE(LEFT(tblBDD[[#This Row],[N Compte 1]],3))</f>
        <v>615</v>
      </c>
      <c r="E125" t="str">
        <f>VLOOKUP(tblBDD[[#This Row],[N abrégé 1]],tblIntituléCompte[#Data],3,FALSE)</f>
        <v>61 - Services extérieurs</v>
      </c>
      <c r="F125" t="str">
        <f>VLOOKUP(tblBDD[[#This Row],[N abrégé 2]],Tableau5[#Data],3,FALSE)</f>
        <v>615 - Entretien, réparation</v>
      </c>
      <c r="G125">
        <v>9</v>
      </c>
      <c r="H125" t="str">
        <f>VLOOKUP(tblBDD[[#This Row],[N Compte 1]],tblDescriptionCompte[#Data],2,FALSE)</f>
        <v>Entretien et petites réparations ventilations</v>
      </c>
      <c r="I125" t="b">
        <f>COUNT(tblBDD[[#This Row],[B2011]:[B2014]])=7</f>
        <v>0</v>
      </c>
      <c r="J125" s="2"/>
      <c r="K125" s="3"/>
      <c r="L125" s="2"/>
      <c r="M125" s="2"/>
      <c r="N125" s="2"/>
      <c r="O125" s="2"/>
      <c r="P125" s="2"/>
      <c r="Q125" s="2"/>
      <c r="R125" s="2"/>
      <c r="S125" s="2">
        <v>3180.67</v>
      </c>
      <c r="T125" s="2"/>
      <c r="U125" s="2"/>
      <c r="V125" s="2"/>
      <c r="W125" s="2"/>
      <c r="X125" s="2"/>
    </row>
    <row r="126" spans="1:24" x14ac:dyDescent="0.25">
      <c r="A126" t="s">
        <v>23</v>
      </c>
      <c r="B126">
        <v>61520400</v>
      </c>
      <c r="C126">
        <f>VALUE(LEFT(tblBDD[[#This Row],[N Compte 1]],2))</f>
        <v>61</v>
      </c>
      <c r="D126">
        <f>VALUE(LEFT(tblBDD[[#This Row],[N Compte 1]],3))</f>
        <v>615</v>
      </c>
      <c r="E126" t="str">
        <f>VLOOKUP(tblBDD[[#This Row],[N abrégé 1]],tblIntituléCompte[#Data],3,FALSE)</f>
        <v>61 - Services extérieurs</v>
      </c>
      <c r="F126" t="str">
        <f>VLOOKUP(tblBDD[[#This Row],[N abrégé 2]],Tableau5[#Data],3,FALSE)</f>
        <v>615 - Entretien, réparation</v>
      </c>
      <c r="G126">
        <v>9</v>
      </c>
      <c r="H126" t="str">
        <f>VLOOKUP(tblBDD[[#This Row],[N Compte 1]],tblDescriptionCompte[#Data],2,FALSE)</f>
        <v>Entretien et petites réparations plomberie</v>
      </c>
      <c r="I126" t="b">
        <f>COUNT(tblBDD[[#This Row],[B2011]:[B2014]])=7</f>
        <v>0</v>
      </c>
      <c r="J126" s="2"/>
      <c r="K126" s="3">
        <v>117.11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x14ac:dyDescent="0.25">
      <c r="A127" t="s">
        <v>23</v>
      </c>
      <c r="B127">
        <v>61520600</v>
      </c>
      <c r="C127">
        <f>VALUE(LEFT(tblBDD[[#This Row],[N Compte 1]],2))</f>
        <v>61</v>
      </c>
      <c r="D127">
        <f>VALUE(LEFT(tblBDD[[#This Row],[N Compte 1]],3))</f>
        <v>615</v>
      </c>
      <c r="E127" t="str">
        <f>VLOOKUP(tblBDD[[#This Row],[N abrégé 1]],tblIntituléCompte[#Data],3,FALSE)</f>
        <v>61 - Services extérieurs</v>
      </c>
      <c r="F127" t="str">
        <f>VLOOKUP(tblBDD[[#This Row],[N abrégé 2]],Tableau5[#Data],3,FALSE)</f>
        <v>615 - Entretien, réparation</v>
      </c>
      <c r="G127">
        <v>9</v>
      </c>
      <c r="H127" t="str">
        <f>VLOOKUP(tblBDD[[#This Row],[N Compte 1]],tblDescriptionCompte[#Data],2,FALSE)</f>
        <v>Entretien et petites réparations étanchéité</v>
      </c>
      <c r="I127" t="b">
        <f>COUNT(tblBDD[[#This Row],[B2011]:[B2014]])=7</f>
        <v>0</v>
      </c>
      <c r="J127" s="2"/>
      <c r="K127" s="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x14ac:dyDescent="0.25">
      <c r="A128" t="s">
        <v>23</v>
      </c>
      <c r="B128">
        <v>61520800</v>
      </c>
      <c r="C128">
        <f>VALUE(LEFT(tblBDD[[#This Row],[N Compte 1]],2))</f>
        <v>61</v>
      </c>
      <c r="D128">
        <f>VALUE(LEFT(tblBDD[[#This Row],[N Compte 1]],3))</f>
        <v>615</v>
      </c>
      <c r="E128" t="str">
        <f>VLOOKUP(tblBDD[[#This Row],[N abrégé 1]],tblIntituléCompte[#Data],3,FALSE)</f>
        <v>61 - Services extérieurs</v>
      </c>
      <c r="F128" t="str">
        <f>VLOOKUP(tblBDD[[#This Row],[N abrégé 2]],Tableau5[#Data],3,FALSE)</f>
        <v>615 - Entretien, réparation</v>
      </c>
      <c r="G128">
        <v>9</v>
      </c>
      <c r="H128" t="str">
        <f>VLOOKUP(tblBDD[[#This Row],[N Compte 1]],tblDescriptionCompte[#Data],2,FALSE)</f>
        <v>Entretien et petites réparations portes et serrures</v>
      </c>
      <c r="I128" t="b">
        <f>COUNT(tblBDD[[#This Row],[B2011]:[B2014]])=7</f>
        <v>0</v>
      </c>
      <c r="J128" s="2"/>
      <c r="K128" s="3">
        <v>154.97999999999999</v>
      </c>
      <c r="L128" s="2"/>
      <c r="M128" s="2"/>
      <c r="N128" s="2"/>
      <c r="O128" s="2"/>
      <c r="P128" s="2"/>
      <c r="Q128" s="2"/>
      <c r="R128" s="2"/>
      <c r="S128" s="2">
        <v>85.61</v>
      </c>
      <c r="T128" s="2"/>
      <c r="U128" s="2"/>
      <c r="V128" s="2"/>
      <c r="W128" s="2"/>
      <c r="X128" s="2"/>
    </row>
    <row r="129" spans="1:24" x14ac:dyDescent="0.25">
      <c r="A129" t="s">
        <v>23</v>
      </c>
      <c r="B129">
        <v>61550100</v>
      </c>
      <c r="C129">
        <f>VALUE(LEFT(tblBDD[[#This Row],[N Compte 1]],2))</f>
        <v>61</v>
      </c>
      <c r="D129">
        <f>VALUE(LEFT(tblBDD[[#This Row],[N Compte 1]],3))</f>
        <v>615</v>
      </c>
      <c r="E129" t="str">
        <f>VLOOKUP(tblBDD[[#This Row],[N abrégé 1]],tblIntituléCompte[#Data],3,FALSE)</f>
        <v>61 - Services extérieurs</v>
      </c>
      <c r="F129" t="str">
        <f>VLOOKUP(tblBDD[[#This Row],[N abrégé 2]],Tableau5[#Data],3,FALSE)</f>
        <v>615 - Entretien, réparation</v>
      </c>
      <c r="G129">
        <v>9</v>
      </c>
      <c r="H129" t="str">
        <f>VLOOKUP(tblBDD[[#This Row],[N Compte 1]],tblDescriptionCompte[#Data],2,FALSE)</f>
        <v>Entretien et petites réparations matériel</v>
      </c>
      <c r="I129" t="b">
        <f>COUNT(tblBDD[[#This Row],[B2011]:[B2014]])=7</f>
        <v>0</v>
      </c>
      <c r="J129" s="2">
        <v>300</v>
      </c>
      <c r="K129" s="3"/>
      <c r="L129" s="2">
        <v>300</v>
      </c>
      <c r="M129" s="2"/>
      <c r="N129" s="2">
        <v>300</v>
      </c>
      <c r="O129" s="2"/>
      <c r="P129" s="2">
        <v>310</v>
      </c>
      <c r="Q129" s="2"/>
      <c r="R129" s="2">
        <v>550</v>
      </c>
      <c r="S129" s="2"/>
      <c r="T129" s="2">
        <v>550</v>
      </c>
      <c r="U129" s="2"/>
      <c r="V129" s="2">
        <v>550</v>
      </c>
      <c r="W129" s="2">
        <v>550</v>
      </c>
      <c r="X129" s="2">
        <v>550</v>
      </c>
    </row>
    <row r="130" spans="1:24" x14ac:dyDescent="0.25">
      <c r="A130" t="s">
        <v>23</v>
      </c>
      <c r="B130">
        <v>60210000</v>
      </c>
      <c r="C130">
        <f>VALUE(LEFT(tblBDD[[#This Row],[N Compte 1]],2))</f>
        <v>60</v>
      </c>
      <c r="D130">
        <f>VALUE(LEFT(tblBDD[[#This Row],[N Compte 1]],3))</f>
        <v>602</v>
      </c>
      <c r="E130" t="str">
        <f>VLOOKUP(tblBDD[[#This Row],[N abrégé 1]],tblIntituléCompte[#Data],3,FALSE)</f>
        <v>60 - Achats fournitures</v>
      </c>
      <c r="F130" t="str">
        <f>VLOOKUP(tblBDD[[#This Row],[N abrégé 2]],Tableau5[#Data],3,FALSE)</f>
        <v>602 - Electricité</v>
      </c>
      <c r="G130">
        <v>10</v>
      </c>
      <c r="H130" t="str">
        <f>VLOOKUP(tblBDD[[#This Row],[N Compte 1]],tblDescriptionCompte[#Data],2,FALSE)</f>
        <v>Electricité</v>
      </c>
      <c r="I130" t="b">
        <f>COUNT(tblBDD[[#This Row],[B2011]:[B2014]])=7</f>
        <v>1</v>
      </c>
      <c r="J130" s="2">
        <v>500</v>
      </c>
      <c r="K130" s="3">
        <v>270.7</v>
      </c>
      <c r="L130" s="2">
        <v>500</v>
      </c>
      <c r="M130" s="2">
        <v>351.02</v>
      </c>
      <c r="N130" s="2">
        <v>500</v>
      </c>
      <c r="O130" s="2">
        <v>474</v>
      </c>
      <c r="P130" s="2">
        <v>515</v>
      </c>
      <c r="Q130" s="2">
        <v>536.27</v>
      </c>
      <c r="R130" s="2">
        <v>600</v>
      </c>
      <c r="S130" s="2">
        <v>552.16999999999996</v>
      </c>
      <c r="T130" s="2">
        <v>600</v>
      </c>
      <c r="U130" s="2">
        <v>555.22</v>
      </c>
      <c r="V130" s="2">
        <v>600</v>
      </c>
      <c r="W130" s="2">
        <v>566</v>
      </c>
      <c r="X130" s="2">
        <v>566</v>
      </c>
    </row>
    <row r="131" spans="1:24" x14ac:dyDescent="0.25">
      <c r="A131" t="s">
        <v>23</v>
      </c>
      <c r="B131">
        <v>61521100</v>
      </c>
      <c r="C131">
        <f>VALUE(LEFT(tblBDD[[#This Row],[N Compte 1]],2))</f>
        <v>61</v>
      </c>
      <c r="D131">
        <f>VALUE(LEFT(tblBDD[[#This Row],[N Compte 1]],3))</f>
        <v>615</v>
      </c>
      <c r="E131" t="str">
        <f>VLOOKUP(tblBDD[[#This Row],[N abrégé 1]],tblIntituléCompte[#Data],3,FALSE)</f>
        <v>61 - Services extérieurs</v>
      </c>
      <c r="F131" t="str">
        <f>VLOOKUP(tblBDD[[#This Row],[N abrégé 2]],Tableau5[#Data],3,FALSE)</f>
        <v>615 - Entretien, réparation</v>
      </c>
      <c r="G131">
        <v>10</v>
      </c>
      <c r="H131" t="str">
        <f>VLOOKUP(tblBDD[[#This Row],[N Compte 1]],tblDescriptionCompte[#Data],2,FALSE)</f>
        <v>Entretien et petites réparations ventilations</v>
      </c>
      <c r="I131" t="b">
        <f>COUNT(tblBDD[[#This Row],[B2011]:[B2014]])=7</f>
        <v>0</v>
      </c>
      <c r="J131" s="2"/>
      <c r="K131" s="3"/>
      <c r="L131" s="2"/>
      <c r="M131" s="2"/>
      <c r="N131" s="2"/>
      <c r="O131" s="2"/>
      <c r="P131" s="2"/>
      <c r="Q131" s="2"/>
      <c r="R131" s="2"/>
      <c r="S131" s="2"/>
      <c r="T131" s="2"/>
      <c r="U131" s="2">
        <v>18.920000000000002</v>
      </c>
      <c r="V131" s="2"/>
      <c r="W131" s="2"/>
      <c r="X131" s="2"/>
    </row>
    <row r="132" spans="1:24" x14ac:dyDescent="0.25">
      <c r="A132" t="s">
        <v>23</v>
      </c>
      <c r="B132">
        <v>60410000</v>
      </c>
      <c r="C132">
        <f>VALUE(LEFT(tblBDD[[#This Row],[N Compte 1]],2))</f>
        <v>60</v>
      </c>
      <c r="D132">
        <f>VALUE(LEFT(tblBDD[[#This Row],[N Compte 1]],3))</f>
        <v>604</v>
      </c>
      <c r="E132" t="str">
        <f>VLOOKUP(tblBDD[[#This Row],[N abrégé 1]],tblIntituléCompte[#Data],3,FALSE)</f>
        <v>60 - Achats fournitures</v>
      </c>
      <c r="F132" t="str">
        <f>VLOOKUP(tblBDD[[#This Row],[N abrégé 2]],Tableau5[#Data],3,FALSE)</f>
        <v>604 - Produits d'entretien et petit équipement</v>
      </c>
      <c r="G132">
        <v>10</v>
      </c>
      <c r="H132" t="str">
        <f>VLOOKUP(tblBDD[[#This Row],[N Compte 1]],tblDescriptionCompte[#Data],2,FALSE)</f>
        <v>Produits d'entretien et petit équipement</v>
      </c>
      <c r="I132" t="b">
        <f>COUNT(tblBDD[[#This Row],[B2011]:[B2014]])=7</f>
        <v>0</v>
      </c>
      <c r="J132" s="2"/>
      <c r="K132" s="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x14ac:dyDescent="0.25">
      <c r="A133" t="s">
        <v>23</v>
      </c>
      <c r="B133">
        <v>61520200</v>
      </c>
      <c r="C133">
        <f>VALUE(LEFT(tblBDD[[#This Row],[N Compte 1]],2))</f>
        <v>61</v>
      </c>
      <c r="D133">
        <f>VALUE(LEFT(tblBDD[[#This Row],[N Compte 1]],3))</f>
        <v>615</v>
      </c>
      <c r="E133" t="str">
        <f>VLOOKUP(tblBDD[[#This Row],[N abrégé 1]],tblIntituléCompte[#Data],3,FALSE)</f>
        <v>61 - Services extérieurs</v>
      </c>
      <c r="F133" t="str">
        <f>VLOOKUP(tblBDD[[#This Row],[N abrégé 2]],Tableau5[#Data],3,FALSE)</f>
        <v>615 - Entretien, réparation</v>
      </c>
      <c r="G133">
        <v>10</v>
      </c>
      <c r="H133" t="str">
        <f>VLOOKUP(tblBDD[[#This Row],[N Compte 1]],tblDescriptionCompte[#Data],2,FALSE)</f>
        <v>Entretien et petites réparations vide ordure</v>
      </c>
      <c r="I133" t="b">
        <f>COUNT(tblBDD[[#This Row],[B2011]:[B2014]])=7</f>
        <v>0</v>
      </c>
      <c r="J133" s="2"/>
      <c r="K133" s="3">
        <v>260.8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x14ac:dyDescent="0.25">
      <c r="A134" t="s">
        <v>23</v>
      </c>
      <c r="B134">
        <v>61520300</v>
      </c>
      <c r="C134">
        <f>VALUE(LEFT(tblBDD[[#This Row],[N Compte 1]],2))</f>
        <v>61</v>
      </c>
      <c r="D134">
        <f>VALUE(LEFT(tblBDD[[#This Row],[N Compte 1]],3))</f>
        <v>615</v>
      </c>
      <c r="E134" t="str">
        <f>VLOOKUP(tblBDD[[#This Row],[N abrégé 1]],tblIntituléCompte[#Data],3,FALSE)</f>
        <v>61 - Services extérieurs</v>
      </c>
      <c r="F134" t="str">
        <f>VLOOKUP(tblBDD[[#This Row],[N abrégé 2]],Tableau5[#Data],3,FALSE)</f>
        <v>615 - Entretien, réparation</v>
      </c>
      <c r="G134">
        <v>10</v>
      </c>
      <c r="H134" t="str">
        <f>VLOOKUP(tblBDD[[#This Row],[N Compte 1]],tblDescriptionCompte[#Data],2,FALSE)</f>
        <v>Entretien et petites réparations électricité</v>
      </c>
      <c r="I134" t="b">
        <f>COUNT(tblBDD[[#This Row],[B2011]:[B2014]])=7</f>
        <v>0</v>
      </c>
      <c r="J134" s="2"/>
      <c r="K134" s="3"/>
      <c r="L134" s="2"/>
      <c r="M134" s="2">
        <v>203.18</v>
      </c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x14ac:dyDescent="0.25">
      <c r="A135" t="s">
        <v>23</v>
      </c>
      <c r="B135">
        <v>61521100</v>
      </c>
      <c r="C135">
        <f>VALUE(LEFT(tblBDD[[#This Row],[N Compte 1]],2))</f>
        <v>61</v>
      </c>
      <c r="D135">
        <f>VALUE(LEFT(tblBDD[[#This Row],[N Compte 1]],3))</f>
        <v>615</v>
      </c>
      <c r="E135" t="str">
        <f>VLOOKUP(tblBDD[[#This Row],[N abrégé 1]],tblIntituléCompte[#Data],3,FALSE)</f>
        <v>61 - Services extérieurs</v>
      </c>
      <c r="F135" t="str">
        <f>VLOOKUP(tblBDD[[#This Row],[N abrégé 2]],Tableau5[#Data],3,FALSE)</f>
        <v>615 - Entretien, réparation</v>
      </c>
      <c r="G135">
        <v>10</v>
      </c>
      <c r="H135" t="str">
        <f>VLOOKUP(tblBDD[[#This Row],[N Compte 1]],tblDescriptionCompte[#Data],2,FALSE)</f>
        <v>Entretien et petites réparations ventilations</v>
      </c>
      <c r="I135" t="b">
        <f>COUNT(tblBDD[[#This Row],[B2011]:[B2014]])=7</f>
        <v>0</v>
      </c>
      <c r="J135" s="2"/>
      <c r="K135" s="3"/>
      <c r="L135" s="2"/>
      <c r="M135" s="2"/>
      <c r="N135" s="2"/>
      <c r="O135" s="2"/>
      <c r="P135" s="2"/>
      <c r="Q135" s="2">
        <v>173.8</v>
      </c>
      <c r="R135" s="2"/>
      <c r="S135" s="2"/>
      <c r="T135" s="2"/>
      <c r="U135" s="2"/>
      <c r="V135" s="2"/>
      <c r="W135" s="2"/>
      <c r="X135" s="2"/>
    </row>
    <row r="136" spans="1:24" x14ac:dyDescent="0.25">
      <c r="A136" t="s">
        <v>23</v>
      </c>
      <c r="B136">
        <v>61521300</v>
      </c>
      <c r="C136">
        <f>VALUE(LEFT(tblBDD[[#This Row],[N Compte 1]],2))</f>
        <v>61</v>
      </c>
      <c r="D136">
        <f>VALUE(LEFT(tblBDD[[#This Row],[N Compte 1]],3))</f>
        <v>615</v>
      </c>
      <c r="E136" t="str">
        <f>VLOOKUP(tblBDD[[#This Row],[N abrégé 1]],tblIntituléCompte[#Data],3,FALSE)</f>
        <v>61 - Services extérieurs</v>
      </c>
      <c r="F136" t="str">
        <f>VLOOKUP(tblBDD[[#This Row],[N abrégé 2]],Tableau5[#Data],3,FALSE)</f>
        <v>615 - Entretien, réparation</v>
      </c>
      <c r="G136">
        <v>10</v>
      </c>
      <c r="H136" t="str">
        <f>VLOOKUP(tblBDD[[#This Row],[N Compte 1]],tblDescriptionCompte[#Data],2,FALSE)</f>
        <v>Entretien et réparations réseau eaux usées</v>
      </c>
      <c r="I136" t="b">
        <f>COUNT(tblBDD[[#This Row],[B2011]:[B2014]])=7</f>
        <v>0</v>
      </c>
      <c r="J136" s="2"/>
      <c r="K136" s="3"/>
      <c r="L136" s="2"/>
      <c r="M136" s="2">
        <v>378.78</v>
      </c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x14ac:dyDescent="0.25">
      <c r="A137" t="s">
        <v>23</v>
      </c>
      <c r="B137">
        <v>61520400</v>
      </c>
      <c r="C137">
        <f>VALUE(LEFT(tblBDD[[#This Row],[N Compte 1]],2))</f>
        <v>61</v>
      </c>
      <c r="D137">
        <f>VALUE(LEFT(tblBDD[[#This Row],[N Compte 1]],3))</f>
        <v>615</v>
      </c>
      <c r="E137" t="str">
        <f>VLOOKUP(tblBDD[[#This Row],[N abrégé 1]],tblIntituléCompte[#Data],3,FALSE)</f>
        <v>61 - Services extérieurs</v>
      </c>
      <c r="F137" t="str">
        <f>VLOOKUP(tblBDD[[#This Row],[N abrégé 2]],Tableau5[#Data],3,FALSE)</f>
        <v>615 - Entretien, réparation</v>
      </c>
      <c r="G137">
        <v>10</v>
      </c>
      <c r="H137" t="str">
        <f>VLOOKUP(tblBDD[[#This Row],[N Compte 1]],tblDescriptionCompte[#Data],2,FALSE)</f>
        <v>Entretien et petites réparations plomberie</v>
      </c>
      <c r="I137" t="b">
        <f>COUNT(tblBDD[[#This Row],[B2011]:[B2014]])=7</f>
        <v>0</v>
      </c>
      <c r="J137" s="2"/>
      <c r="K137" s="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x14ac:dyDescent="0.25">
      <c r="A138" t="s">
        <v>23</v>
      </c>
      <c r="B138">
        <v>61520600</v>
      </c>
      <c r="C138">
        <f>VALUE(LEFT(tblBDD[[#This Row],[N Compte 1]],2))</f>
        <v>61</v>
      </c>
      <c r="D138">
        <f>VALUE(LEFT(tblBDD[[#This Row],[N Compte 1]],3))</f>
        <v>615</v>
      </c>
      <c r="E138" t="str">
        <f>VLOOKUP(tblBDD[[#This Row],[N abrégé 1]],tblIntituléCompte[#Data],3,FALSE)</f>
        <v>61 - Services extérieurs</v>
      </c>
      <c r="F138" t="str">
        <f>VLOOKUP(tblBDD[[#This Row],[N abrégé 2]],Tableau5[#Data],3,FALSE)</f>
        <v>615 - Entretien, réparation</v>
      </c>
      <c r="G138">
        <v>10</v>
      </c>
      <c r="H138" t="str">
        <f>VLOOKUP(tblBDD[[#This Row],[N Compte 1]],tblDescriptionCompte[#Data],2,FALSE)</f>
        <v>Entretien et petites réparations étanchéité</v>
      </c>
      <c r="I138" t="b">
        <f>COUNT(tblBDD[[#This Row],[B2011]:[B2014]])=7</f>
        <v>0</v>
      </c>
      <c r="J138" s="2"/>
      <c r="K138" s="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x14ac:dyDescent="0.25">
      <c r="A139" t="s">
        <v>23</v>
      </c>
      <c r="B139">
        <v>61520800</v>
      </c>
      <c r="C139">
        <f>VALUE(LEFT(tblBDD[[#This Row],[N Compte 1]],2))</f>
        <v>61</v>
      </c>
      <c r="D139">
        <f>VALUE(LEFT(tblBDD[[#This Row],[N Compte 1]],3))</f>
        <v>615</v>
      </c>
      <c r="E139" t="str">
        <f>VLOOKUP(tblBDD[[#This Row],[N abrégé 1]],tblIntituléCompte[#Data],3,FALSE)</f>
        <v>61 - Services extérieurs</v>
      </c>
      <c r="F139" t="str">
        <f>VLOOKUP(tblBDD[[#This Row],[N abrégé 2]],Tableau5[#Data],3,FALSE)</f>
        <v>615 - Entretien, réparation</v>
      </c>
      <c r="G139">
        <v>10</v>
      </c>
      <c r="H139" t="str">
        <f>VLOOKUP(tblBDD[[#This Row],[N Compte 1]],tblDescriptionCompte[#Data],2,FALSE)</f>
        <v>Entretien et petites réparations portes et serrures</v>
      </c>
      <c r="I139" t="b">
        <f>COUNT(tblBDD[[#This Row],[B2011]:[B2014]])=7</f>
        <v>0</v>
      </c>
      <c r="J139" s="2"/>
      <c r="K139" s="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x14ac:dyDescent="0.25">
      <c r="A140" t="s">
        <v>23</v>
      </c>
      <c r="B140">
        <v>61550100</v>
      </c>
      <c r="C140">
        <f>VALUE(LEFT(tblBDD[[#This Row],[N Compte 1]],2))</f>
        <v>61</v>
      </c>
      <c r="D140">
        <f>VALUE(LEFT(tblBDD[[#This Row],[N Compte 1]],3))</f>
        <v>615</v>
      </c>
      <c r="E140" t="str">
        <f>VLOOKUP(tblBDD[[#This Row],[N abrégé 1]],tblIntituléCompte[#Data],3,FALSE)</f>
        <v>61 - Services extérieurs</v>
      </c>
      <c r="F140" t="str">
        <f>VLOOKUP(tblBDD[[#This Row],[N abrégé 2]],Tableau5[#Data],3,FALSE)</f>
        <v>615 - Entretien, réparation</v>
      </c>
      <c r="G140">
        <v>10</v>
      </c>
      <c r="H140" t="str">
        <f>VLOOKUP(tblBDD[[#This Row],[N Compte 1]],tblDescriptionCompte[#Data],2,FALSE)</f>
        <v>Entretien et petites réparations matériel</v>
      </c>
      <c r="I140" t="b">
        <f>COUNT(tblBDD[[#This Row],[B2011]:[B2014]])=7</f>
        <v>0</v>
      </c>
      <c r="J140" s="2">
        <v>300</v>
      </c>
      <c r="K140" s="3"/>
      <c r="L140" s="2">
        <v>300</v>
      </c>
      <c r="M140" s="2"/>
      <c r="N140" s="2">
        <v>300</v>
      </c>
      <c r="O140" s="2"/>
      <c r="P140" s="2">
        <v>310</v>
      </c>
      <c r="Q140" s="2"/>
      <c r="R140" s="2">
        <v>550</v>
      </c>
      <c r="S140" s="2"/>
      <c r="T140" s="2">
        <v>550</v>
      </c>
      <c r="U140" s="2"/>
      <c r="V140" s="2">
        <v>550</v>
      </c>
      <c r="W140" s="2">
        <v>550</v>
      </c>
      <c r="X140" s="2">
        <v>550</v>
      </c>
    </row>
    <row r="141" spans="1:24" x14ac:dyDescent="0.25">
      <c r="A141" t="s">
        <v>23</v>
      </c>
      <c r="B141">
        <v>61522100</v>
      </c>
      <c r="C141">
        <f>VALUE(LEFT(tblBDD[[#This Row],[N Compte 1]],2))</f>
        <v>61</v>
      </c>
      <c r="D141">
        <f>VALUE(LEFT(tblBDD[[#This Row],[N Compte 1]],3))</f>
        <v>615</v>
      </c>
      <c r="E141" t="str">
        <f>VLOOKUP(tblBDD[[#This Row],[N abrégé 1]],tblIntituléCompte[#Data],3,FALSE)</f>
        <v>61 - Services extérieurs</v>
      </c>
      <c r="F141" t="str">
        <f>VLOOKUP(tblBDD[[#This Row],[N abrégé 2]],Tableau5[#Data],3,FALSE)</f>
        <v>615 - Entretien, réparation</v>
      </c>
      <c r="G141">
        <v>10</v>
      </c>
      <c r="H141" t="str">
        <f>VLOOKUP(tblBDD[[#This Row],[N Compte 1]],tblDescriptionCompte[#Data],2,FALSE)</f>
        <v>Entretien et petites réparations miroiterie, vitrerie</v>
      </c>
      <c r="I141" t="b">
        <f>COUNT(tblBDD[[#This Row],[B2011]:[B2014]])=7</f>
        <v>0</v>
      </c>
      <c r="J141" s="2"/>
      <c r="K141" s="3">
        <v>517.16999999999996</v>
      </c>
      <c r="L141" s="2"/>
      <c r="M141" s="2"/>
      <c r="N141" s="2"/>
      <c r="O141" s="2"/>
      <c r="P141" s="2"/>
      <c r="Q141" s="2"/>
      <c r="R141" s="2"/>
      <c r="S141" s="2">
        <v>927.92</v>
      </c>
      <c r="T141" s="2"/>
      <c r="U141" s="2"/>
      <c r="V141" s="2"/>
      <c r="W141" s="2"/>
      <c r="X141" s="2"/>
    </row>
    <row r="142" spans="1:24" x14ac:dyDescent="0.25">
      <c r="A142" t="s">
        <v>23</v>
      </c>
      <c r="B142">
        <v>71610000</v>
      </c>
      <c r="C142">
        <f>VALUE(LEFT(tblBDD[[#This Row],[N Compte 1]],2))</f>
        <v>71</v>
      </c>
      <c r="D142">
        <f>VALUE(LEFT(tblBDD[[#This Row],[N Compte 1]],3))</f>
        <v>716</v>
      </c>
      <c r="E142" t="str">
        <f>VLOOKUP(tblBDD[[#This Row],[N abrégé 1]],tblIntituléCompte[#Data],3,FALSE)</f>
        <v>71 - Autres produits</v>
      </c>
      <c r="F142" t="str">
        <f>VLOOKUP(tblBDD[[#This Row],[N abrégé 2]],Tableau5[#Data],3,FALSE)</f>
        <v>716 - Produits financiers</v>
      </c>
      <c r="G142">
        <v>10</v>
      </c>
      <c r="H142" t="str">
        <f>VLOOKUP(tblBDD[[#This Row],[N Compte 1]],tblDescriptionCompte[#Data],2,FALSE)</f>
        <v>Produits financiers - Opérations courantes</v>
      </c>
      <c r="I142" t="b">
        <f>COUNT(tblBDD[[#This Row],[B2011]:[B2014]])=7</f>
        <v>0</v>
      </c>
      <c r="J142" s="2"/>
      <c r="K142" s="3"/>
      <c r="L142" s="2"/>
      <c r="M142" s="2">
        <v>-517.16999999999996</v>
      </c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x14ac:dyDescent="0.25">
      <c r="A143" t="s">
        <v>23</v>
      </c>
      <c r="B143">
        <v>60210000</v>
      </c>
      <c r="C143">
        <f>VALUE(LEFT(tblBDD[[#This Row],[N Compte 1]],2))</f>
        <v>60</v>
      </c>
      <c r="D143">
        <f>VALUE(LEFT(tblBDD[[#This Row],[N Compte 1]],3))</f>
        <v>602</v>
      </c>
      <c r="E143" t="str">
        <f>VLOOKUP(tblBDD[[#This Row],[N abrégé 1]],tblIntituléCompte[#Data],3,FALSE)</f>
        <v>60 - Achats fournitures</v>
      </c>
      <c r="F143" t="str">
        <f>VLOOKUP(tblBDD[[#This Row],[N abrégé 2]],Tableau5[#Data],3,FALSE)</f>
        <v>602 - Electricité</v>
      </c>
      <c r="G143">
        <v>11</v>
      </c>
      <c r="H143" t="str">
        <f>VLOOKUP(tblBDD[[#This Row],[N Compte 1]],tblDescriptionCompte[#Data],2,FALSE)</f>
        <v>Electricité</v>
      </c>
      <c r="I143" t="b">
        <f>COUNT(tblBDD[[#This Row],[B2011]:[B2014]])=7</f>
        <v>1</v>
      </c>
      <c r="J143" s="2">
        <v>400</v>
      </c>
      <c r="K143" s="3">
        <v>394.56</v>
      </c>
      <c r="L143" s="2">
        <v>1000</v>
      </c>
      <c r="M143" s="2">
        <v>419.78</v>
      </c>
      <c r="N143" s="2">
        <v>1000</v>
      </c>
      <c r="O143" s="2">
        <v>456.74</v>
      </c>
      <c r="P143" s="2">
        <v>1030</v>
      </c>
      <c r="Q143" s="2">
        <v>508.35</v>
      </c>
      <c r="R143" s="2">
        <v>600</v>
      </c>
      <c r="S143" s="2">
        <v>514.83000000000004</v>
      </c>
      <c r="T143" s="2">
        <v>600</v>
      </c>
      <c r="U143" s="2">
        <v>521.16</v>
      </c>
      <c r="V143" s="2">
        <v>600</v>
      </c>
      <c r="W143" s="2">
        <v>535</v>
      </c>
      <c r="X143" s="2">
        <v>535</v>
      </c>
    </row>
    <row r="144" spans="1:24" x14ac:dyDescent="0.25">
      <c r="A144" t="s">
        <v>23</v>
      </c>
      <c r="B144">
        <v>61521100</v>
      </c>
      <c r="C144">
        <f>VALUE(LEFT(tblBDD[[#This Row],[N Compte 1]],2))</f>
        <v>61</v>
      </c>
      <c r="D144">
        <f>VALUE(LEFT(tblBDD[[#This Row],[N Compte 1]],3))</f>
        <v>615</v>
      </c>
      <c r="E144" t="str">
        <f>VLOOKUP(tblBDD[[#This Row],[N abrégé 1]],tblIntituléCompte[#Data],3,FALSE)</f>
        <v>61 - Services extérieurs</v>
      </c>
      <c r="F144" t="str">
        <f>VLOOKUP(tblBDD[[#This Row],[N abrégé 2]],Tableau5[#Data],3,FALSE)</f>
        <v>615 - Entretien, réparation</v>
      </c>
      <c r="G144">
        <v>11</v>
      </c>
      <c r="H144" t="str">
        <f>VLOOKUP(tblBDD[[#This Row],[N Compte 1]],tblDescriptionCompte[#Data],2,FALSE)</f>
        <v>Entretien et petites réparations ventilations</v>
      </c>
      <c r="I144" t="b">
        <f>COUNT(tblBDD[[#This Row],[B2011]:[B2014]])=7</f>
        <v>0</v>
      </c>
      <c r="J144" s="2"/>
      <c r="K144" s="3"/>
      <c r="L144" s="2"/>
      <c r="M144" s="2"/>
      <c r="N144" s="2"/>
      <c r="O144" s="2"/>
      <c r="P144" s="2"/>
      <c r="Q144" s="2">
        <v>173.8</v>
      </c>
      <c r="R144" s="2"/>
      <c r="S144" s="2"/>
      <c r="T144" s="2"/>
      <c r="U144" s="2">
        <v>129.04</v>
      </c>
      <c r="V144" s="2"/>
      <c r="W144" s="2"/>
      <c r="X144" s="2"/>
    </row>
    <row r="145" spans="1:24" x14ac:dyDescent="0.25">
      <c r="A145" t="s">
        <v>23</v>
      </c>
      <c r="B145">
        <v>60410000</v>
      </c>
      <c r="C145">
        <f>VALUE(LEFT(tblBDD[[#This Row],[N Compte 1]],2))</f>
        <v>60</v>
      </c>
      <c r="D145">
        <f>VALUE(LEFT(tblBDD[[#This Row],[N Compte 1]],3))</f>
        <v>604</v>
      </c>
      <c r="E145" t="str">
        <f>VLOOKUP(tblBDD[[#This Row],[N abrégé 1]],tblIntituléCompte[#Data],3,FALSE)</f>
        <v>60 - Achats fournitures</v>
      </c>
      <c r="F145" t="str">
        <f>VLOOKUP(tblBDD[[#This Row],[N abrégé 2]],Tableau5[#Data],3,FALSE)</f>
        <v>604 - Produits d'entretien et petit équipement</v>
      </c>
      <c r="G145">
        <v>11</v>
      </c>
      <c r="H145" t="str">
        <f>VLOOKUP(tblBDD[[#This Row],[N Compte 1]],tblDescriptionCompte[#Data],2,FALSE)</f>
        <v>Produits d'entretien et petit équipement</v>
      </c>
      <c r="I145" t="b">
        <f>COUNT(tblBDD[[#This Row],[B2011]:[B2014]])=7</f>
        <v>0</v>
      </c>
      <c r="J145" s="2"/>
      <c r="K145" s="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x14ac:dyDescent="0.25">
      <c r="A146" t="s">
        <v>23</v>
      </c>
      <c r="B146">
        <v>61520300</v>
      </c>
      <c r="C146">
        <f>VALUE(LEFT(tblBDD[[#This Row],[N Compte 1]],2))</f>
        <v>61</v>
      </c>
      <c r="D146">
        <f>VALUE(LEFT(tblBDD[[#This Row],[N Compte 1]],3))</f>
        <v>615</v>
      </c>
      <c r="E146" t="str">
        <f>VLOOKUP(tblBDD[[#This Row],[N abrégé 1]],tblIntituléCompte[#Data],3,FALSE)</f>
        <v>61 - Services extérieurs</v>
      </c>
      <c r="F146" t="str">
        <f>VLOOKUP(tblBDD[[#This Row],[N abrégé 2]],Tableau5[#Data],3,FALSE)</f>
        <v>615 - Entretien, réparation</v>
      </c>
      <c r="G146">
        <v>11</v>
      </c>
      <c r="H146" t="str">
        <f>VLOOKUP(tblBDD[[#This Row],[N Compte 1]],tblDescriptionCompte[#Data],2,FALSE)</f>
        <v>Entretien et petites réparations électricité</v>
      </c>
      <c r="I146" t="b">
        <f>COUNT(tblBDD[[#This Row],[B2011]:[B2014]])=7</f>
        <v>0</v>
      </c>
      <c r="J146" s="2"/>
      <c r="K146" s="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x14ac:dyDescent="0.25">
      <c r="A147" t="s">
        <v>23</v>
      </c>
      <c r="B147">
        <v>61520400</v>
      </c>
      <c r="C147">
        <f>VALUE(LEFT(tblBDD[[#This Row],[N Compte 1]],2))</f>
        <v>61</v>
      </c>
      <c r="D147">
        <f>VALUE(LEFT(tblBDD[[#This Row],[N Compte 1]],3))</f>
        <v>615</v>
      </c>
      <c r="E147" t="str">
        <f>VLOOKUP(tblBDD[[#This Row],[N abrégé 1]],tblIntituléCompte[#Data],3,FALSE)</f>
        <v>61 - Services extérieurs</v>
      </c>
      <c r="F147" t="str">
        <f>VLOOKUP(tblBDD[[#This Row],[N abrégé 2]],Tableau5[#Data],3,FALSE)</f>
        <v>615 - Entretien, réparation</v>
      </c>
      <c r="G147">
        <v>11</v>
      </c>
      <c r="H147" t="str">
        <f>VLOOKUP(tblBDD[[#This Row],[N Compte 1]],tblDescriptionCompte[#Data],2,FALSE)</f>
        <v>Entretien et petites réparations plomberie</v>
      </c>
      <c r="I147" t="b">
        <f>COUNT(tblBDD[[#This Row],[B2011]:[B2014]])=7</f>
        <v>0</v>
      </c>
      <c r="J147" s="2"/>
      <c r="K147" s="3"/>
      <c r="L147" s="2"/>
      <c r="M147" s="2"/>
      <c r="N147" s="2"/>
      <c r="O147" s="2">
        <v>218.28</v>
      </c>
      <c r="P147" s="2"/>
      <c r="Q147" s="2"/>
      <c r="R147" s="2"/>
      <c r="S147" s="2">
        <v>1899.24</v>
      </c>
      <c r="T147" s="2"/>
      <c r="U147" s="2">
        <v>99</v>
      </c>
      <c r="V147" s="2"/>
      <c r="W147" s="2"/>
      <c r="X147" s="2"/>
    </row>
    <row r="148" spans="1:24" x14ac:dyDescent="0.25">
      <c r="A148" t="s">
        <v>23</v>
      </c>
      <c r="B148">
        <v>61520600</v>
      </c>
      <c r="C148">
        <f>VALUE(LEFT(tblBDD[[#This Row],[N Compte 1]],2))</f>
        <v>61</v>
      </c>
      <c r="D148">
        <f>VALUE(LEFT(tblBDD[[#This Row],[N Compte 1]],3))</f>
        <v>615</v>
      </c>
      <c r="E148" t="str">
        <f>VLOOKUP(tblBDD[[#This Row],[N abrégé 1]],tblIntituléCompte[#Data],3,FALSE)</f>
        <v>61 - Services extérieurs</v>
      </c>
      <c r="F148" t="str">
        <f>VLOOKUP(tblBDD[[#This Row],[N abrégé 2]],Tableau5[#Data],3,FALSE)</f>
        <v>615 - Entretien, réparation</v>
      </c>
      <c r="G148">
        <v>11</v>
      </c>
      <c r="H148" t="str">
        <f>VLOOKUP(tblBDD[[#This Row],[N Compte 1]],tblDescriptionCompte[#Data],2,FALSE)</f>
        <v>Entretien et petites réparations étanchéité</v>
      </c>
      <c r="I148" t="b">
        <f>COUNT(tblBDD[[#This Row],[B2011]:[B2014]])=7</f>
        <v>0</v>
      </c>
      <c r="J148" s="2"/>
      <c r="K148" s="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x14ac:dyDescent="0.25">
      <c r="A149" t="s">
        <v>23</v>
      </c>
      <c r="B149">
        <v>61520800</v>
      </c>
      <c r="C149">
        <f>VALUE(LEFT(tblBDD[[#This Row],[N Compte 1]],2))</f>
        <v>61</v>
      </c>
      <c r="D149">
        <f>VALUE(LEFT(tblBDD[[#This Row],[N Compte 1]],3))</f>
        <v>615</v>
      </c>
      <c r="E149" t="str">
        <f>VLOOKUP(tblBDD[[#This Row],[N abrégé 1]],tblIntituléCompte[#Data],3,FALSE)</f>
        <v>61 - Services extérieurs</v>
      </c>
      <c r="F149" t="str">
        <f>VLOOKUP(tblBDD[[#This Row],[N abrégé 2]],Tableau5[#Data],3,FALSE)</f>
        <v>615 - Entretien, réparation</v>
      </c>
      <c r="G149">
        <v>11</v>
      </c>
      <c r="H149" t="str">
        <f>VLOOKUP(tblBDD[[#This Row],[N Compte 1]],tblDescriptionCompte[#Data],2,FALSE)</f>
        <v>Entretien et petites réparations portes et serrures</v>
      </c>
      <c r="I149" t="b">
        <f>COUNT(tblBDD[[#This Row],[B2011]:[B2014]])=7</f>
        <v>0</v>
      </c>
      <c r="J149" s="2"/>
      <c r="K149" s="3">
        <v>226.72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x14ac:dyDescent="0.25">
      <c r="A150" t="s">
        <v>23</v>
      </c>
      <c r="B150">
        <v>61550100</v>
      </c>
      <c r="C150">
        <f>VALUE(LEFT(tblBDD[[#This Row],[N Compte 1]],2))</f>
        <v>61</v>
      </c>
      <c r="D150">
        <f>VALUE(LEFT(tblBDD[[#This Row],[N Compte 1]],3))</f>
        <v>615</v>
      </c>
      <c r="E150" t="str">
        <f>VLOOKUP(tblBDD[[#This Row],[N abrégé 1]],tblIntituléCompte[#Data],3,FALSE)</f>
        <v>61 - Services extérieurs</v>
      </c>
      <c r="F150" t="str">
        <f>VLOOKUP(tblBDD[[#This Row],[N abrégé 2]],Tableau5[#Data],3,FALSE)</f>
        <v>615 - Entretien, réparation</v>
      </c>
      <c r="G150">
        <v>11</v>
      </c>
      <c r="H150" t="str">
        <f>VLOOKUP(tblBDD[[#This Row],[N Compte 1]],tblDescriptionCompte[#Data],2,FALSE)</f>
        <v>Entretien et petites réparations matériel</v>
      </c>
      <c r="I150" t="b">
        <f>COUNT(tblBDD[[#This Row],[B2011]:[B2014]])=7</f>
        <v>0</v>
      </c>
      <c r="J150" s="2">
        <v>300</v>
      </c>
      <c r="K150" s="3"/>
      <c r="L150" s="2">
        <v>300</v>
      </c>
      <c r="M150" s="2"/>
      <c r="N150" s="2">
        <v>300</v>
      </c>
      <c r="O150" s="2"/>
      <c r="P150" s="2">
        <v>310</v>
      </c>
      <c r="Q150" s="2"/>
      <c r="R150" s="2">
        <v>550</v>
      </c>
      <c r="S150" s="2"/>
      <c r="T150" s="2">
        <v>550</v>
      </c>
      <c r="U150" s="2"/>
      <c r="V150" s="2">
        <v>550</v>
      </c>
      <c r="W150" s="2">
        <v>550</v>
      </c>
      <c r="X150" s="2">
        <v>550</v>
      </c>
    </row>
    <row r="151" spans="1:24" x14ac:dyDescent="0.25">
      <c r="A151" t="s">
        <v>23</v>
      </c>
      <c r="B151">
        <v>60210000</v>
      </c>
      <c r="C151">
        <f>VALUE(LEFT(tblBDD[[#This Row],[N Compte 1]],2))</f>
        <v>60</v>
      </c>
      <c r="D151">
        <f>VALUE(LEFT(tblBDD[[#This Row],[N Compte 1]],3))</f>
        <v>602</v>
      </c>
      <c r="E151" t="str">
        <f>VLOOKUP(tblBDD[[#This Row],[N abrégé 1]],tblIntituléCompte[#Data],3,FALSE)</f>
        <v>60 - Achats fournitures</v>
      </c>
      <c r="F151" t="str">
        <f>VLOOKUP(tblBDD[[#This Row],[N abrégé 2]],Tableau5[#Data],3,FALSE)</f>
        <v>602 - Electricité</v>
      </c>
      <c r="G151">
        <v>12</v>
      </c>
      <c r="H151" t="str">
        <f>VLOOKUP(tblBDD[[#This Row],[N Compte 1]],tblDescriptionCompte[#Data],2,FALSE)</f>
        <v>Electricité</v>
      </c>
      <c r="I151" t="b">
        <f>COUNT(tblBDD[[#This Row],[B2011]:[B2014]])=7</f>
        <v>1</v>
      </c>
      <c r="J151" s="2">
        <v>500</v>
      </c>
      <c r="K151" s="3">
        <v>448.57</v>
      </c>
      <c r="L151" s="2">
        <v>500</v>
      </c>
      <c r="M151" s="2">
        <v>509.5</v>
      </c>
      <c r="N151" s="2">
        <v>500</v>
      </c>
      <c r="O151" s="2">
        <v>581.09</v>
      </c>
      <c r="P151" s="2">
        <v>515</v>
      </c>
      <c r="Q151" s="2">
        <v>633.9</v>
      </c>
      <c r="R151" s="2">
        <v>750</v>
      </c>
      <c r="S151" s="2">
        <v>670.65</v>
      </c>
      <c r="T151" s="2">
        <v>750</v>
      </c>
      <c r="U151" s="2">
        <f>663.2-18.97</f>
        <v>644.23</v>
      </c>
      <c r="V151" s="2">
        <v>750</v>
      </c>
      <c r="W151" s="2">
        <v>655</v>
      </c>
      <c r="X151" s="2">
        <v>655</v>
      </c>
    </row>
    <row r="152" spans="1:24" x14ac:dyDescent="0.25">
      <c r="A152" t="s">
        <v>23</v>
      </c>
      <c r="B152">
        <v>61521100</v>
      </c>
      <c r="C152">
        <f>VALUE(LEFT(tblBDD[[#This Row],[N Compte 1]],2))</f>
        <v>61</v>
      </c>
      <c r="D152">
        <f>VALUE(LEFT(tblBDD[[#This Row],[N Compte 1]],3))</f>
        <v>615</v>
      </c>
      <c r="E152" t="str">
        <f>VLOOKUP(tblBDD[[#This Row],[N abrégé 1]],tblIntituléCompte[#Data],3,FALSE)</f>
        <v>61 - Services extérieurs</v>
      </c>
      <c r="F152" t="str">
        <f>VLOOKUP(tblBDD[[#This Row],[N abrégé 2]],Tableau5[#Data],3,FALSE)</f>
        <v>615 - Entretien, réparation</v>
      </c>
      <c r="G152">
        <v>12</v>
      </c>
      <c r="H152" t="str">
        <f>VLOOKUP(tblBDD[[#This Row],[N Compte 1]],tblDescriptionCompte[#Data],2,FALSE)</f>
        <v>Entretien et petites réparations ventilations</v>
      </c>
      <c r="I152" t="b">
        <f>COUNT(tblBDD[[#This Row],[B2011]:[B2014]])=7</f>
        <v>0</v>
      </c>
      <c r="J152" s="2"/>
      <c r="K152" s="3"/>
      <c r="L152" s="2"/>
      <c r="M152" s="2"/>
      <c r="N152" s="2"/>
      <c r="O152" s="2"/>
      <c r="P152" s="2"/>
      <c r="Q152" s="2">
        <v>173.8</v>
      </c>
      <c r="R152" s="2"/>
      <c r="S152" s="2"/>
      <c r="T152" s="2"/>
      <c r="U152" s="2">
        <v>18.920000000000002</v>
      </c>
      <c r="V152" s="2"/>
      <c r="W152" s="2"/>
      <c r="X152" s="2"/>
    </row>
    <row r="153" spans="1:24" x14ac:dyDescent="0.25">
      <c r="A153" t="s">
        <v>23</v>
      </c>
      <c r="B153">
        <v>60410000</v>
      </c>
      <c r="C153">
        <f>VALUE(LEFT(tblBDD[[#This Row],[N Compte 1]],2))</f>
        <v>60</v>
      </c>
      <c r="D153">
        <f>VALUE(LEFT(tblBDD[[#This Row],[N Compte 1]],3))</f>
        <v>604</v>
      </c>
      <c r="E153" t="str">
        <f>VLOOKUP(tblBDD[[#This Row],[N abrégé 1]],tblIntituléCompte[#Data],3,FALSE)</f>
        <v>60 - Achats fournitures</v>
      </c>
      <c r="F153" t="str">
        <f>VLOOKUP(tblBDD[[#This Row],[N abrégé 2]],Tableau5[#Data],3,FALSE)</f>
        <v>604 - Produits d'entretien et petit équipement</v>
      </c>
      <c r="G153">
        <v>12</v>
      </c>
      <c r="H153" t="str">
        <f>VLOOKUP(tblBDD[[#This Row],[N Compte 1]],tblDescriptionCompte[#Data],2,FALSE)</f>
        <v>Produits d'entretien et petit équipement</v>
      </c>
      <c r="I153" t="b">
        <f>COUNT(tblBDD[[#This Row],[B2011]:[B2014]])=7</f>
        <v>0</v>
      </c>
      <c r="J153" s="2"/>
      <c r="K153" s="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x14ac:dyDescent="0.25">
      <c r="A154" t="s">
        <v>23</v>
      </c>
      <c r="B154">
        <v>61520300</v>
      </c>
      <c r="C154">
        <f>VALUE(LEFT(tblBDD[[#This Row],[N Compte 1]],2))</f>
        <v>61</v>
      </c>
      <c r="D154">
        <f>VALUE(LEFT(tblBDD[[#This Row],[N Compte 1]],3))</f>
        <v>615</v>
      </c>
      <c r="E154" t="str">
        <f>VLOOKUP(tblBDD[[#This Row],[N abrégé 1]],tblIntituléCompte[#Data],3,FALSE)</f>
        <v>61 - Services extérieurs</v>
      </c>
      <c r="F154" t="str">
        <f>VLOOKUP(tblBDD[[#This Row],[N abrégé 2]],Tableau5[#Data],3,FALSE)</f>
        <v>615 - Entretien, réparation</v>
      </c>
      <c r="G154">
        <v>12</v>
      </c>
      <c r="H154" t="str">
        <f>VLOOKUP(tblBDD[[#This Row],[N Compte 1]],tblDescriptionCompte[#Data],2,FALSE)</f>
        <v>Entretien et petites réparations électricité</v>
      </c>
      <c r="I154" t="b">
        <f>COUNT(tblBDD[[#This Row],[B2011]:[B2014]])=7</f>
        <v>0</v>
      </c>
      <c r="J154" s="2"/>
      <c r="K154" s="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x14ac:dyDescent="0.25">
      <c r="A155" t="s">
        <v>23</v>
      </c>
      <c r="B155">
        <v>61520400</v>
      </c>
      <c r="C155">
        <f>VALUE(LEFT(tblBDD[[#This Row],[N Compte 1]],2))</f>
        <v>61</v>
      </c>
      <c r="D155">
        <f>VALUE(LEFT(tblBDD[[#This Row],[N Compte 1]],3))</f>
        <v>615</v>
      </c>
      <c r="E155" t="str">
        <f>VLOOKUP(tblBDD[[#This Row],[N abrégé 1]],tblIntituléCompte[#Data],3,FALSE)</f>
        <v>61 - Services extérieurs</v>
      </c>
      <c r="F155" t="str">
        <f>VLOOKUP(tblBDD[[#This Row],[N abrégé 2]],Tableau5[#Data],3,FALSE)</f>
        <v>615 - Entretien, réparation</v>
      </c>
      <c r="G155">
        <v>12</v>
      </c>
      <c r="H155" t="str">
        <f>VLOOKUP(tblBDD[[#This Row],[N Compte 1]],tblDescriptionCompte[#Data],2,FALSE)</f>
        <v>Entretien et petites réparations plomberie</v>
      </c>
      <c r="I155" t="b">
        <f>COUNT(tblBDD[[#This Row],[B2011]:[B2014]])=7</f>
        <v>0</v>
      </c>
      <c r="J155" s="2"/>
      <c r="K155" s="3">
        <v>143.61000000000001</v>
      </c>
      <c r="L155" s="2"/>
      <c r="M155" s="2">
        <v>192.6</v>
      </c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x14ac:dyDescent="0.25">
      <c r="A156" t="s">
        <v>23</v>
      </c>
      <c r="B156">
        <v>61520600</v>
      </c>
      <c r="C156">
        <f>VALUE(LEFT(tblBDD[[#This Row],[N Compte 1]],2))</f>
        <v>61</v>
      </c>
      <c r="D156">
        <f>VALUE(LEFT(tblBDD[[#This Row],[N Compte 1]],3))</f>
        <v>615</v>
      </c>
      <c r="E156" t="str">
        <f>VLOOKUP(tblBDD[[#This Row],[N abrégé 1]],tblIntituléCompte[#Data],3,FALSE)</f>
        <v>61 - Services extérieurs</v>
      </c>
      <c r="F156" t="str">
        <f>VLOOKUP(tblBDD[[#This Row],[N abrégé 2]],Tableau5[#Data],3,FALSE)</f>
        <v>615 - Entretien, réparation</v>
      </c>
      <c r="G156">
        <v>12</v>
      </c>
      <c r="H156" t="str">
        <f>VLOOKUP(tblBDD[[#This Row],[N Compte 1]],tblDescriptionCompte[#Data],2,FALSE)</f>
        <v>Entretien et petites réparations étanchéité</v>
      </c>
      <c r="I156" t="b">
        <f>COUNT(tblBDD[[#This Row],[B2011]:[B2014]])=7</f>
        <v>0</v>
      </c>
      <c r="J156" s="2"/>
      <c r="K156" s="3"/>
      <c r="L156" s="2"/>
      <c r="M156" s="2"/>
      <c r="N156" s="2"/>
      <c r="O156" s="2">
        <v>518.95000000000005</v>
      </c>
      <c r="P156" s="2"/>
      <c r="Q156" s="2"/>
      <c r="R156" s="2"/>
      <c r="S156" s="2"/>
      <c r="T156" s="2"/>
      <c r="U156" s="2"/>
      <c r="V156" s="2"/>
      <c r="W156" s="2"/>
      <c r="X156" s="2"/>
    </row>
    <row r="157" spans="1:24" x14ac:dyDescent="0.25">
      <c r="A157" t="s">
        <v>23</v>
      </c>
      <c r="B157">
        <v>61520800</v>
      </c>
      <c r="C157">
        <f>VALUE(LEFT(tblBDD[[#This Row],[N Compte 1]],2))</f>
        <v>61</v>
      </c>
      <c r="D157">
        <f>VALUE(LEFT(tblBDD[[#This Row],[N Compte 1]],3))</f>
        <v>615</v>
      </c>
      <c r="E157" t="str">
        <f>VLOOKUP(tblBDD[[#This Row],[N abrégé 1]],tblIntituléCompte[#Data],3,FALSE)</f>
        <v>61 - Services extérieurs</v>
      </c>
      <c r="F157" t="str">
        <f>VLOOKUP(tblBDD[[#This Row],[N abrégé 2]],Tableau5[#Data],3,FALSE)</f>
        <v>615 - Entretien, réparation</v>
      </c>
      <c r="G157">
        <v>12</v>
      </c>
      <c r="H157" t="str">
        <f>VLOOKUP(tblBDD[[#This Row],[N Compte 1]],tblDescriptionCompte[#Data],2,FALSE)</f>
        <v>Entretien et petites réparations portes et serrures</v>
      </c>
      <c r="I157" t="b">
        <f>COUNT(tblBDD[[#This Row],[B2011]:[B2014]])=7</f>
        <v>0</v>
      </c>
      <c r="J157" s="2"/>
      <c r="K157" s="3"/>
      <c r="L157" s="2"/>
      <c r="M157" s="2">
        <v>683.31</v>
      </c>
      <c r="N157" s="2"/>
      <c r="O157" s="2"/>
      <c r="P157" s="2"/>
      <c r="Q157" s="2"/>
      <c r="R157" s="2"/>
      <c r="S157" s="2">
        <v>277.63</v>
      </c>
      <c r="T157" s="2"/>
      <c r="U157" s="2">
        <v>136.94999999999999</v>
      </c>
      <c r="V157" s="2"/>
      <c r="W157" s="2"/>
      <c r="X157" s="2"/>
    </row>
    <row r="158" spans="1:24" x14ac:dyDescent="0.25">
      <c r="A158" t="s">
        <v>23</v>
      </c>
      <c r="B158">
        <v>61521300</v>
      </c>
      <c r="C158">
        <f>VALUE(LEFT(tblBDD[[#This Row],[N Compte 1]],2))</f>
        <v>61</v>
      </c>
      <c r="D158">
        <f>VALUE(LEFT(tblBDD[[#This Row],[N Compte 1]],3))</f>
        <v>615</v>
      </c>
      <c r="E158" t="str">
        <f>VLOOKUP(tblBDD[[#This Row],[N abrégé 1]],tblIntituléCompte[#Data],3,FALSE)</f>
        <v>61 - Services extérieurs</v>
      </c>
      <c r="F158" t="str">
        <f>VLOOKUP(tblBDD[[#This Row],[N abrégé 2]],Tableau5[#Data],3,FALSE)</f>
        <v>615 - Entretien, réparation</v>
      </c>
      <c r="G158">
        <v>12</v>
      </c>
      <c r="H158" t="str">
        <f>VLOOKUP(tblBDD[[#This Row],[N Compte 1]],tblDescriptionCompte[#Data],2,FALSE)</f>
        <v>Entretien et réparations réseau eaux usées</v>
      </c>
      <c r="I158" t="b">
        <f>COUNT(tblBDD[[#This Row],[B2011]:[B2014]])=7</f>
        <v>0</v>
      </c>
      <c r="J158" s="2"/>
      <c r="K158" s="3"/>
      <c r="L158" s="2"/>
      <c r="M158" s="2"/>
      <c r="N158" s="2"/>
      <c r="O158" s="2"/>
      <c r="P158" s="2"/>
      <c r="Q158" s="2">
        <v>413.6</v>
      </c>
      <c r="R158" s="2"/>
      <c r="S158" s="2"/>
      <c r="T158" s="2"/>
      <c r="U158" s="2"/>
      <c r="V158" s="2"/>
      <c r="W158" s="2"/>
      <c r="X158" s="2"/>
    </row>
    <row r="159" spans="1:24" x14ac:dyDescent="0.25">
      <c r="A159" t="s">
        <v>23</v>
      </c>
      <c r="B159">
        <v>61522100</v>
      </c>
      <c r="C159">
        <f>VALUE(LEFT(tblBDD[[#This Row],[N Compte 1]],2))</f>
        <v>61</v>
      </c>
      <c r="D159">
        <f>VALUE(LEFT(tblBDD[[#This Row],[N Compte 1]],3))</f>
        <v>615</v>
      </c>
      <c r="E159" t="str">
        <f>VLOOKUP(tblBDD[[#This Row],[N abrégé 1]],tblIntituléCompte[#Data],3,FALSE)</f>
        <v>61 - Services extérieurs</v>
      </c>
      <c r="F159" t="str">
        <f>VLOOKUP(tblBDD[[#This Row],[N abrégé 2]],Tableau5[#Data],3,FALSE)</f>
        <v>615 - Entretien, réparation</v>
      </c>
      <c r="G159">
        <v>12</v>
      </c>
      <c r="H159" t="str">
        <f>VLOOKUP(tblBDD[[#This Row],[N Compte 1]],tblDescriptionCompte[#Data],2,FALSE)</f>
        <v>Entretien et petites réparations miroiterie, vitrerie</v>
      </c>
      <c r="I159" t="b">
        <f>COUNT(tblBDD[[#This Row],[B2011]:[B2014]])=7</f>
        <v>0</v>
      </c>
      <c r="J159" s="2"/>
      <c r="K159" s="3"/>
      <c r="L159" s="2"/>
      <c r="M159" s="2"/>
      <c r="N159" s="2"/>
      <c r="O159" s="2"/>
      <c r="P159" s="2"/>
      <c r="Q159" s="2">
        <v>177.61</v>
      </c>
      <c r="R159" s="2"/>
      <c r="S159" s="2"/>
      <c r="T159" s="2"/>
      <c r="U159" s="2"/>
      <c r="V159" s="2"/>
      <c r="W159" s="2"/>
      <c r="X159" s="2"/>
    </row>
    <row r="160" spans="1:24" x14ac:dyDescent="0.25">
      <c r="A160" t="s">
        <v>23</v>
      </c>
      <c r="B160">
        <v>61550100</v>
      </c>
      <c r="C160">
        <f>VALUE(LEFT(tblBDD[[#This Row],[N Compte 1]],2))</f>
        <v>61</v>
      </c>
      <c r="D160">
        <f>VALUE(LEFT(tblBDD[[#This Row],[N Compte 1]],3))</f>
        <v>615</v>
      </c>
      <c r="E160" t="str">
        <f>VLOOKUP(tblBDD[[#This Row],[N abrégé 1]],tblIntituléCompte[#Data],3,FALSE)</f>
        <v>61 - Services extérieurs</v>
      </c>
      <c r="F160" t="str">
        <f>VLOOKUP(tblBDD[[#This Row],[N abrégé 2]],Tableau5[#Data],3,FALSE)</f>
        <v>615 - Entretien, réparation</v>
      </c>
      <c r="G160">
        <v>12</v>
      </c>
      <c r="H160" t="str">
        <f>VLOOKUP(tblBDD[[#This Row],[N Compte 1]],tblDescriptionCompte[#Data],2,FALSE)</f>
        <v>Entretien et petites réparations matériel</v>
      </c>
      <c r="I160" t="b">
        <f>COUNT(tblBDD[[#This Row],[B2011]:[B2014]])=7</f>
        <v>0</v>
      </c>
      <c r="J160" s="2">
        <v>300</v>
      </c>
      <c r="K160" s="3"/>
      <c r="L160" s="2">
        <v>300</v>
      </c>
      <c r="M160" s="2"/>
      <c r="N160" s="2">
        <v>300</v>
      </c>
      <c r="O160" s="2"/>
      <c r="P160" s="2">
        <v>310</v>
      </c>
      <c r="Q160" s="2"/>
      <c r="R160" s="2">
        <v>550</v>
      </c>
      <c r="S160" s="2"/>
      <c r="T160" s="2">
        <v>550</v>
      </c>
      <c r="U160" s="2"/>
      <c r="V160" s="2">
        <v>550</v>
      </c>
      <c r="W160" s="2">
        <v>550</v>
      </c>
      <c r="X160" s="2">
        <v>550</v>
      </c>
    </row>
    <row r="161" spans="1:24" x14ac:dyDescent="0.25">
      <c r="A161" t="s">
        <v>23</v>
      </c>
      <c r="B161">
        <v>60210000</v>
      </c>
      <c r="C161">
        <f>VALUE(LEFT(tblBDD[[#This Row],[N Compte 1]],2))</f>
        <v>60</v>
      </c>
      <c r="D161">
        <f>VALUE(LEFT(tblBDD[[#This Row],[N Compte 1]],3))</f>
        <v>602</v>
      </c>
      <c r="E161" t="str">
        <f>VLOOKUP(tblBDD[[#This Row],[N abrégé 1]],tblIntituléCompte[#Data],3,FALSE)</f>
        <v>60 - Achats fournitures</v>
      </c>
      <c r="F161" t="str">
        <f>VLOOKUP(tblBDD[[#This Row],[N abrégé 2]],Tableau5[#Data],3,FALSE)</f>
        <v>602 - Electricité</v>
      </c>
      <c r="G161">
        <v>13</v>
      </c>
      <c r="H161" t="str">
        <f>VLOOKUP(tblBDD[[#This Row],[N Compte 1]],tblDescriptionCompte[#Data],2,FALSE)</f>
        <v>Electricité</v>
      </c>
      <c r="I161" t="b">
        <f>COUNT(tblBDD[[#This Row],[B2011]:[B2014]])=7</f>
        <v>1</v>
      </c>
      <c r="J161" s="2">
        <v>350</v>
      </c>
      <c r="K161" s="3">
        <v>335.74</v>
      </c>
      <c r="L161" s="2">
        <v>500</v>
      </c>
      <c r="M161" s="2">
        <v>370.18</v>
      </c>
      <c r="N161" s="2">
        <v>500</v>
      </c>
      <c r="O161" s="2">
        <v>390.3</v>
      </c>
      <c r="P161" s="2">
        <v>510</v>
      </c>
      <c r="Q161" s="2">
        <v>425.87</v>
      </c>
      <c r="R161" s="2">
        <v>510</v>
      </c>
      <c r="S161" s="2">
        <v>448.81</v>
      </c>
      <c r="T161" s="2">
        <v>510</v>
      </c>
      <c r="U161" s="2">
        <f>455.18-8.51</f>
        <v>446.67</v>
      </c>
      <c r="V161" s="2">
        <v>510</v>
      </c>
      <c r="W161" s="2">
        <v>455</v>
      </c>
      <c r="X161" s="2">
        <v>455</v>
      </c>
    </row>
    <row r="162" spans="1:24" x14ac:dyDescent="0.25">
      <c r="A162" t="s">
        <v>23</v>
      </c>
      <c r="B162">
        <v>60410000</v>
      </c>
      <c r="C162">
        <f>VALUE(LEFT(tblBDD[[#This Row],[N Compte 1]],2))</f>
        <v>60</v>
      </c>
      <c r="D162">
        <f>VALUE(LEFT(tblBDD[[#This Row],[N Compte 1]],3))</f>
        <v>604</v>
      </c>
      <c r="E162" t="str">
        <f>VLOOKUP(tblBDD[[#This Row],[N abrégé 1]],tblIntituléCompte[#Data],3,FALSE)</f>
        <v>60 - Achats fournitures</v>
      </c>
      <c r="F162" t="str">
        <f>VLOOKUP(tblBDD[[#This Row],[N abrégé 2]],Tableau5[#Data],3,FALSE)</f>
        <v>604 - Produits d'entretien et petit équipement</v>
      </c>
      <c r="G162">
        <v>13</v>
      </c>
      <c r="H162" t="str">
        <f>VLOOKUP(tblBDD[[#This Row],[N Compte 1]],tblDescriptionCompte[#Data],2,FALSE)</f>
        <v>Produits d'entretien et petit équipement</v>
      </c>
      <c r="I162" t="b">
        <f>COUNT(tblBDD[[#This Row],[B2011]:[B2014]])=7</f>
        <v>0</v>
      </c>
      <c r="J162" s="2"/>
      <c r="K162" s="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x14ac:dyDescent="0.25">
      <c r="A163" t="s">
        <v>23</v>
      </c>
      <c r="B163">
        <v>61520300</v>
      </c>
      <c r="C163">
        <f>VALUE(LEFT(tblBDD[[#This Row],[N Compte 1]],2))</f>
        <v>61</v>
      </c>
      <c r="D163">
        <f>VALUE(LEFT(tblBDD[[#This Row],[N Compte 1]],3))</f>
        <v>615</v>
      </c>
      <c r="E163" t="str">
        <f>VLOOKUP(tblBDD[[#This Row],[N abrégé 1]],tblIntituléCompte[#Data],3,FALSE)</f>
        <v>61 - Services extérieurs</v>
      </c>
      <c r="F163" t="str">
        <f>VLOOKUP(tblBDD[[#This Row],[N abrégé 2]],Tableau5[#Data],3,FALSE)</f>
        <v>615 - Entretien, réparation</v>
      </c>
      <c r="G163">
        <v>13</v>
      </c>
      <c r="H163" t="str">
        <f>VLOOKUP(tblBDD[[#This Row],[N Compte 1]],tblDescriptionCompte[#Data],2,FALSE)</f>
        <v>Entretien et petites réparations électricité</v>
      </c>
      <c r="I163" t="b">
        <f>COUNT(tblBDD[[#This Row],[B2011]:[B2014]])=7</f>
        <v>0</v>
      </c>
      <c r="J163" s="2"/>
      <c r="K163" s="3"/>
      <c r="L163" s="2"/>
      <c r="M163" s="2"/>
      <c r="N163" s="2"/>
      <c r="O163" s="2"/>
      <c r="P163" s="2"/>
      <c r="Q163" s="2"/>
      <c r="R163" s="2"/>
      <c r="S163" s="2">
        <v>247.5</v>
      </c>
      <c r="T163" s="2"/>
      <c r="U163" s="2"/>
      <c r="V163" s="2"/>
      <c r="W163" s="2"/>
      <c r="X163" s="2"/>
    </row>
    <row r="164" spans="1:24" x14ac:dyDescent="0.25">
      <c r="A164" t="s">
        <v>23</v>
      </c>
      <c r="B164">
        <v>61520400</v>
      </c>
      <c r="C164">
        <f>VALUE(LEFT(tblBDD[[#This Row],[N Compte 1]],2))</f>
        <v>61</v>
      </c>
      <c r="D164">
        <f>VALUE(LEFT(tblBDD[[#This Row],[N Compte 1]],3))</f>
        <v>615</v>
      </c>
      <c r="E164" t="str">
        <f>VLOOKUP(tblBDD[[#This Row],[N abrégé 1]],tblIntituléCompte[#Data],3,FALSE)</f>
        <v>61 - Services extérieurs</v>
      </c>
      <c r="F164" t="str">
        <f>VLOOKUP(tblBDD[[#This Row],[N abrégé 2]],Tableau5[#Data],3,FALSE)</f>
        <v>615 - Entretien, réparation</v>
      </c>
      <c r="G164">
        <v>13</v>
      </c>
      <c r="H164" t="str">
        <f>VLOOKUP(tblBDD[[#This Row],[N Compte 1]],tblDescriptionCompte[#Data],2,FALSE)</f>
        <v>Entretien et petites réparations plomberie</v>
      </c>
      <c r="I164" t="b">
        <f>COUNT(tblBDD[[#This Row],[B2011]:[B2014]])=7</f>
        <v>0</v>
      </c>
      <c r="J164" s="2"/>
      <c r="K164" s="3"/>
      <c r="L164" s="2"/>
      <c r="M164" s="2">
        <v>192.6</v>
      </c>
      <c r="N164" s="2"/>
      <c r="O164" s="2">
        <v>516.66999999999996</v>
      </c>
      <c r="P164" s="2"/>
      <c r="Q164" s="2"/>
      <c r="R164" s="2"/>
      <c r="S164" s="2"/>
      <c r="T164" s="2"/>
      <c r="U164" s="2"/>
      <c r="V164" s="2"/>
      <c r="W164" s="2"/>
      <c r="X164" s="2"/>
    </row>
    <row r="165" spans="1:24" x14ac:dyDescent="0.25">
      <c r="A165" t="s">
        <v>23</v>
      </c>
      <c r="B165">
        <v>61520600</v>
      </c>
      <c r="C165">
        <f>VALUE(LEFT(tblBDD[[#This Row],[N Compte 1]],2))</f>
        <v>61</v>
      </c>
      <c r="D165">
        <f>VALUE(LEFT(tblBDD[[#This Row],[N Compte 1]],3))</f>
        <v>615</v>
      </c>
      <c r="E165" t="str">
        <f>VLOOKUP(tblBDD[[#This Row],[N abrégé 1]],tblIntituléCompte[#Data],3,FALSE)</f>
        <v>61 - Services extérieurs</v>
      </c>
      <c r="F165" t="str">
        <f>VLOOKUP(tblBDD[[#This Row],[N abrégé 2]],Tableau5[#Data],3,FALSE)</f>
        <v>615 - Entretien, réparation</v>
      </c>
      <c r="G165">
        <v>13</v>
      </c>
      <c r="H165" t="str">
        <f>VLOOKUP(tblBDD[[#This Row],[N Compte 1]],tblDescriptionCompte[#Data],2,FALSE)</f>
        <v>Entretien et petites réparations étanchéité</v>
      </c>
      <c r="I165" t="b">
        <f>COUNT(tblBDD[[#This Row],[B2011]:[B2014]])=7</f>
        <v>0</v>
      </c>
      <c r="J165" s="2"/>
      <c r="K165" s="3"/>
      <c r="L165" s="2"/>
      <c r="M165" s="2"/>
      <c r="N165" s="2"/>
      <c r="O165" s="2"/>
      <c r="P165" s="2"/>
      <c r="Q165" s="2"/>
      <c r="R165" s="2"/>
      <c r="S165" s="2"/>
      <c r="T165" s="2"/>
      <c r="U165" s="2">
        <v>629.75</v>
      </c>
      <c r="V165" s="2"/>
      <c r="W165" s="2"/>
      <c r="X165" s="2"/>
    </row>
    <row r="166" spans="1:24" x14ac:dyDescent="0.25">
      <c r="A166" t="s">
        <v>23</v>
      </c>
      <c r="B166">
        <v>61520800</v>
      </c>
      <c r="C166">
        <f>VALUE(LEFT(tblBDD[[#This Row],[N Compte 1]],2))</f>
        <v>61</v>
      </c>
      <c r="D166">
        <f>VALUE(LEFT(tblBDD[[#This Row],[N Compte 1]],3))</f>
        <v>615</v>
      </c>
      <c r="E166" t="str">
        <f>VLOOKUP(tblBDD[[#This Row],[N abrégé 1]],tblIntituléCompte[#Data],3,FALSE)</f>
        <v>61 - Services extérieurs</v>
      </c>
      <c r="F166" t="str">
        <f>VLOOKUP(tblBDD[[#This Row],[N abrégé 2]],Tableau5[#Data],3,FALSE)</f>
        <v>615 - Entretien, réparation</v>
      </c>
      <c r="G166">
        <v>13</v>
      </c>
      <c r="H166" t="str">
        <f>VLOOKUP(tblBDD[[#This Row],[N Compte 1]],tblDescriptionCompte[#Data],2,FALSE)</f>
        <v>Entretien et petites réparations portes et serrures</v>
      </c>
      <c r="I166" t="b">
        <f>COUNT(tblBDD[[#This Row],[B2011]:[B2014]])=7</f>
        <v>0</v>
      </c>
      <c r="J166" s="2"/>
      <c r="K166" s="3"/>
      <c r="L166" s="2"/>
      <c r="M166" s="2"/>
      <c r="N166" s="2"/>
      <c r="O166" s="2"/>
      <c r="P166" s="2"/>
      <c r="Q166" s="2"/>
      <c r="R166" s="2"/>
      <c r="S166" s="2">
        <v>85.61</v>
      </c>
      <c r="T166" s="2"/>
      <c r="U166" s="2"/>
      <c r="V166" s="2"/>
      <c r="W166" s="2"/>
      <c r="X166" s="2"/>
    </row>
    <row r="167" spans="1:24" x14ac:dyDescent="0.25">
      <c r="A167" t="s">
        <v>23</v>
      </c>
      <c r="B167">
        <v>61521300</v>
      </c>
      <c r="C167">
        <f>VALUE(LEFT(tblBDD[[#This Row],[N Compte 1]],2))</f>
        <v>61</v>
      </c>
      <c r="D167">
        <f>VALUE(LEFT(tblBDD[[#This Row],[N Compte 1]],3))</f>
        <v>615</v>
      </c>
      <c r="E167" t="str">
        <f>VLOOKUP(tblBDD[[#This Row],[N abrégé 1]],tblIntituléCompte[#Data],3,FALSE)</f>
        <v>61 - Services extérieurs</v>
      </c>
      <c r="F167" t="str">
        <f>VLOOKUP(tblBDD[[#This Row],[N abrégé 2]],Tableau5[#Data],3,FALSE)</f>
        <v>615 - Entretien, réparation</v>
      </c>
      <c r="G167">
        <v>13</v>
      </c>
      <c r="H167" t="str">
        <f>VLOOKUP(tblBDD[[#This Row],[N Compte 1]],tblDescriptionCompte[#Data],2,FALSE)</f>
        <v>Entretien et réparations réseau eaux usées</v>
      </c>
      <c r="I167" t="b">
        <f>COUNT(tblBDD[[#This Row],[B2011]:[B2014]])=7</f>
        <v>0</v>
      </c>
      <c r="J167" s="2"/>
      <c r="K167" s="3"/>
      <c r="L167" s="2"/>
      <c r="M167" s="2"/>
      <c r="N167" s="2"/>
      <c r="O167" s="2">
        <v>540.35</v>
      </c>
      <c r="P167" s="2"/>
      <c r="Q167" s="2">
        <v>374.4</v>
      </c>
      <c r="R167" s="2"/>
      <c r="S167" s="2"/>
      <c r="T167" s="2"/>
      <c r="U167" s="2"/>
      <c r="V167" s="2"/>
      <c r="W167" s="2"/>
      <c r="X167" s="2"/>
    </row>
    <row r="168" spans="1:24" x14ac:dyDescent="0.25">
      <c r="A168" t="s">
        <v>23</v>
      </c>
      <c r="B168">
        <v>61522100</v>
      </c>
      <c r="C168">
        <f>VALUE(LEFT(tblBDD[[#This Row],[N Compte 1]],2))</f>
        <v>61</v>
      </c>
      <c r="D168">
        <f>VALUE(LEFT(tblBDD[[#This Row],[N Compte 1]],3))</f>
        <v>615</v>
      </c>
      <c r="E168" t="str">
        <f>VLOOKUP(tblBDD[[#This Row],[N abrégé 1]],tblIntituléCompte[#Data],3,FALSE)</f>
        <v>61 - Services extérieurs</v>
      </c>
      <c r="F168" t="str">
        <f>VLOOKUP(tblBDD[[#This Row],[N abrégé 2]],Tableau5[#Data],3,FALSE)</f>
        <v>615 - Entretien, réparation</v>
      </c>
      <c r="G168">
        <v>13</v>
      </c>
      <c r="H168" t="str">
        <f>VLOOKUP(tblBDD[[#This Row],[N Compte 1]],tblDescriptionCompte[#Data],2,FALSE)</f>
        <v>Entretien et petites réparations miroiterie, vitrerie</v>
      </c>
      <c r="I168" t="b">
        <f>COUNT(tblBDD[[#This Row],[B2011]:[B2014]])=7</f>
        <v>0</v>
      </c>
      <c r="J168" s="2"/>
      <c r="K168" s="3"/>
      <c r="L168" s="2"/>
      <c r="M168" s="2"/>
      <c r="N168" s="2"/>
      <c r="O168" s="2"/>
      <c r="P168" s="2"/>
      <c r="Q168" s="2">
        <v>720</v>
      </c>
      <c r="R168" s="2"/>
      <c r="S168" s="2"/>
      <c r="T168" s="2"/>
      <c r="U168" s="2"/>
      <c r="V168" s="2"/>
      <c r="W168" s="2"/>
      <c r="X168" s="2"/>
    </row>
    <row r="169" spans="1:24" x14ac:dyDescent="0.25">
      <c r="A169" t="s">
        <v>23</v>
      </c>
      <c r="B169">
        <v>61550100</v>
      </c>
      <c r="C169">
        <f>VALUE(LEFT(tblBDD[[#This Row],[N Compte 1]],2))</f>
        <v>61</v>
      </c>
      <c r="D169">
        <f>VALUE(LEFT(tblBDD[[#This Row],[N Compte 1]],3))</f>
        <v>615</v>
      </c>
      <c r="E169" t="str">
        <f>VLOOKUP(tblBDD[[#This Row],[N abrégé 1]],tblIntituléCompte[#Data],3,FALSE)</f>
        <v>61 - Services extérieurs</v>
      </c>
      <c r="F169" t="str">
        <f>VLOOKUP(tblBDD[[#This Row],[N abrégé 2]],Tableau5[#Data],3,FALSE)</f>
        <v>615 - Entretien, réparation</v>
      </c>
      <c r="G169">
        <v>13</v>
      </c>
      <c r="H169" t="str">
        <f>VLOOKUP(tblBDD[[#This Row],[N Compte 1]],tblDescriptionCompte[#Data],2,FALSE)</f>
        <v>Entretien et petites réparations matériel</v>
      </c>
      <c r="I169" t="b">
        <f>COUNT(tblBDD[[#This Row],[B2011]:[B2014]])=7</f>
        <v>0</v>
      </c>
      <c r="J169" s="2">
        <v>300</v>
      </c>
      <c r="K169" s="3"/>
      <c r="L169" s="2">
        <v>300</v>
      </c>
      <c r="M169" s="2"/>
      <c r="N169" s="2">
        <v>300</v>
      </c>
      <c r="O169" s="2"/>
      <c r="P169" s="2">
        <v>310</v>
      </c>
      <c r="Q169" s="2"/>
      <c r="R169" s="2">
        <v>550</v>
      </c>
      <c r="S169" s="2"/>
      <c r="T169" s="2">
        <v>550</v>
      </c>
      <c r="U169" s="2">
        <f>248.49+911.43</f>
        <v>1159.92</v>
      </c>
      <c r="V169" s="2">
        <v>550</v>
      </c>
      <c r="W169" s="2">
        <v>550</v>
      </c>
      <c r="X169" s="2">
        <v>550</v>
      </c>
    </row>
    <row r="170" spans="1:24" x14ac:dyDescent="0.25">
      <c r="A170" t="s">
        <v>218</v>
      </c>
      <c r="B170">
        <v>61428000</v>
      </c>
      <c r="C170">
        <f>VALUE(LEFT(tblBDD[[#This Row],[N Compte 1]],2))</f>
        <v>61</v>
      </c>
      <c r="D170">
        <f>VALUE(LEFT(tblBDD[[#This Row],[N Compte 1]],3))</f>
        <v>614</v>
      </c>
      <c r="E170" t="str">
        <f>VLOOKUP(tblBDD[[#This Row],[N abrégé 1]],tblIntituléCompte[#Data],3,FALSE)</f>
        <v>61 - Services extérieurs</v>
      </c>
      <c r="F170" t="str">
        <f>VLOOKUP(tblBDD[[#This Row],[N abrégé 2]],Tableau5[#Data],3,FALSE)</f>
        <v>614 - Contrats maintenance</v>
      </c>
      <c r="H170" t="str">
        <f>VLOOKUP(tblBDD[[#This Row],[N Compte 1]],tblDescriptionCompte[#Data],2,FALSE)</f>
        <v>Contrat relevés et entretien compteurs</v>
      </c>
      <c r="I170" t="b">
        <f>COUNT(tblBDD[[#This Row],[B2011]:[B2014]])=7</f>
        <v>1</v>
      </c>
      <c r="J170" s="2">
        <v>1650</v>
      </c>
      <c r="K170" s="3">
        <v>1669.75</v>
      </c>
      <c r="L170" s="2">
        <v>1750</v>
      </c>
      <c r="M170" s="2">
        <v>1735.57</v>
      </c>
      <c r="N170" s="2">
        <v>1750</v>
      </c>
      <c r="O170" s="2">
        <v>1780.46</v>
      </c>
      <c r="P170" s="2">
        <v>1800</v>
      </c>
      <c r="Q170" s="2">
        <v>1858.51</v>
      </c>
      <c r="R170" s="2">
        <v>1905</v>
      </c>
      <c r="S170" s="2">
        <v>1904.05</v>
      </c>
      <c r="T170" s="2">
        <v>1905</v>
      </c>
      <c r="U170" s="2">
        <v>1949.59</v>
      </c>
      <c r="V170" s="2">
        <v>1905</v>
      </c>
      <c r="W170" s="2">
        <v>1990</v>
      </c>
      <c r="X170" s="2">
        <v>1990</v>
      </c>
    </row>
    <row r="171" spans="1:24" x14ac:dyDescent="0.25">
      <c r="A171" t="s">
        <v>22</v>
      </c>
      <c r="B171">
        <v>61400000</v>
      </c>
      <c r="C171">
        <f>VALUE(LEFT(tblBDD[[#This Row],[N Compte 1]],2))</f>
        <v>61</v>
      </c>
      <c r="D171">
        <f>VALUE(LEFT(tblBDD[[#This Row],[N Compte 1]],3))</f>
        <v>614</v>
      </c>
      <c r="E171" t="str">
        <f>VLOOKUP(tblBDD[[#This Row],[N abrégé 1]],tblIntituléCompte[#Data],3,FALSE)</f>
        <v>61 - Services extérieurs</v>
      </c>
      <c r="F171" t="str">
        <f>VLOOKUP(tblBDD[[#This Row],[N abrégé 2]],Tableau5[#Data],3,FALSE)</f>
        <v>614 - Contrats maintenance</v>
      </c>
      <c r="H171" t="s">
        <v>231</v>
      </c>
      <c r="I171" t="b">
        <f>COUNT(tblBDD[[#This Row],[B2011]:[B2014]])=7</f>
        <v>0</v>
      </c>
      <c r="J171" s="2"/>
      <c r="K171" s="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>
        <v>6910</v>
      </c>
      <c r="X171" s="2"/>
    </row>
    <row r="172" spans="1:24" x14ac:dyDescent="0.25">
      <c r="A172" t="s">
        <v>22</v>
      </c>
      <c r="B172">
        <v>61400000</v>
      </c>
      <c r="C172">
        <f>VALUE(LEFT(tblBDD[[#This Row],[N Compte 1]],2))</f>
        <v>61</v>
      </c>
      <c r="D172">
        <f>VALUE(LEFT(tblBDD[[#This Row],[N Compte 1]],3))</f>
        <v>614</v>
      </c>
      <c r="E172" t="str">
        <f>VLOOKUP(tblBDD[[#This Row],[N abrégé 1]],tblIntituléCompte[#Data],3,FALSE)</f>
        <v>61 - Services extérieurs</v>
      </c>
      <c r="F172" t="str">
        <f>VLOOKUP(tblBDD[[#This Row],[N abrégé 2]],Tableau5[#Data],3,FALSE)</f>
        <v>614 - Contrats maintenance</v>
      </c>
      <c r="H172" t="s">
        <v>230</v>
      </c>
      <c r="I172" t="b">
        <f>COUNT(tblBDD[[#This Row],[B2011]:[B2014]])=7</f>
        <v>0</v>
      </c>
      <c r="J172" s="2"/>
      <c r="K172" s="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>
        <v>3951</v>
      </c>
    </row>
    <row r="173" spans="1:24" x14ac:dyDescent="0.25">
      <c r="A173" t="s">
        <v>218</v>
      </c>
      <c r="B173">
        <v>61429000</v>
      </c>
      <c r="C173">
        <f>VALUE(LEFT(tblBDD[[#This Row],[N Compte 1]],2))</f>
        <v>61</v>
      </c>
      <c r="D173">
        <f>VALUE(LEFT(tblBDD[[#This Row],[N Compte 1]],3))</f>
        <v>614</v>
      </c>
      <c r="E173" t="str">
        <f>VLOOKUP(tblBDD[[#This Row],[N abrégé 1]],tblIntituléCompte[#Data],3,FALSE)</f>
        <v>61 - Services extérieurs</v>
      </c>
      <c r="F173" t="str">
        <f>VLOOKUP(tblBDD[[#This Row],[N abrégé 2]],Tableau5[#Data],3,FALSE)</f>
        <v>614 - Contrats maintenance</v>
      </c>
      <c r="H173" t="str">
        <f>VLOOKUP(tblBDD[[#This Row],[N Compte 1]],tblDescriptionCompte[#Data],2,FALSE)</f>
        <v>Contrat maintenance collectif TV/Câble</v>
      </c>
      <c r="I173" t="b">
        <f>COUNT(tblBDD[[#This Row],[B2011]:[B2014]])=7</f>
        <v>1</v>
      </c>
      <c r="J173" s="2">
        <v>1040</v>
      </c>
      <c r="K173" s="3">
        <v>1017.6</v>
      </c>
      <c r="L173" s="2">
        <v>1040</v>
      </c>
      <c r="M173" s="2">
        <v>1065.46</v>
      </c>
      <c r="N173" s="2">
        <v>1040</v>
      </c>
      <c r="O173" s="2">
        <v>1113.6199999999999</v>
      </c>
      <c r="P173" s="2">
        <v>1050</v>
      </c>
      <c r="Q173" s="2">
        <v>1161.3900000000001</v>
      </c>
      <c r="R173" s="2">
        <v>1165</v>
      </c>
      <c r="S173" s="2">
        <v>1164.8699999999999</v>
      </c>
      <c r="T173" s="2">
        <v>1165</v>
      </c>
      <c r="U173" s="2">
        <v>1170.81</v>
      </c>
      <c r="V173" s="2">
        <v>1165</v>
      </c>
      <c r="W173" s="2">
        <v>1195</v>
      </c>
      <c r="X173" s="2">
        <v>1195</v>
      </c>
    </row>
    <row r="174" spans="1:24" x14ac:dyDescent="0.25">
      <c r="A174" t="s">
        <v>27</v>
      </c>
      <c r="B174">
        <v>60111000</v>
      </c>
      <c r="C174">
        <f>VALUE(LEFT(tblBDD[[#This Row],[N Compte 1]],2))</f>
        <v>60</v>
      </c>
      <c r="D174">
        <f>VALUE(LEFT(tblBDD[[#This Row],[N Compte 1]],3))</f>
        <v>601</v>
      </c>
      <c r="E174" t="str">
        <f>VLOOKUP(tblBDD[[#This Row],[N abrégé 1]],tblIntituléCompte[#Data],3,FALSE)</f>
        <v>60 - Achats fournitures</v>
      </c>
      <c r="F174" t="str">
        <f>VLOOKUP(tblBDD[[#This Row],[N abrégé 2]],Tableau5[#Data],3,FALSE)</f>
        <v>601 - Eau</v>
      </c>
      <c r="H174" t="str">
        <f>VLOOKUP(tblBDD[[#This Row],[N Compte 1]],tblDescriptionCompte[#Data],2,FALSE)</f>
        <v>Eau froide</v>
      </c>
      <c r="I174" t="b">
        <f>COUNT(tblBDD[[#This Row],[B2011]:[B2014]])=7</f>
        <v>1</v>
      </c>
      <c r="J174" s="2">
        <v>40000</v>
      </c>
      <c r="K174" s="3">
        <v>36661.08</v>
      </c>
      <c r="L174" s="2">
        <v>40000</v>
      </c>
      <c r="M174" s="2">
        <v>43364.2</v>
      </c>
      <c r="N174" s="2">
        <v>40000</v>
      </c>
      <c r="O174" s="2">
        <v>35857.08</v>
      </c>
      <c r="P174" s="2">
        <v>41085</v>
      </c>
      <c r="Q174" s="2">
        <v>38892</v>
      </c>
      <c r="R174" s="2">
        <v>40000</v>
      </c>
      <c r="S174" s="2">
        <v>38505</v>
      </c>
      <c r="T174" s="2">
        <v>40000</v>
      </c>
      <c r="U174" s="2">
        <v>36681.21</v>
      </c>
      <c r="V174" s="2">
        <v>40000</v>
      </c>
      <c r="W174" s="2">
        <v>38000</v>
      </c>
      <c r="X174" s="2">
        <v>38000</v>
      </c>
    </row>
    <row r="175" spans="1:24" x14ac:dyDescent="0.25">
      <c r="A175" t="s">
        <v>27</v>
      </c>
      <c r="B175">
        <v>60111000</v>
      </c>
      <c r="C175">
        <f>VALUE(LEFT(tblBDD[[#This Row],[N Compte 1]],2))</f>
        <v>60</v>
      </c>
      <c r="D175">
        <f>VALUE(LEFT(tblBDD[[#This Row],[N Compte 1]],3))</f>
        <v>601</v>
      </c>
      <c r="E175" t="str">
        <f>VLOOKUP(tblBDD[[#This Row],[N abrégé 1]],tblIntituléCompte[#Data],3,FALSE)</f>
        <v>60 - Achats fournitures</v>
      </c>
      <c r="F175" t="str">
        <f>VLOOKUP(tblBDD[[#This Row],[N abrégé 2]],Tableau5[#Data],3,FALSE)</f>
        <v>601 - Eau</v>
      </c>
      <c r="H175" t="str">
        <f>VLOOKUP(tblBDD[[#This Row],[N Compte 1]],tblDescriptionCompte[#Data],2,FALSE)</f>
        <v>Eau froide</v>
      </c>
      <c r="I175" t="b">
        <f>COUNT(tblBDD[[#This Row],[B2011]:[B2014]])=7</f>
        <v>0</v>
      </c>
      <c r="J175" s="2"/>
      <c r="K175" s="3">
        <v>2590.56</v>
      </c>
      <c r="L175" s="2"/>
      <c r="M175" s="2">
        <v>-4035.69</v>
      </c>
      <c r="N175" s="2"/>
      <c r="O175" s="2">
        <v>3638.27</v>
      </c>
      <c r="P175" s="2"/>
      <c r="Q175" s="2">
        <v>-476.15</v>
      </c>
      <c r="R175" s="2"/>
      <c r="S175" s="2">
        <v>-3009.04</v>
      </c>
      <c r="T175" s="2"/>
      <c r="U175" s="2"/>
      <c r="V175" s="2"/>
      <c r="W175" s="2"/>
      <c r="X175" s="2"/>
    </row>
    <row r="176" spans="1:24" x14ac:dyDescent="0.25">
      <c r="A176" t="s">
        <v>22</v>
      </c>
      <c r="B176">
        <v>71801001</v>
      </c>
      <c r="C176">
        <f>VALUE(LEFT(tblBDD[[#This Row],[N Compte 1]],2))</f>
        <v>71</v>
      </c>
      <c r="D176">
        <f>VALUE(LEFT(tblBDD[[#This Row],[N Compte 1]],3))</f>
        <v>718</v>
      </c>
      <c r="E176" t="str">
        <f>VLOOKUP(tblBDD[[#This Row],[N abrégé 1]],tblIntituléCompte[#Data],3,FALSE)</f>
        <v>71 - Autres produits</v>
      </c>
      <c r="F176" t="str">
        <f>VLOOKUP(tblBDD[[#This Row],[N abrégé 2]],Tableau5[#Data],3,FALSE)</f>
        <v>718 - Produits exceptionnels</v>
      </c>
      <c r="H176" t="str">
        <f>VLOOKUP(tblBDD[[#This Row],[N Compte 1]],tblDescriptionCompte[#Data],2,FALSE)</f>
        <v>Produits exceptionnels - Départ retraite gardiens</v>
      </c>
      <c r="I176" t="b">
        <f>COUNT(tblBDD[[#This Row],[B2011]:[B2014]])=7</f>
        <v>0</v>
      </c>
      <c r="J176" s="2"/>
      <c r="K176" s="3"/>
      <c r="L176" s="2"/>
      <c r="M176" s="2"/>
      <c r="N176" s="2"/>
      <c r="O176" s="2"/>
      <c r="P176" s="2"/>
      <c r="Q176" s="2">
        <f>-70000-32506.78+1000</f>
        <v>-101506.78</v>
      </c>
      <c r="R176" s="2"/>
      <c r="S176" s="2"/>
      <c r="T176" s="2"/>
      <c r="U176" s="2"/>
      <c r="V176" s="2"/>
      <c r="W176" s="2"/>
      <c r="X176" s="2"/>
    </row>
    <row r="177" spans="1:24" x14ac:dyDescent="0.25">
      <c r="A177" t="s">
        <v>22</v>
      </c>
      <c r="B177">
        <v>61559900</v>
      </c>
      <c r="C177">
        <f>VALUE(LEFT(tblBDD[[#This Row],[N Compte 1]],2))</f>
        <v>61</v>
      </c>
      <c r="D177">
        <f>VALUE(LEFT(tblBDD[[#This Row],[N Compte 1]],3))</f>
        <v>615</v>
      </c>
      <c r="E177" t="str">
        <f>VLOOKUP(tblBDD[[#This Row],[N abrégé 1]],tblIntituléCompte[#Data],3,FALSE)</f>
        <v>61 - Services extérieurs</v>
      </c>
      <c r="F177" t="str">
        <f>VLOOKUP(tblBDD[[#This Row],[N abrégé 2]],Tableau5[#Data],3,FALSE)</f>
        <v>615 - Entretien, réparation</v>
      </c>
      <c r="H177" t="str">
        <f>VLOOKUP(tblBDD[[#This Row],[N Compte 1]],tblDescriptionCompte[#Data],2,FALSE)</f>
        <v>Autre entretien et petites réparations sur bien mobiliers</v>
      </c>
      <c r="I177" t="b">
        <f>COUNT(tblBDD[[#This Row],[B2011]:[B2014]])=7</f>
        <v>0</v>
      </c>
      <c r="J177" s="2"/>
      <c r="K177" s="3"/>
      <c r="L177" s="2"/>
      <c r="M177" s="2"/>
      <c r="N177" s="2"/>
      <c r="O177" s="2"/>
      <c r="P177" s="2"/>
      <c r="Q177" s="2"/>
      <c r="R177" s="2"/>
      <c r="S177" s="2">
        <v>472.82</v>
      </c>
      <c r="T177" s="2"/>
      <c r="U177" s="2"/>
      <c r="V177" s="2"/>
      <c r="W177" s="2"/>
      <c r="X177" s="2"/>
    </row>
    <row r="178" spans="1:24" x14ac:dyDescent="0.25">
      <c r="A178" t="s">
        <v>22</v>
      </c>
      <c r="B178">
        <v>62320000</v>
      </c>
      <c r="C178">
        <f>VALUE(LEFT(tblBDD[[#This Row],[N Compte 1]],2))</f>
        <v>62</v>
      </c>
      <c r="D178">
        <f>VALUE(LEFT(tblBDD[[#This Row],[N Compte 1]],3))</f>
        <v>623</v>
      </c>
      <c r="E178" t="str">
        <f>VLOOKUP(tblBDD[[#This Row],[N abrégé 1]],tblIntituléCompte[#Data],3,FALSE)</f>
        <v>62 - Administration</v>
      </c>
      <c r="F178" t="str">
        <f>VLOOKUP(tblBDD[[#This Row],[N abrégé 2]],Tableau5[#Data],3,FALSE)</f>
        <v>623 - Avocats</v>
      </c>
      <c r="H178" t="str">
        <f>VLOOKUP(tblBDD[[#This Row],[N Compte 1]],tblDescriptionCompte[#Data],2,FALSE)</f>
        <v>Huissiers</v>
      </c>
      <c r="I178" t="b">
        <f>COUNT(tblBDD[[#This Row],[B2011]:[B2014]])=7</f>
        <v>0</v>
      </c>
      <c r="J178" s="2"/>
      <c r="K178" s="3"/>
      <c r="L178" s="2"/>
      <c r="M178" s="2"/>
      <c r="N178" s="2"/>
      <c r="O178" s="2"/>
      <c r="P178" s="2"/>
      <c r="Q178" s="2"/>
      <c r="R178" s="2"/>
      <c r="S178" s="2">
        <v>100.81</v>
      </c>
      <c r="T178" s="2"/>
      <c r="U178" s="2"/>
      <c r="V178" s="2"/>
      <c r="W178" s="2"/>
      <c r="X178" s="2"/>
    </row>
    <row r="179" spans="1:24" x14ac:dyDescent="0.25">
      <c r="A179" t="s">
        <v>22</v>
      </c>
      <c r="B179">
        <v>62700000</v>
      </c>
      <c r="C179">
        <f>VALUE(LEFT(tblBDD[[#This Row],[N Compte 1]],2))</f>
        <v>62</v>
      </c>
      <c r="D179">
        <f>VALUE(LEFT(tblBDD[[#This Row],[N Compte 1]],3))</f>
        <v>627</v>
      </c>
      <c r="E179" t="str">
        <f>VLOOKUP(tblBDD[[#This Row],[N abrégé 1]],tblIntituléCompte[#Data],3,FALSE)</f>
        <v>62 - Administration</v>
      </c>
      <c r="F179" t="str">
        <f>VLOOKUP(tblBDD[[#This Row],[N abrégé 2]],Tableau5[#Data],3,FALSE)</f>
        <v>627 - Frais bancaires et assimilés</v>
      </c>
      <c r="H179" t="str">
        <f>VLOOKUP(tblBDD[[#This Row],[N Compte 1]],tblDescriptionCompte[#Data],2,FALSE)</f>
        <v>Frais bancaires et assimilés</v>
      </c>
      <c r="I179" t="b">
        <f>COUNT(tblBDD[[#This Row],[B2011]:[B2014]])=7</f>
        <v>0</v>
      </c>
      <c r="J179" s="2"/>
      <c r="K179" s="3"/>
      <c r="L179" s="2"/>
      <c r="M179" s="2"/>
      <c r="N179" s="2"/>
      <c r="O179" s="2"/>
      <c r="P179" s="2"/>
      <c r="Q179" s="2"/>
      <c r="R179" s="2"/>
      <c r="S179" s="2">
        <v>81.12</v>
      </c>
      <c r="T179" s="2"/>
      <c r="U179" s="2">
        <v>40.56</v>
      </c>
      <c r="V179" s="2"/>
      <c r="W179" s="2"/>
      <c r="X179" s="2"/>
    </row>
    <row r="180" spans="1:24" x14ac:dyDescent="0.25">
      <c r="A180" t="s">
        <v>22</v>
      </c>
      <c r="B180">
        <v>63302000</v>
      </c>
      <c r="C180">
        <f>VALUE(LEFT(tblBDD[[#This Row],[N Compte 1]],2))</f>
        <v>63</v>
      </c>
      <c r="D180">
        <f>VALUE(LEFT(tblBDD[[#This Row],[N Compte 1]],3))</f>
        <v>633</v>
      </c>
      <c r="E180" t="str">
        <f>VLOOKUP(tblBDD[[#This Row],[N abrégé 1]],tblIntituléCompte[#Data],3,FALSE)</f>
        <v>63 - Impôts &amp; taxes</v>
      </c>
      <c r="F180" t="str">
        <f>VLOOKUP(tblBDD[[#This Row],[N abrégé 2]],Tableau5[#Data],3,FALSE)</f>
        <v>633 - Taxes foncières</v>
      </c>
      <c r="H180" t="str">
        <f>VLOOKUP(tblBDD[[#This Row],[N Compte 1]],tblDescriptionCompte[#Data],2,FALSE)</f>
        <v>Taxes ordures ménagères</v>
      </c>
      <c r="I180" t="b">
        <f>COUNT(tblBDD[[#This Row],[B2011]:[B2014]])=7</f>
        <v>0</v>
      </c>
      <c r="J180" s="2"/>
      <c r="K180" s="3"/>
      <c r="L180" s="2"/>
      <c r="M180" s="2"/>
      <c r="N180" s="2"/>
      <c r="O180" s="2"/>
      <c r="P180" s="2"/>
      <c r="Q180" s="2"/>
      <c r="R180" s="2"/>
      <c r="S180" s="2">
        <v>117</v>
      </c>
      <c r="T180" s="2"/>
      <c r="U180" s="2"/>
      <c r="V180" s="2"/>
      <c r="W180" s="2"/>
      <c r="X180" s="2"/>
    </row>
    <row r="181" spans="1:24" x14ac:dyDescent="0.25">
      <c r="A181" t="s">
        <v>22</v>
      </c>
      <c r="B181">
        <v>64245000</v>
      </c>
      <c r="C181">
        <f>VALUE(LEFT(tblBDD[[#This Row],[N Compte 1]],2))</f>
        <v>64</v>
      </c>
      <c r="D181">
        <f>VALUE(LEFT(tblBDD[[#This Row],[N Compte 1]],3))</f>
        <v>642</v>
      </c>
      <c r="E181" t="str">
        <f>VLOOKUP(tblBDD[[#This Row],[N abrégé 1]],tblIntituléCompte[#Data],3,FALSE)</f>
        <v>64 - Frais de personnel</v>
      </c>
      <c r="F181" t="str">
        <f>VLOOKUP(tblBDD[[#This Row],[N abrégé 2]],Tableau5[#Data],3,FALSE)</f>
        <v>642 - URSSAF</v>
      </c>
      <c r="H181" t="str">
        <f>VLOOKUP(tblBDD[[#This Row],[N Compte 1]],tblDescriptionCompte[#Data],2,FALSE)</f>
        <v>Cotisation prévoyance</v>
      </c>
      <c r="I181" t="b">
        <f>COUNT(tblBDD[[#This Row],[B2011]:[B2014]])=7</f>
        <v>0</v>
      </c>
      <c r="J181" s="2"/>
      <c r="K181" s="3"/>
      <c r="L181" s="2"/>
      <c r="M181" s="2"/>
      <c r="N181" s="2"/>
      <c r="O181" s="2"/>
      <c r="P181" s="2"/>
      <c r="Q181" s="2"/>
      <c r="R181" s="2"/>
      <c r="S181" s="2">
        <v>72.56</v>
      </c>
      <c r="T181" s="2"/>
      <c r="U181" s="2">
        <v>149.33000000000001</v>
      </c>
      <c r="V181" s="2"/>
      <c r="W181" s="2"/>
      <c r="X181" s="2"/>
    </row>
    <row r="182" spans="1:24" x14ac:dyDescent="0.25">
      <c r="A182" t="s">
        <v>22</v>
      </c>
      <c r="B182">
        <v>64520000</v>
      </c>
      <c r="C182">
        <f>VALUE(LEFT(tblBDD[[#This Row],[N Compte 1]],2))</f>
        <v>64</v>
      </c>
      <c r="D182">
        <f>VALUE(LEFT(tblBDD[[#This Row],[N Compte 1]],3))</f>
        <v>645</v>
      </c>
      <c r="E182" t="str">
        <f>VLOOKUP(tblBDD[[#This Row],[N abrégé 1]],tblIntituléCompte[#Data],3,FALSE)</f>
        <v>64 - Frais de personnel</v>
      </c>
      <c r="F182" t="str">
        <f>VLOOKUP(tblBDD[[#This Row],[N abrégé 2]],Tableau5[#Data],3,FALSE)</f>
        <v>645 - Cotisation aux mutuelles</v>
      </c>
      <c r="H182" t="str">
        <f>VLOOKUP(tblBDD[[#This Row],[N Compte 1]],tblDescriptionCompte[#Data],2,FALSE)</f>
        <v>Cotisation aux mutuelles</v>
      </c>
      <c r="I182" t="b">
        <f>COUNT(tblBDD[[#This Row],[B2011]:[B2014]])=7</f>
        <v>0</v>
      </c>
      <c r="J182" s="2"/>
      <c r="K182" s="3"/>
      <c r="L182" s="2"/>
      <c r="M182" s="2"/>
      <c r="N182" s="2"/>
      <c r="O182" s="2"/>
      <c r="P182" s="2"/>
      <c r="Q182" s="2"/>
      <c r="R182" s="2"/>
      <c r="S182" s="2">
        <v>109.67</v>
      </c>
      <c r="T182" s="2"/>
      <c r="U182" s="2">
        <v>334.95</v>
      </c>
      <c r="V182" s="2"/>
      <c r="W182" s="2"/>
      <c r="X182" s="2"/>
    </row>
    <row r="183" spans="1:24" x14ac:dyDescent="0.25">
      <c r="A183" t="s">
        <v>22</v>
      </c>
      <c r="B183">
        <v>68000000</v>
      </c>
      <c r="C183">
        <f>VALUE(LEFT(tblBDD[[#This Row],[N Compte 1]],2))</f>
        <v>68</v>
      </c>
      <c r="D183">
        <f>VALUE(LEFT(tblBDD[[#This Row],[N Compte 1]],3))</f>
        <v>680</v>
      </c>
      <c r="E183" t="str">
        <f>VLOOKUP(tblBDD[[#This Row],[N abrégé 1]],tblIntituléCompte[#Data],3,FALSE)</f>
        <v>68 - Dépréciation créances douteuses</v>
      </c>
      <c r="F183" t="str">
        <f>VLOOKUP(tblBDD[[#This Row],[N abrégé 2]],Tableau5[#Data],3,FALSE)</f>
        <v>680 - Dépréciation créances douteuses</v>
      </c>
      <c r="H183" t="str">
        <f>VLOOKUP(tblBDD[[#This Row],[N Compte 1]],tblDescriptionCompte[#Data],2,FALSE)</f>
        <v>Dépréciation créances douteuses</v>
      </c>
      <c r="I183" t="b">
        <f>COUNT(tblBDD[[#This Row],[B2011]:[B2014]])=7</f>
        <v>0</v>
      </c>
      <c r="J183" s="2"/>
      <c r="K183" s="3"/>
      <c r="L183" s="2"/>
      <c r="M183" s="2"/>
      <c r="N183" s="2"/>
      <c r="O183" s="2"/>
      <c r="P183" s="2"/>
      <c r="Q183" s="2"/>
      <c r="R183" s="2"/>
      <c r="S183" s="2">
        <v>6600</v>
      </c>
      <c r="T183" s="2"/>
      <c r="U183" s="2"/>
      <c r="V183" s="2"/>
      <c r="W183" s="2"/>
      <c r="X183" s="2"/>
    </row>
    <row r="184" spans="1:24" x14ac:dyDescent="0.25">
      <c r="A184" t="s">
        <v>23</v>
      </c>
      <c r="B184">
        <v>61520800</v>
      </c>
      <c r="C184">
        <f>VALUE(LEFT(tblBDD[[#This Row],[N Compte 1]],2))</f>
        <v>61</v>
      </c>
      <c r="D184">
        <f>VALUE(LEFT(tblBDD[[#This Row],[N Compte 1]],3))</f>
        <v>615</v>
      </c>
      <c r="E184" t="str">
        <f>VLOOKUP(tblBDD[[#This Row],[N abrégé 1]],tblIntituléCompte[#Data],3,FALSE)</f>
        <v>61 - Services extérieurs</v>
      </c>
      <c r="F184" t="str">
        <f>VLOOKUP(tblBDD[[#This Row],[N abrégé 2]],Tableau5[#Data],3,FALSE)</f>
        <v>615 - Entretien, réparation</v>
      </c>
      <c r="G184">
        <v>4</v>
      </c>
      <c r="H184" t="str">
        <f>VLOOKUP(tblBDD[[#This Row],[N Compte 1]],tblDescriptionCompte[#Data],2,FALSE)</f>
        <v>Entretien et petites réparations portes et serrures</v>
      </c>
      <c r="I184" t="b">
        <f>COUNT(tblBDD[[#This Row],[B2011]:[B2014]])=7</f>
        <v>0</v>
      </c>
      <c r="J184" s="2"/>
      <c r="K184" s="3"/>
      <c r="L184" s="2"/>
      <c r="M184" s="2"/>
      <c r="N184" s="2"/>
      <c r="O184" s="2"/>
      <c r="P184" s="2"/>
      <c r="Q184" s="2"/>
      <c r="R184" s="2"/>
      <c r="S184" s="2">
        <v>85.61</v>
      </c>
      <c r="T184" s="2"/>
      <c r="U184" s="2"/>
      <c r="V184" s="2"/>
      <c r="W184" s="2"/>
      <c r="X184" s="2"/>
    </row>
    <row r="185" spans="1:24" x14ac:dyDescent="0.25">
      <c r="A185" t="s">
        <v>24</v>
      </c>
      <c r="B185">
        <v>61100000</v>
      </c>
      <c r="C185">
        <f>VALUE(LEFT(tblBDD[[#This Row],[N Compte 1]],2))</f>
        <v>61</v>
      </c>
      <c r="D185">
        <f>VALUE(LEFT(tblBDD[[#This Row],[N Compte 1]],3))</f>
        <v>611</v>
      </c>
      <c r="E185" t="str">
        <f>VLOOKUP(tblBDD[[#This Row],[N abrégé 1]],tblIntituléCompte[#Data],3,FALSE)</f>
        <v>61 - Services extérieurs</v>
      </c>
      <c r="F185" t="str">
        <f>VLOOKUP(tblBDD[[#This Row],[N abrégé 2]],Tableau5[#Data],3,FALSE)</f>
        <v>611 - Nettoyage locaux</v>
      </c>
      <c r="G185" t="s">
        <v>25</v>
      </c>
      <c r="H185" t="str">
        <f>VLOOKUP(tblBDD[[#This Row],[N Compte 1]],tblDescriptionCompte[#Data],2,FALSE)</f>
        <v>Nettoyage des locaux</v>
      </c>
      <c r="I185" t="b">
        <f>COUNT(tblBDD[[#This Row],[B2011]:[B2014]])=7</f>
        <v>1</v>
      </c>
      <c r="J185" s="2">
        <v>3000</v>
      </c>
      <c r="K185" s="3">
        <v>4564.18</v>
      </c>
      <c r="L185" s="2">
        <v>4600</v>
      </c>
      <c r="M185" s="2">
        <v>4642.13</v>
      </c>
      <c r="N185" s="2">
        <v>4600</v>
      </c>
      <c r="O185" s="2">
        <v>3061.76</v>
      </c>
      <c r="P185" s="2">
        <v>4700</v>
      </c>
      <c r="Q185" s="2">
        <v>13776</v>
      </c>
      <c r="R185" s="2"/>
      <c r="S185" s="2"/>
      <c r="T185" s="2"/>
      <c r="U185" s="2">
        <v>1560</v>
      </c>
      <c r="V185" s="2"/>
      <c r="W185" s="2"/>
      <c r="X185" s="2"/>
    </row>
    <row r="186" spans="1:24" x14ac:dyDescent="0.25">
      <c r="A186" t="s">
        <v>26</v>
      </c>
      <c r="B186">
        <v>61520300</v>
      </c>
      <c r="C186">
        <f>VALUE(LEFT(tblBDD[[#This Row],[N Compte 1]],2))</f>
        <v>61</v>
      </c>
      <c r="D186">
        <f>VALUE(LEFT(tblBDD[[#This Row],[N Compte 1]],3))</f>
        <v>615</v>
      </c>
      <c r="E186" t="str">
        <f>VLOOKUP(tblBDD[[#This Row],[N abrégé 1]],tblIntituléCompte[#Data],3,FALSE)</f>
        <v>61 - Services extérieurs</v>
      </c>
      <c r="F186" t="str">
        <f>VLOOKUP(tblBDD[[#This Row],[N abrégé 2]],Tableau5[#Data],3,FALSE)</f>
        <v>615 - Entretien, réparation</v>
      </c>
      <c r="H186" t="str">
        <f>VLOOKUP(tblBDD[[#This Row],[N Compte 1]],tblDescriptionCompte[#Data],2,FALSE)</f>
        <v>Entretien et petites réparations électricité</v>
      </c>
      <c r="I186" t="b">
        <f>COUNT(tblBDD[[#This Row],[B2011]:[B2014]])=7</f>
        <v>0</v>
      </c>
      <c r="J186" s="2"/>
      <c r="K186" s="3">
        <v>152.97999999999999</v>
      </c>
      <c r="L186" s="2"/>
      <c r="M186" s="2">
        <v>211.7</v>
      </c>
      <c r="N186" s="2"/>
      <c r="O186" s="2">
        <v>396.22</v>
      </c>
      <c r="P186" s="2"/>
      <c r="Q186" s="2"/>
      <c r="R186" s="2"/>
      <c r="S186" s="2"/>
      <c r="T186" s="2"/>
      <c r="U186" s="2">
        <f>371.8+1001.27+1001.27</f>
        <v>2374.34</v>
      </c>
      <c r="V186" s="2"/>
      <c r="W186" s="2"/>
      <c r="X186" s="2"/>
    </row>
    <row r="187" spans="1:24" x14ac:dyDescent="0.25">
      <c r="A187" t="s">
        <v>22</v>
      </c>
      <c r="B187">
        <v>61000000</v>
      </c>
      <c r="C187">
        <f>VALUE(LEFT(tblBDD[[#This Row],[N Compte 1]],2))</f>
        <v>61</v>
      </c>
      <c r="D187">
        <f>VALUE(LEFT(tblBDD[[#This Row],[N Compte 1]],3))</f>
        <v>610</v>
      </c>
      <c r="E187" t="str">
        <f>VLOOKUP(tblBDD[[#This Row],[N abrégé 1]],tblIntituléCompte[#Data],3,FALSE)</f>
        <v>61 - Services extérieurs</v>
      </c>
      <c r="F187" t="str">
        <f>VLOOKUP(tblBDD[[#This Row],[N abrégé 2]],Tableau5[#Data],3,FALSE)</f>
        <v>610 - Charges loge gardien</v>
      </c>
      <c r="H187" t="s">
        <v>222</v>
      </c>
      <c r="I187" t="b">
        <f>COUNT(tblBDD[[#This Row],[B2011]:[B2014]])=7</f>
        <v>0</v>
      </c>
      <c r="J187" s="2"/>
      <c r="K187" s="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>
        <v>180</v>
      </c>
      <c r="X187" s="2"/>
    </row>
    <row r="188" spans="1:24" x14ac:dyDescent="0.25">
      <c r="A188" t="s">
        <v>22</v>
      </c>
      <c r="B188">
        <v>61350000</v>
      </c>
      <c r="C188">
        <f>VALUE(LEFT(tblBDD[[#This Row],[N Compte 1]],2))</f>
        <v>61</v>
      </c>
      <c r="D188">
        <f>VALUE(LEFT(tblBDD[[#This Row],[N Compte 1]],3))</f>
        <v>613</v>
      </c>
      <c r="E188" t="str">
        <f>VLOOKUP(tblBDD[[#This Row],[N abrégé 1]],tblIntituléCompte[#Data],3,FALSE)</f>
        <v>61 - Services extérieurs</v>
      </c>
      <c r="F188" t="str">
        <f>VLOOKUP(tblBDD[[#This Row],[N abrégé 2]],Tableau5[#Data],3,FALSE)</f>
        <v>613 - Locations mobilières</v>
      </c>
      <c r="H188" t="s">
        <v>119</v>
      </c>
      <c r="I188" t="b">
        <f>COUNT(tblBDD[[#This Row],[B2011]:[B2014]])=7</f>
        <v>0</v>
      </c>
      <c r="J188" s="2"/>
      <c r="K188" s="3"/>
      <c r="L188" s="2"/>
      <c r="M188" s="2"/>
      <c r="N188" s="2"/>
      <c r="O188" s="2"/>
      <c r="P188" s="2"/>
      <c r="Q188" s="2"/>
      <c r="R188" s="2"/>
      <c r="S188" s="2"/>
      <c r="T188" s="2"/>
      <c r="U188" s="2">
        <v>252.11</v>
      </c>
      <c r="V188" s="2">
        <v>300</v>
      </c>
      <c r="W188" s="2">
        <v>250</v>
      </c>
      <c r="X188" s="2">
        <v>250</v>
      </c>
    </row>
    <row r="189" spans="1:24" x14ac:dyDescent="0.25">
      <c r="A189" t="s">
        <v>24</v>
      </c>
      <c r="B189">
        <v>61500000</v>
      </c>
      <c r="C189">
        <f>VALUE(LEFT(tblBDD[[#This Row],[N Compte 1]],2))</f>
        <v>61</v>
      </c>
      <c r="D189">
        <f>VALUE(LEFT(tblBDD[[#This Row],[N Compte 1]],3))</f>
        <v>615</v>
      </c>
      <c r="E189" t="str">
        <f>VLOOKUP(tblBDD[[#This Row],[N abrégé 1]],tblIntituléCompte[#Data],3,FALSE)</f>
        <v>61 - Services extérieurs</v>
      </c>
      <c r="F189" t="str">
        <f>VLOOKUP(tblBDD[[#This Row],[N abrégé 2]],Tableau5[#Data],3,FALSE)</f>
        <v>615 - Entretien, réparation</v>
      </c>
      <c r="G189" t="s">
        <v>25</v>
      </c>
      <c r="H189" t="s">
        <v>225</v>
      </c>
      <c r="I189" t="b">
        <f>COUNT(tblBDD[[#This Row],[B2011]:[B2014]])=7</f>
        <v>0</v>
      </c>
      <c r="J189" s="2"/>
      <c r="K189" s="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>
        <v>1515</v>
      </c>
      <c r="X189" s="2"/>
    </row>
    <row r="190" spans="1:24" x14ac:dyDescent="0.25">
      <c r="A190" t="s">
        <v>24</v>
      </c>
      <c r="B190">
        <v>61400000</v>
      </c>
      <c r="C190">
        <f>VALUE(LEFT(tblBDD[[#This Row],[N Compte 1]],2))</f>
        <v>61</v>
      </c>
      <c r="D190">
        <f>VALUE(LEFT(tblBDD[[#This Row],[N Compte 1]],3))</f>
        <v>614</v>
      </c>
      <c r="E190" t="str">
        <f>VLOOKUP(tblBDD[[#This Row],[N abrégé 1]],tblIntituléCompte[#Data],3,FALSE)</f>
        <v>61 - Services extérieurs</v>
      </c>
      <c r="F190" t="str">
        <f>VLOOKUP(tblBDD[[#This Row],[N abrégé 2]],Tableau5[#Data],3,FALSE)</f>
        <v>614 - Contrats maintenance</v>
      </c>
      <c r="G190" t="s">
        <v>25</v>
      </c>
      <c r="H190" t="s">
        <v>226</v>
      </c>
      <c r="I190" t="b">
        <f>COUNT(tblBDD[[#This Row],[B2011]:[B2014]])=7</f>
        <v>0</v>
      </c>
      <c r="J190" s="2"/>
      <c r="K190" s="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>
        <v>172</v>
      </c>
    </row>
    <row r="192" spans="1:24" x14ac:dyDescent="0.25">
      <c r="U192" s="8"/>
    </row>
    <row r="196" spans="10:15" x14ac:dyDescent="0.25">
      <c r="J196" s="3"/>
      <c r="K196" s="2"/>
      <c r="L196" s="2"/>
      <c r="M196" s="2"/>
      <c r="N196" s="2"/>
      <c r="O196" s="2"/>
    </row>
    <row r="197" spans="10:15" x14ac:dyDescent="0.25">
      <c r="J197" s="3"/>
      <c r="K197" s="2"/>
      <c r="L197" s="2"/>
      <c r="M197" s="2"/>
      <c r="N197" s="2"/>
    </row>
  </sheetData>
  <dataValidations count="1">
    <dataValidation type="list" allowBlank="1" showInputMessage="1" showErrorMessage="1" errorTitle="Répartition" error="Vous devez saisir une valeur de la liste déroulante._x000a_Pour l'ajout d'une nouvelle clé...." promptTitle="Choix clé de répartition" prompt="Veuillez sélectionner une clé de répartition_x000a_dans la liste déroulante." sqref="A2:A190" xr:uid="{00000000-0002-0000-0200-000000000000}">
      <formula1>d.intitulé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K18"/>
  <sheetViews>
    <sheetView workbookViewId="0">
      <selection activeCell="F16" sqref="F16"/>
    </sheetView>
  </sheetViews>
  <sheetFormatPr defaultColWidth="11.42578125" defaultRowHeight="15" x14ac:dyDescent="0.25"/>
  <cols>
    <col min="1" max="1" width="30.28515625" bestFit="1" customWidth="1"/>
    <col min="2" max="2" width="13.42578125" customWidth="1"/>
    <col min="3" max="4" width="12.5703125" customWidth="1"/>
    <col min="5" max="5" width="21.7109375" bestFit="1" customWidth="1"/>
    <col min="6" max="6" width="34.7109375" bestFit="1" customWidth="1"/>
    <col min="8" max="8" width="51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186</v>
      </c>
      <c r="J1" t="s">
        <v>187</v>
      </c>
      <c r="K1" t="s">
        <v>188</v>
      </c>
    </row>
    <row r="2" spans="1:11" ht="15" customHeight="1" x14ac:dyDescent="0.25">
      <c r="A2" t="s">
        <v>23</v>
      </c>
      <c r="B2">
        <v>61520000</v>
      </c>
      <c r="C2">
        <v>61</v>
      </c>
      <c r="D2">
        <v>615</v>
      </c>
      <c r="E2" t="s">
        <v>31</v>
      </c>
      <c r="F2" t="s">
        <v>81</v>
      </c>
      <c r="G2">
        <v>13</v>
      </c>
      <c r="H2" t="s">
        <v>120</v>
      </c>
      <c r="I2">
        <v>2015</v>
      </c>
      <c r="J2" s="2"/>
      <c r="K2" s="2">
        <v>163.34</v>
      </c>
    </row>
    <row r="3" spans="1:11" x14ac:dyDescent="0.25">
      <c r="A3" t="s">
        <v>23</v>
      </c>
      <c r="B3">
        <v>60210000</v>
      </c>
      <c r="C3">
        <v>60</v>
      </c>
      <c r="D3">
        <v>602</v>
      </c>
      <c r="E3" t="s">
        <v>30</v>
      </c>
      <c r="F3" t="s">
        <v>52</v>
      </c>
      <c r="G3">
        <v>13</v>
      </c>
      <c r="H3" t="s">
        <v>50</v>
      </c>
      <c r="I3">
        <v>2015</v>
      </c>
      <c r="J3" s="2">
        <v>510</v>
      </c>
      <c r="K3" s="2"/>
    </row>
    <row r="4" spans="1:11" x14ac:dyDescent="0.25">
      <c r="A4" t="s">
        <v>23</v>
      </c>
      <c r="B4">
        <v>60210000</v>
      </c>
      <c r="C4">
        <v>60</v>
      </c>
      <c r="D4">
        <v>602</v>
      </c>
      <c r="E4" t="s">
        <v>30</v>
      </c>
      <c r="F4" t="s">
        <v>52</v>
      </c>
      <c r="G4">
        <v>13</v>
      </c>
      <c r="H4" t="s">
        <v>50</v>
      </c>
      <c r="I4">
        <v>2015</v>
      </c>
      <c r="J4" s="2"/>
      <c r="K4" s="2">
        <v>448.81</v>
      </c>
    </row>
    <row r="5" spans="1:11" x14ac:dyDescent="0.25">
      <c r="A5" t="s">
        <v>23</v>
      </c>
      <c r="B5">
        <v>60210000</v>
      </c>
      <c r="C5">
        <v>60</v>
      </c>
      <c r="D5">
        <v>602</v>
      </c>
      <c r="E5" t="s">
        <v>30</v>
      </c>
      <c r="F5" t="s">
        <v>52</v>
      </c>
      <c r="G5">
        <v>13</v>
      </c>
      <c r="H5" t="s">
        <v>50</v>
      </c>
      <c r="I5">
        <v>2016</v>
      </c>
      <c r="J5" s="2">
        <v>510</v>
      </c>
      <c r="K5" s="2"/>
    </row>
    <row r="6" spans="1:11" x14ac:dyDescent="0.25">
      <c r="A6" t="s">
        <v>23</v>
      </c>
      <c r="B6">
        <v>60210000</v>
      </c>
      <c r="C6">
        <v>60</v>
      </c>
      <c r="D6">
        <v>602</v>
      </c>
      <c r="E6" t="s">
        <v>30</v>
      </c>
      <c r="F6" t="s">
        <v>52</v>
      </c>
      <c r="G6">
        <v>13</v>
      </c>
      <c r="H6" t="s">
        <v>50</v>
      </c>
      <c r="I6">
        <v>2016</v>
      </c>
      <c r="J6" s="2"/>
      <c r="K6" s="2">
        <v>446.67</v>
      </c>
    </row>
    <row r="7" spans="1:11" x14ac:dyDescent="0.25">
      <c r="A7" t="s">
        <v>23</v>
      </c>
      <c r="B7">
        <v>60210000</v>
      </c>
      <c r="C7">
        <v>60</v>
      </c>
      <c r="D7">
        <v>602</v>
      </c>
      <c r="E7" t="s">
        <v>30</v>
      </c>
      <c r="F7" t="s">
        <v>52</v>
      </c>
      <c r="G7">
        <v>13</v>
      </c>
      <c r="H7" t="s">
        <v>50</v>
      </c>
      <c r="I7">
        <v>2017</v>
      </c>
      <c r="J7" s="2">
        <v>510</v>
      </c>
      <c r="K7" s="2"/>
    </row>
    <row r="8" spans="1:11" x14ac:dyDescent="0.25">
      <c r="A8" t="s">
        <v>23</v>
      </c>
      <c r="B8">
        <v>60210000</v>
      </c>
      <c r="C8">
        <v>60</v>
      </c>
      <c r="D8">
        <v>602</v>
      </c>
      <c r="E8" t="s">
        <v>30</v>
      </c>
      <c r="F8" t="s">
        <v>52</v>
      </c>
      <c r="G8">
        <v>13</v>
      </c>
      <c r="H8" t="s">
        <v>50</v>
      </c>
      <c r="I8" t="s">
        <v>232</v>
      </c>
      <c r="J8" s="2">
        <v>455</v>
      </c>
      <c r="K8" s="2"/>
    </row>
    <row r="9" spans="1:11" x14ac:dyDescent="0.25">
      <c r="A9" t="s">
        <v>23</v>
      </c>
      <c r="B9">
        <v>60210000</v>
      </c>
      <c r="C9">
        <v>60</v>
      </c>
      <c r="D9">
        <v>602</v>
      </c>
      <c r="E9" t="s">
        <v>30</v>
      </c>
      <c r="F9" t="s">
        <v>52</v>
      </c>
      <c r="G9">
        <v>13</v>
      </c>
      <c r="H9" t="s">
        <v>50</v>
      </c>
      <c r="I9" t="s">
        <v>227</v>
      </c>
      <c r="J9" s="2">
        <v>455</v>
      </c>
      <c r="K9" s="2"/>
    </row>
    <row r="10" spans="1:11" x14ac:dyDescent="0.25">
      <c r="A10" t="s">
        <v>23</v>
      </c>
      <c r="B10">
        <v>61520300</v>
      </c>
      <c r="C10">
        <v>61</v>
      </c>
      <c r="D10">
        <v>615</v>
      </c>
      <c r="E10" t="s">
        <v>31</v>
      </c>
      <c r="F10" t="s">
        <v>81</v>
      </c>
      <c r="G10">
        <v>13</v>
      </c>
      <c r="H10" t="s">
        <v>124</v>
      </c>
      <c r="I10">
        <v>2015</v>
      </c>
      <c r="J10" s="2"/>
      <c r="K10" s="2">
        <v>247.5</v>
      </c>
    </row>
    <row r="11" spans="1:11" x14ac:dyDescent="0.25">
      <c r="A11" t="s">
        <v>23</v>
      </c>
      <c r="B11">
        <v>61520600</v>
      </c>
      <c r="C11">
        <v>61</v>
      </c>
      <c r="D11">
        <v>615</v>
      </c>
      <c r="E11" t="s">
        <v>31</v>
      </c>
      <c r="F11" t="s">
        <v>81</v>
      </c>
      <c r="G11">
        <v>13</v>
      </c>
      <c r="H11" t="s">
        <v>128</v>
      </c>
      <c r="I11">
        <v>2016</v>
      </c>
      <c r="J11" s="2"/>
      <c r="K11" s="2">
        <v>629.75</v>
      </c>
    </row>
    <row r="12" spans="1:11" x14ac:dyDescent="0.25">
      <c r="A12" t="s">
        <v>23</v>
      </c>
      <c r="B12">
        <v>61520800</v>
      </c>
      <c r="C12">
        <v>61</v>
      </c>
      <c r="D12">
        <v>615</v>
      </c>
      <c r="E12" t="s">
        <v>31</v>
      </c>
      <c r="F12" t="s">
        <v>81</v>
      </c>
      <c r="G12">
        <v>13</v>
      </c>
      <c r="H12" t="s">
        <v>130</v>
      </c>
      <c r="I12">
        <v>2015</v>
      </c>
      <c r="J12" s="2"/>
      <c r="K12" s="2">
        <v>85.61</v>
      </c>
    </row>
    <row r="13" spans="1:11" x14ac:dyDescent="0.25">
      <c r="A13" t="s">
        <v>23</v>
      </c>
      <c r="B13">
        <v>61550100</v>
      </c>
      <c r="C13">
        <v>61</v>
      </c>
      <c r="D13">
        <v>615</v>
      </c>
      <c r="E13" t="s">
        <v>31</v>
      </c>
      <c r="F13" t="s">
        <v>81</v>
      </c>
      <c r="G13">
        <v>13</v>
      </c>
      <c r="H13" t="s">
        <v>144</v>
      </c>
      <c r="I13">
        <v>2015</v>
      </c>
      <c r="J13" s="2">
        <v>550</v>
      </c>
      <c r="K13" s="2"/>
    </row>
    <row r="14" spans="1:11" x14ac:dyDescent="0.25">
      <c r="A14" t="s">
        <v>23</v>
      </c>
      <c r="B14">
        <v>61550100</v>
      </c>
      <c r="C14">
        <v>61</v>
      </c>
      <c r="D14">
        <v>615</v>
      </c>
      <c r="E14" t="s">
        <v>31</v>
      </c>
      <c r="F14" t="s">
        <v>81</v>
      </c>
      <c r="G14">
        <v>13</v>
      </c>
      <c r="H14" t="s">
        <v>144</v>
      </c>
      <c r="I14">
        <v>2016</v>
      </c>
      <c r="J14" s="2">
        <v>550</v>
      </c>
      <c r="K14" s="2"/>
    </row>
    <row r="15" spans="1:11" x14ac:dyDescent="0.25">
      <c r="A15" t="s">
        <v>23</v>
      </c>
      <c r="B15">
        <v>61550100</v>
      </c>
      <c r="C15">
        <v>61</v>
      </c>
      <c r="D15">
        <v>615</v>
      </c>
      <c r="E15" t="s">
        <v>31</v>
      </c>
      <c r="F15" t="s">
        <v>81</v>
      </c>
      <c r="G15">
        <v>13</v>
      </c>
      <c r="H15" t="s">
        <v>144</v>
      </c>
      <c r="I15">
        <v>2016</v>
      </c>
      <c r="J15" s="2"/>
      <c r="K15" s="2">
        <v>1159.92</v>
      </c>
    </row>
    <row r="16" spans="1:11" x14ac:dyDescent="0.25">
      <c r="A16" t="s">
        <v>23</v>
      </c>
      <c r="B16">
        <v>61550100</v>
      </c>
      <c r="C16">
        <v>61</v>
      </c>
      <c r="D16">
        <v>615</v>
      </c>
      <c r="E16" t="s">
        <v>31</v>
      </c>
      <c r="F16" t="s">
        <v>81</v>
      </c>
      <c r="G16">
        <v>13</v>
      </c>
      <c r="H16" t="s">
        <v>144</v>
      </c>
      <c r="I16">
        <v>2017</v>
      </c>
      <c r="J16" s="2">
        <v>550</v>
      </c>
      <c r="K16" s="2"/>
    </row>
    <row r="17" spans="1:11" x14ac:dyDescent="0.25">
      <c r="A17" t="s">
        <v>23</v>
      </c>
      <c r="B17">
        <v>61550100</v>
      </c>
      <c r="C17">
        <v>61</v>
      </c>
      <c r="D17">
        <v>615</v>
      </c>
      <c r="E17" t="s">
        <v>31</v>
      </c>
      <c r="F17" t="s">
        <v>81</v>
      </c>
      <c r="G17">
        <v>13</v>
      </c>
      <c r="H17" t="s">
        <v>144</v>
      </c>
      <c r="I17" t="s">
        <v>232</v>
      </c>
      <c r="J17" s="2">
        <v>550</v>
      </c>
      <c r="K17" s="2"/>
    </row>
    <row r="18" spans="1:11" x14ac:dyDescent="0.25">
      <c r="A18" t="s">
        <v>23</v>
      </c>
      <c r="B18">
        <v>61550100</v>
      </c>
      <c r="C18">
        <v>61</v>
      </c>
      <c r="D18">
        <v>615</v>
      </c>
      <c r="E18" t="s">
        <v>31</v>
      </c>
      <c r="F18" t="s">
        <v>81</v>
      </c>
      <c r="G18">
        <v>13</v>
      </c>
      <c r="H18" t="s">
        <v>144</v>
      </c>
      <c r="I18" t="s">
        <v>227</v>
      </c>
      <c r="J18" s="2">
        <v>550</v>
      </c>
      <c r="K18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Accueil</vt:lpstr>
      <vt:lpstr>d.intitulé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2022-04-27T09:54:22Z</dcterms:created>
  <dcterms:modified xsi:type="dcterms:W3CDTF">2022-04-27T09:55:19Z</dcterms:modified>
</cp:coreProperties>
</file>