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8930" windowHeight="10005" tabRatio="897" firstSheet="1" activeTab="1"/>
  </bookViews>
  <sheets>
    <sheet name="Determination CA et CV Prev." sheetId="3" r:id="rId1"/>
    <sheet name="Prévisions 2014-2015" sheetId="4" r:id="rId2"/>
    <sheet name="Prévisions 2014-2015 (2)" sheetId="5" r:id="rId3"/>
  </sheets>
  <definedNames>
    <definedName name="AnnéeDébutAnnéeFiscale" localSheetId="1">'Prévisions 2014-2015'!$AD$2</definedName>
    <definedName name="AnnéeDébutAnnéeFiscale" localSheetId="2">'Prévisions 2014-2015 (2)'!$AD$2</definedName>
    <definedName name="DébutMoisAnnéeFiscale" localSheetId="1">'Prévisions 2014-2015'!$AC$2</definedName>
    <definedName name="DébutMoisAnnéeFiscale" localSheetId="2">'Prévisions 2014-2015 (2)'!$AC$2</definedName>
    <definedName name="FYMonthNo" localSheetId="1">IF('Prévisions 2014-2015'!DébutMoisAnnéeFiscale="JANV",1,IF('Prévisions 2014-2015'!DébutMoisAnnéeFiscale="FÉVR",2,IF('Prévisions 2014-2015'!DébutMoisAnnéeFiscale="MARS",3,IF('Prévisions 2014-2015'!DébutMoisAnnéeFiscale="AVR",4,IF('Prévisions 2014-2015'!DébutMoisAnnéeFiscale="MAI",5,IF('Prévisions 2014-2015'!DébutMoisAnnéeFiscale="JUIN",6,IF('Prévisions 2014-2015'!DébutMoisAnnéeFiscale="JUIL",7,IF('Prévisions 2014-2015'!DébutMoisAnnéeFiscale="AOÛT",8,IF('Prévisions 2014-2015'!DébutMoisAnnéeFiscale="SEPT",9,IF('Prévisions 2014-2015'!DébutMoisAnnéeFiscale="OCT",10,IF('Prévisions 2014-2015'!DébutMoisAnnéeFiscale="NOV",11,12)))))))))))</definedName>
    <definedName name="FYMonthNo" localSheetId="2">IF('Prévisions 2014-2015 (2)'!DébutMoisAnnéeFiscale="JANV",1,IF('Prévisions 2014-2015 (2)'!DébutMoisAnnéeFiscale="FÉVR",2,IF('Prévisions 2014-2015 (2)'!DébutMoisAnnéeFiscale="MARS",3,IF('Prévisions 2014-2015 (2)'!DébutMoisAnnéeFiscale="AVR",4,IF('Prévisions 2014-2015 (2)'!DébutMoisAnnéeFiscale="MAI",5,IF('Prévisions 2014-2015 (2)'!DébutMoisAnnéeFiscale="JUIN",6,IF('Prévisions 2014-2015 (2)'!DébutMoisAnnéeFiscale="JUIL",7,IF('Prévisions 2014-2015 (2)'!DébutMoisAnnéeFiscale="AOÛT",8,IF('Prévisions 2014-2015 (2)'!DébutMoisAnnéeFiscale="SEPT",9,IF('Prévisions 2014-2015 (2)'!DébutMoisAnnéeFiscale="OCT",10,IF('Prévisions 2014-2015 (2)'!DébutMoisAnnéeFiscale="NOV",11,12)))))))))))</definedName>
    <definedName name="FYMonthNo">IF(DébutMoisAnnéeFiscale="JANV",1,IF(DébutMoisAnnéeFiscale="FÉVR",2,IF(DébutMoisAnnéeFiscale="MARS",3,IF(DébutMoisAnnéeFiscale="AVR",4,IF(DébutMoisAnnéeFiscale="MAI",5,IF(DébutMoisAnnéeFiscale="JUIN",6,IF(DébutMoisAnnéeFiscale="JUIL",7,IF(DébutMoisAnnéeFiscale="AOÛT",8,IF(DébutMoisAnnéeFiscale="SEPT",9,IF(DébutMoisAnnéeFiscale="OCT",10,IF(DébutMoisAnnéeFiscale="NOV",11,12)))))))))))</definedName>
    <definedName name="Titres_à_imprimer" localSheetId="1">'Prévisions 2014-2015'!$4:$4</definedName>
    <definedName name="Titres_à_imprimer" localSheetId="2">'Prévisions 2014-2015 (2)'!$4:$4</definedName>
  </definedNames>
  <calcPr calcId="145621"/>
</workbook>
</file>

<file path=xl/calcChain.xml><?xml version="1.0" encoding="utf-8"?>
<calcChain xmlns="http://schemas.openxmlformats.org/spreadsheetml/2006/main">
  <c r="Q25" i="5" l="1"/>
  <c r="O25" i="5"/>
  <c r="N25" i="5"/>
  <c r="M25" i="5"/>
  <c r="L25" i="5"/>
  <c r="K25" i="5"/>
  <c r="J25" i="5"/>
  <c r="I25" i="5"/>
  <c r="H25" i="5"/>
  <c r="G25" i="5"/>
  <c r="F25" i="5"/>
  <c r="E25" i="5"/>
  <c r="D25" i="5"/>
  <c r="AB24" i="5"/>
  <c r="Z24" i="5"/>
  <c r="X24" i="5"/>
  <c r="V24" i="5"/>
  <c r="T24" i="5"/>
  <c r="R24" i="5"/>
  <c r="P24" i="5"/>
  <c r="AB23" i="5"/>
  <c r="Z23" i="5"/>
  <c r="X23" i="5"/>
  <c r="V23" i="5"/>
  <c r="T23" i="5"/>
  <c r="R23" i="5"/>
  <c r="P23" i="5"/>
  <c r="AB22" i="5"/>
  <c r="Z22" i="5"/>
  <c r="X22" i="5"/>
  <c r="V22" i="5"/>
  <c r="T22" i="5"/>
  <c r="R22" i="5"/>
  <c r="P22" i="5"/>
  <c r="AB21" i="5"/>
  <c r="Z21" i="5"/>
  <c r="X21" i="5"/>
  <c r="V21" i="5"/>
  <c r="T21" i="5"/>
  <c r="R21" i="5"/>
  <c r="P21" i="5"/>
  <c r="AB20" i="5"/>
  <c r="Z20" i="5"/>
  <c r="X20" i="5"/>
  <c r="V20" i="5"/>
  <c r="T20" i="5"/>
  <c r="R20" i="5"/>
  <c r="P20" i="5"/>
  <c r="AB19" i="5"/>
  <c r="Z19" i="5"/>
  <c r="X19" i="5"/>
  <c r="V19" i="5"/>
  <c r="T19" i="5"/>
  <c r="R19" i="5"/>
  <c r="P19" i="5"/>
  <c r="AB18" i="5"/>
  <c r="Z18" i="5"/>
  <c r="X18" i="5"/>
  <c r="V18" i="5"/>
  <c r="T18" i="5"/>
  <c r="R18" i="5"/>
  <c r="P18" i="5"/>
  <c r="AB17" i="5"/>
  <c r="Z17" i="5"/>
  <c r="X17" i="5"/>
  <c r="V17" i="5"/>
  <c r="T17" i="5"/>
  <c r="R17" i="5"/>
  <c r="P17" i="5"/>
  <c r="AB16" i="5"/>
  <c r="Z16" i="5"/>
  <c r="X16" i="5"/>
  <c r="V16" i="5"/>
  <c r="T16" i="5"/>
  <c r="R16" i="5"/>
  <c r="P16" i="5"/>
  <c r="AB15" i="5"/>
  <c r="Z15" i="5"/>
  <c r="X15" i="5"/>
  <c r="V15" i="5"/>
  <c r="T15" i="5"/>
  <c r="R15" i="5"/>
  <c r="P15" i="5"/>
  <c r="AB14" i="5"/>
  <c r="Z14" i="5"/>
  <c r="X14" i="5"/>
  <c r="V14" i="5"/>
  <c r="T14" i="5"/>
  <c r="R14" i="5"/>
  <c r="P14" i="5"/>
  <c r="AB13" i="5"/>
  <c r="Z13" i="5"/>
  <c r="X13" i="5"/>
  <c r="V13" i="5"/>
  <c r="T13" i="5"/>
  <c r="R13" i="5"/>
  <c r="P13" i="5"/>
  <c r="AB12" i="5"/>
  <c r="Z12" i="5"/>
  <c r="X12" i="5"/>
  <c r="V12" i="5"/>
  <c r="T12" i="5"/>
  <c r="S12" i="5"/>
  <c r="R12" i="5"/>
  <c r="P12" i="5"/>
  <c r="AC11" i="5"/>
  <c r="AB11" i="5"/>
  <c r="AA11" i="5"/>
  <c r="Z11" i="5"/>
  <c r="Y11" i="5"/>
  <c r="X11" i="5"/>
  <c r="W11" i="5"/>
  <c r="V11" i="5"/>
  <c r="U11" i="5"/>
  <c r="T11" i="5"/>
  <c r="S11" i="5"/>
  <c r="R11" i="5"/>
  <c r="P11" i="5"/>
  <c r="AC10" i="5"/>
  <c r="AB10" i="5"/>
  <c r="AA10" i="5"/>
  <c r="Z10" i="5"/>
  <c r="Y10" i="5"/>
  <c r="X10" i="5"/>
  <c r="W10" i="5"/>
  <c r="V10" i="5"/>
  <c r="U10" i="5"/>
  <c r="T10" i="5"/>
  <c r="S10" i="5"/>
  <c r="R10" i="5"/>
  <c r="P10" i="5"/>
  <c r="AC9" i="5"/>
  <c r="AB9" i="5"/>
  <c r="AA9" i="5"/>
  <c r="Z9" i="5"/>
  <c r="Y9" i="5"/>
  <c r="X9" i="5"/>
  <c r="W9" i="5"/>
  <c r="V9" i="5"/>
  <c r="U9" i="5"/>
  <c r="T9" i="5"/>
  <c r="S9" i="5"/>
  <c r="R9" i="5"/>
  <c r="P9" i="5"/>
  <c r="AC8" i="5"/>
  <c r="AB8" i="5"/>
  <c r="AA8" i="5"/>
  <c r="Z8" i="5"/>
  <c r="Y8" i="5"/>
  <c r="X8" i="5"/>
  <c r="W8" i="5"/>
  <c r="V8" i="5"/>
  <c r="U8" i="5"/>
  <c r="T8" i="5"/>
  <c r="S8" i="5"/>
  <c r="R8" i="5"/>
  <c r="P8" i="5"/>
  <c r="AC7" i="5"/>
  <c r="AB7" i="5"/>
  <c r="AA7" i="5"/>
  <c r="Z7" i="5"/>
  <c r="Y7" i="5"/>
  <c r="X7" i="5"/>
  <c r="W7" i="5"/>
  <c r="V7" i="5"/>
  <c r="U7" i="5"/>
  <c r="T7" i="5"/>
  <c r="S7" i="5"/>
  <c r="R7" i="5"/>
  <c r="P7" i="5"/>
  <c r="P25" i="5" s="1"/>
  <c r="AD24" i="5" s="1"/>
  <c r="O4" i="5"/>
  <c r="AC4" i="5" s="1"/>
  <c r="N4" i="5"/>
  <c r="AB4" i="5" s="1"/>
  <c r="M4" i="5"/>
  <c r="AA4" i="5" s="1"/>
  <c r="L4" i="5"/>
  <c r="Z4" i="5" s="1"/>
  <c r="K4" i="5"/>
  <c r="Y4" i="5" s="1"/>
  <c r="J4" i="5"/>
  <c r="X4" i="5" s="1"/>
  <c r="I4" i="5"/>
  <c r="W4" i="5" s="1"/>
  <c r="H4" i="5"/>
  <c r="V4" i="5" s="1"/>
  <c r="G4" i="5"/>
  <c r="U4" i="5" s="1"/>
  <c r="F4" i="5"/>
  <c r="T4" i="5" s="1"/>
  <c r="E4" i="5"/>
  <c r="S4" i="5" s="1"/>
  <c r="D4" i="5"/>
  <c r="R4" i="5" s="1"/>
  <c r="AD9" i="5" l="1"/>
  <c r="AD11" i="5"/>
  <c r="AD8" i="5"/>
  <c r="AD10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S24" i="5"/>
  <c r="S23" i="5"/>
  <c r="S22" i="5"/>
  <c r="S21" i="5"/>
  <c r="S20" i="5"/>
  <c r="S19" i="5"/>
  <c r="S18" i="5"/>
  <c r="S17" i="5"/>
  <c r="S16" i="5"/>
  <c r="S15" i="5"/>
  <c r="S14" i="5"/>
  <c r="S13" i="5"/>
  <c r="Y25" i="5" s="1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W24" i="5"/>
  <c r="W23" i="5"/>
  <c r="W22" i="5"/>
  <c r="W21" i="5"/>
  <c r="W20" i="5"/>
  <c r="W19" i="5"/>
  <c r="W18" i="5"/>
  <c r="W17" i="5"/>
  <c r="W16" i="5"/>
  <c r="W15" i="5"/>
  <c r="W14" i="5"/>
  <c r="W13" i="5"/>
  <c r="W12" i="5"/>
  <c r="AC25" i="5" s="1"/>
  <c r="Y24" i="5"/>
  <c r="Y23" i="5"/>
  <c r="Y22" i="5"/>
  <c r="Y21" i="5"/>
  <c r="Y20" i="5"/>
  <c r="Y19" i="5"/>
  <c r="Y18" i="5"/>
  <c r="Y17" i="5"/>
  <c r="Y16" i="5"/>
  <c r="Y15" i="5"/>
  <c r="Y14" i="5"/>
  <c r="Y13" i="5"/>
  <c r="Y12" i="5"/>
  <c r="AA24" i="5"/>
  <c r="AA23" i="5"/>
  <c r="AA22" i="5"/>
  <c r="AA21" i="5"/>
  <c r="AA20" i="5"/>
  <c r="AA19" i="5"/>
  <c r="AA18" i="5"/>
  <c r="AA17" i="5"/>
  <c r="AA16" i="5"/>
  <c r="AA15" i="5"/>
  <c r="AA14" i="5"/>
  <c r="AA13" i="5"/>
  <c r="AA12" i="5"/>
  <c r="AC24" i="5"/>
  <c r="AC23" i="5"/>
  <c r="AC22" i="5"/>
  <c r="AC21" i="5"/>
  <c r="AC20" i="5"/>
  <c r="AC19" i="5"/>
  <c r="AC18" i="5"/>
  <c r="AC17" i="5"/>
  <c r="AC16" i="5"/>
  <c r="AC15" i="5"/>
  <c r="AC14" i="5"/>
  <c r="AC13" i="5"/>
  <c r="AC12" i="5"/>
  <c r="S25" i="5"/>
  <c r="W25" i="5"/>
  <c r="AA25" i="5"/>
  <c r="X25" i="5"/>
  <c r="R25" i="5"/>
  <c r="Z25" i="5"/>
  <c r="T25" i="5"/>
  <c r="AB25" i="5"/>
  <c r="V25" i="5"/>
  <c r="AD7" i="5"/>
  <c r="AD25" i="5" s="1"/>
  <c r="D25" i="4"/>
  <c r="R7" i="4" s="1"/>
  <c r="E25" i="4"/>
  <c r="F25" i="4"/>
  <c r="G25" i="4"/>
  <c r="H25" i="4"/>
  <c r="I25" i="4"/>
  <c r="J25" i="4"/>
  <c r="K25" i="4"/>
  <c r="L25" i="4"/>
  <c r="M25" i="4"/>
  <c r="N25" i="4"/>
  <c r="O25" i="4"/>
  <c r="Q25" i="4"/>
  <c r="U25" i="5" l="1"/>
  <c r="F20" i="3"/>
  <c r="E20" i="3"/>
  <c r="D20" i="3"/>
  <c r="J12" i="3" l="1"/>
  <c r="J13" i="3"/>
  <c r="J11" i="3"/>
  <c r="E14" i="3"/>
  <c r="F14" i="3"/>
  <c r="G14" i="3"/>
  <c r="H14" i="3"/>
  <c r="I14" i="3"/>
  <c r="D14" i="3"/>
  <c r="J14" i="3" l="1"/>
  <c r="AC24" i="4"/>
  <c r="AB24" i="4"/>
  <c r="AA24" i="4"/>
  <c r="Z24" i="4"/>
  <c r="Y24" i="4"/>
  <c r="X24" i="4"/>
  <c r="W24" i="4"/>
  <c r="V24" i="4"/>
  <c r="U24" i="4"/>
  <c r="T24" i="4"/>
  <c r="S24" i="4"/>
  <c r="R24" i="4"/>
  <c r="P24" i="4"/>
  <c r="AC23" i="4"/>
  <c r="AB23" i="4"/>
  <c r="AA23" i="4"/>
  <c r="Z23" i="4"/>
  <c r="Y23" i="4"/>
  <c r="X23" i="4"/>
  <c r="W23" i="4"/>
  <c r="V23" i="4"/>
  <c r="U23" i="4"/>
  <c r="T23" i="4"/>
  <c r="S23" i="4"/>
  <c r="R23" i="4"/>
  <c r="P23" i="4"/>
  <c r="AC22" i="4"/>
  <c r="AB22" i="4"/>
  <c r="AA22" i="4"/>
  <c r="Z22" i="4"/>
  <c r="Y22" i="4"/>
  <c r="X22" i="4"/>
  <c r="W22" i="4"/>
  <c r="V22" i="4"/>
  <c r="U22" i="4"/>
  <c r="T22" i="4"/>
  <c r="S22" i="4"/>
  <c r="R22" i="4"/>
  <c r="P22" i="4"/>
  <c r="AC21" i="4"/>
  <c r="AB21" i="4"/>
  <c r="AA21" i="4"/>
  <c r="Z21" i="4"/>
  <c r="Y21" i="4"/>
  <c r="X21" i="4"/>
  <c r="W21" i="4"/>
  <c r="V21" i="4"/>
  <c r="U21" i="4"/>
  <c r="T21" i="4"/>
  <c r="S21" i="4"/>
  <c r="R21" i="4"/>
  <c r="P21" i="4"/>
  <c r="AC20" i="4"/>
  <c r="AB20" i="4"/>
  <c r="AA20" i="4"/>
  <c r="Z20" i="4"/>
  <c r="Y20" i="4"/>
  <c r="X20" i="4"/>
  <c r="W20" i="4"/>
  <c r="V20" i="4"/>
  <c r="U20" i="4"/>
  <c r="T20" i="4"/>
  <c r="S20" i="4"/>
  <c r="R20" i="4"/>
  <c r="P20" i="4"/>
  <c r="AC19" i="4"/>
  <c r="AB19" i="4"/>
  <c r="AA19" i="4"/>
  <c r="Z19" i="4"/>
  <c r="Y19" i="4"/>
  <c r="X19" i="4"/>
  <c r="W19" i="4"/>
  <c r="V19" i="4"/>
  <c r="U19" i="4"/>
  <c r="T19" i="4"/>
  <c r="S19" i="4"/>
  <c r="R19" i="4"/>
  <c r="P19" i="4"/>
  <c r="AC18" i="4"/>
  <c r="AB18" i="4"/>
  <c r="AA18" i="4"/>
  <c r="Z18" i="4"/>
  <c r="Y18" i="4"/>
  <c r="X18" i="4"/>
  <c r="W18" i="4"/>
  <c r="V18" i="4"/>
  <c r="U18" i="4"/>
  <c r="T18" i="4"/>
  <c r="S18" i="4"/>
  <c r="R18" i="4"/>
  <c r="P18" i="4"/>
  <c r="AC17" i="4"/>
  <c r="AB17" i="4"/>
  <c r="AA17" i="4"/>
  <c r="Z17" i="4"/>
  <c r="Y17" i="4"/>
  <c r="X17" i="4"/>
  <c r="W17" i="4"/>
  <c r="V17" i="4"/>
  <c r="U17" i="4"/>
  <c r="T17" i="4"/>
  <c r="S17" i="4"/>
  <c r="R17" i="4"/>
  <c r="P17" i="4"/>
  <c r="AC16" i="4"/>
  <c r="AB16" i="4"/>
  <c r="AA16" i="4"/>
  <c r="Z16" i="4"/>
  <c r="Y16" i="4"/>
  <c r="X16" i="4"/>
  <c r="W16" i="4"/>
  <c r="V16" i="4"/>
  <c r="U16" i="4"/>
  <c r="T16" i="4"/>
  <c r="S16" i="4"/>
  <c r="R16" i="4"/>
  <c r="P16" i="4"/>
  <c r="AC15" i="4"/>
  <c r="AB15" i="4"/>
  <c r="AA15" i="4"/>
  <c r="Z15" i="4"/>
  <c r="Y15" i="4"/>
  <c r="X15" i="4"/>
  <c r="W15" i="4"/>
  <c r="V15" i="4"/>
  <c r="U15" i="4"/>
  <c r="T15" i="4"/>
  <c r="S15" i="4"/>
  <c r="R15" i="4"/>
  <c r="P15" i="4"/>
  <c r="AC14" i="4"/>
  <c r="AB14" i="4"/>
  <c r="AA14" i="4"/>
  <c r="Z14" i="4"/>
  <c r="Y14" i="4"/>
  <c r="X14" i="4"/>
  <c r="W14" i="4"/>
  <c r="V14" i="4"/>
  <c r="U14" i="4"/>
  <c r="T14" i="4"/>
  <c r="S14" i="4"/>
  <c r="R14" i="4"/>
  <c r="P14" i="4"/>
  <c r="AC13" i="4"/>
  <c r="AB13" i="4"/>
  <c r="AA13" i="4"/>
  <c r="Z13" i="4"/>
  <c r="Y13" i="4"/>
  <c r="X13" i="4"/>
  <c r="W13" i="4"/>
  <c r="V13" i="4"/>
  <c r="U13" i="4"/>
  <c r="T13" i="4"/>
  <c r="S13" i="4"/>
  <c r="R13" i="4"/>
  <c r="P13" i="4"/>
  <c r="AC12" i="4"/>
  <c r="AB12" i="4"/>
  <c r="AA12" i="4"/>
  <c r="Z12" i="4"/>
  <c r="Y12" i="4"/>
  <c r="X12" i="4"/>
  <c r="W12" i="4"/>
  <c r="V12" i="4"/>
  <c r="U12" i="4"/>
  <c r="T12" i="4"/>
  <c r="S12" i="4"/>
  <c r="R12" i="4"/>
  <c r="P12" i="4"/>
  <c r="AC11" i="4"/>
  <c r="AB11" i="4"/>
  <c r="AA11" i="4"/>
  <c r="Z11" i="4"/>
  <c r="Y11" i="4"/>
  <c r="X11" i="4"/>
  <c r="W11" i="4"/>
  <c r="V11" i="4"/>
  <c r="U11" i="4"/>
  <c r="T11" i="4"/>
  <c r="S11" i="4"/>
  <c r="R11" i="4"/>
  <c r="P11" i="4"/>
  <c r="AC10" i="4"/>
  <c r="AB10" i="4"/>
  <c r="AA10" i="4"/>
  <c r="Z10" i="4"/>
  <c r="Y10" i="4"/>
  <c r="X10" i="4"/>
  <c r="W10" i="4"/>
  <c r="V10" i="4"/>
  <c r="U10" i="4"/>
  <c r="T10" i="4"/>
  <c r="S10" i="4"/>
  <c r="R10" i="4"/>
  <c r="P10" i="4"/>
  <c r="AC9" i="4"/>
  <c r="AB9" i="4"/>
  <c r="AA9" i="4"/>
  <c r="Z9" i="4"/>
  <c r="Y9" i="4"/>
  <c r="X9" i="4"/>
  <c r="W9" i="4"/>
  <c r="V9" i="4"/>
  <c r="U9" i="4"/>
  <c r="T9" i="4"/>
  <c r="S9" i="4"/>
  <c r="R9" i="4"/>
  <c r="P9" i="4"/>
  <c r="AC8" i="4"/>
  <c r="AB8" i="4"/>
  <c r="AA8" i="4"/>
  <c r="Z8" i="4"/>
  <c r="Y8" i="4"/>
  <c r="X8" i="4"/>
  <c r="W8" i="4"/>
  <c r="V8" i="4"/>
  <c r="U8" i="4"/>
  <c r="T8" i="4"/>
  <c r="S8" i="4"/>
  <c r="R8" i="4"/>
  <c r="P8" i="4"/>
  <c r="AC7" i="4"/>
  <c r="AB7" i="4"/>
  <c r="AA7" i="4"/>
  <c r="Z7" i="4"/>
  <c r="Y7" i="4"/>
  <c r="X7" i="4"/>
  <c r="W7" i="4"/>
  <c r="V7" i="4"/>
  <c r="U7" i="4"/>
  <c r="T7" i="4"/>
  <c r="S7" i="4"/>
  <c r="P7" i="4"/>
  <c r="O4" i="4"/>
  <c r="AC4" i="4" s="1"/>
  <c r="N4" i="4"/>
  <c r="AB4" i="4" s="1"/>
  <c r="M4" i="4"/>
  <c r="AA4" i="4" s="1"/>
  <c r="L4" i="4"/>
  <c r="Z4" i="4" s="1"/>
  <c r="K4" i="4"/>
  <c r="Y4" i="4" s="1"/>
  <c r="J4" i="4"/>
  <c r="X4" i="4" s="1"/>
  <c r="I4" i="4"/>
  <c r="W4" i="4" s="1"/>
  <c r="H4" i="4"/>
  <c r="V4" i="4" s="1"/>
  <c r="G4" i="4"/>
  <c r="U4" i="4" s="1"/>
  <c r="F4" i="4"/>
  <c r="T4" i="4" s="1"/>
  <c r="E4" i="4"/>
  <c r="S4" i="4" s="1"/>
  <c r="D4" i="4"/>
  <c r="R4" i="4" s="1"/>
  <c r="Y25" i="4" l="1"/>
  <c r="S25" i="4"/>
  <c r="X25" i="4"/>
  <c r="R25" i="4"/>
  <c r="P25" i="4"/>
  <c r="AD22" i="4" s="1"/>
  <c r="T25" i="4"/>
  <c r="Z25" i="4"/>
  <c r="U25" i="4"/>
  <c r="AA25" i="4"/>
  <c r="AB25" i="4"/>
  <c r="V25" i="4"/>
  <c r="W25" i="4"/>
  <c r="AC25" i="4"/>
  <c r="AD11" i="4" l="1"/>
  <c r="AD21" i="4"/>
  <c r="AD9" i="4"/>
  <c r="AD10" i="4"/>
  <c r="AD19" i="4"/>
  <c r="AD18" i="4"/>
  <c r="AD15" i="4"/>
  <c r="AD13" i="4"/>
  <c r="AD17" i="4"/>
  <c r="AD14" i="4"/>
  <c r="AD24" i="4"/>
  <c r="AD23" i="4"/>
  <c r="AD8" i="4"/>
  <c r="AD20" i="4"/>
  <c r="AD12" i="4"/>
  <c r="AD7" i="4"/>
  <c r="AD16" i="4"/>
  <c r="AD25" i="4" l="1"/>
</calcChain>
</file>

<file path=xl/sharedStrings.xml><?xml version="1.0" encoding="utf-8"?>
<sst xmlns="http://schemas.openxmlformats.org/spreadsheetml/2006/main" count="153" uniqueCount="91">
  <si>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</si>
  <si>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</si>
  <si>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</si>
  <si>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</si>
  <si>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</si>
  <si>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</si>
  <si>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</si>
  <si>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</si>
  <si>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</si>
  <si>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</si>
  <si>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</si>
  <si>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</si>
  <si>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% m1</t>
  </si>
  <si>
    <t>% m2</t>
  </si>
  <si>
    <t>% m3</t>
  </si>
  <si>
    <t>% m4</t>
  </si>
  <si>
    <t>% m5</t>
  </si>
  <si>
    <t>% m6</t>
  </si>
  <si>
    <t>% m7</t>
  </si>
  <si>
    <t>% m8</t>
  </si>
  <si>
    <t>% m9</t>
  </si>
  <si>
    <t>% m10</t>
  </si>
  <si>
    <t>% m11</t>
  </si>
  <si>
    <t>% m12</t>
  </si>
  <si>
    <t>Ind %</t>
  </si>
  <si>
    <t>% y</t>
  </si>
  <si>
    <t>Annuel</t>
  </si>
  <si>
    <t>TENDANCE</t>
  </si>
  <si>
    <t>TOTAL (VENTES)</t>
  </si>
  <si>
    <t>DÉBUT EXERCICE FINANCIER :</t>
  </si>
  <si>
    <t>IND %</t>
  </si>
  <si>
    <t>ANNUEL</t>
  </si>
  <si>
    <t>% ANNUEL</t>
  </si>
  <si>
    <t>Client 1</t>
  </si>
  <si>
    <t>Client 2</t>
  </si>
  <si>
    <t>Client 3</t>
  </si>
  <si>
    <t>Client 4</t>
  </si>
  <si>
    <t>Client 5</t>
  </si>
  <si>
    <t>Client 6</t>
  </si>
  <si>
    <t>Client 7</t>
  </si>
  <si>
    <t>Client 8</t>
  </si>
  <si>
    <t>Client 9</t>
  </si>
  <si>
    <t>Client 10</t>
  </si>
  <si>
    <t>Client 11</t>
  </si>
  <si>
    <t>SEPT</t>
  </si>
  <si>
    <t>CA (VENTES)</t>
  </si>
  <si>
    <t>Client 12</t>
  </si>
  <si>
    <t>Client 13</t>
  </si>
  <si>
    <t>Client 14</t>
  </si>
  <si>
    <t>Client 15</t>
  </si>
  <si>
    <t>Client 16</t>
  </si>
  <si>
    <t>Client 17</t>
  </si>
  <si>
    <t>Client 18</t>
  </si>
  <si>
    <t>Clients acquis courant 1ere année</t>
  </si>
  <si>
    <t>Clients acquis courant 2eme année</t>
  </si>
  <si>
    <t>PE</t>
  </si>
  <si>
    <t>ME</t>
  </si>
  <si>
    <t>GE</t>
  </si>
  <si>
    <t>Taille Entreprise</t>
  </si>
  <si>
    <t>Panier moyen</t>
  </si>
  <si>
    <t>Prestation mensuelle récurrente Y1</t>
  </si>
  <si>
    <t>Nbre de clients acquis Y1</t>
  </si>
  <si>
    <t>Nombre de clients perdus Y1</t>
  </si>
  <si>
    <t>Nombre de clients perdus Y2</t>
  </si>
  <si>
    <t>Nombre de clients perdus Y3</t>
  </si>
  <si>
    <t>Nombre de clients acquis Y2</t>
  </si>
  <si>
    <t>Nombre de clients acquis Y3</t>
  </si>
  <si>
    <t>Total</t>
  </si>
  <si>
    <t>Prestation vendue</t>
  </si>
  <si>
    <t>Prestation mensuelle récurrente Y2</t>
  </si>
  <si>
    <t>Prestation mensuelle récurrente Y3</t>
  </si>
  <si>
    <t>Coût des ventes</t>
  </si>
  <si>
    <t>Royalties</t>
  </si>
  <si>
    <t>10% CA</t>
  </si>
  <si>
    <t>Sous traitance</t>
  </si>
  <si>
    <t>30% CA</t>
  </si>
  <si>
    <t>Panier Moyen par type de client</t>
  </si>
  <si>
    <t>Evolution du Nombre de clients par type de client</t>
  </si>
  <si>
    <t>CV Y1</t>
  </si>
  <si>
    <t>CV Y2</t>
  </si>
  <si>
    <t>CV Y3</t>
  </si>
  <si>
    <t xml:space="preserve"> Détail et Evolution du coût des ventes</t>
  </si>
  <si>
    <t>9% CA</t>
  </si>
  <si>
    <t xml:space="preserve">20% CA </t>
  </si>
  <si>
    <t>15% CA</t>
  </si>
  <si>
    <t>Autres redeveances fixes</t>
  </si>
  <si>
    <t>40% CA</t>
  </si>
  <si>
    <t>coût des ventes Moyen</t>
  </si>
  <si>
    <t>50% CA</t>
  </si>
  <si>
    <t>25% CA</t>
  </si>
  <si>
    <t>PRÉVISION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</si>
</sst>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;;;"/>
    <numFmt numFmtId="166" formatCode="#,##0\ [$€-40C]"/>
  </numFmts>
  <fonts count="22" x14ac:knownFonts="1">
    <font>
      <sz val="10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2"/>
      <color theme="1"/>
      <name val="Bookman Old Style"/>
      <family val="1"/>
      <scheme val="major"/>
    </font>
    <font>
      <b/>
      <sz val="16"/>
      <color theme="3"/>
      <name val="Century Gothic"/>
      <family val="2"/>
      <scheme val="minor"/>
    </font>
    <font>
      <sz val="10"/>
      <color theme="3"/>
      <name val="Bookman Old Style"/>
      <family val="1"/>
      <scheme val="major"/>
    </font>
    <font>
      <b/>
      <sz val="12"/>
      <color theme="8"/>
      <name val="Bookman Old Style"/>
      <family val="1"/>
      <scheme val="major"/>
    </font>
    <font>
      <sz val="10"/>
      <color theme="1"/>
      <name val="Century Gothic"/>
      <family val="2"/>
      <scheme val="minor"/>
    </font>
    <font>
      <b/>
      <sz val="26"/>
      <color theme="3"/>
      <name val="Century Gothic"/>
      <family val="2"/>
      <scheme val="minor"/>
    </font>
    <font>
      <b/>
      <sz val="22"/>
      <color theme="3"/>
      <name val="Century Gothic"/>
      <family val="2"/>
      <scheme val="minor"/>
    </font>
    <font>
      <b/>
      <sz val="12"/>
      <color theme="3"/>
      <name val="Century Gothic"/>
      <family val="2"/>
      <scheme val="minor"/>
    </font>
    <font>
      <b/>
      <i/>
      <sz val="16"/>
      <color theme="7"/>
      <name val="Bookman Old Style"/>
      <family val="1"/>
      <scheme val="major"/>
    </font>
    <font>
      <b/>
      <i/>
      <sz val="22"/>
      <color theme="7"/>
      <name val="Bookman Old Style"/>
      <family val="1"/>
      <scheme val="major"/>
    </font>
    <font>
      <b/>
      <sz val="11"/>
      <color theme="8"/>
      <name val="Century Gothic"/>
      <family val="2"/>
      <scheme val="minor"/>
    </font>
    <font>
      <b/>
      <sz val="10"/>
      <color theme="1"/>
      <name val="Century Gothic"/>
      <family val="2"/>
      <scheme val="minor"/>
    </font>
    <font>
      <strike/>
      <outline/>
      <shadow/>
      <sz val="10"/>
      <color theme="1"/>
      <name val="Century Gothic"/>
      <family val="2"/>
      <scheme val="minor"/>
    </font>
    <font>
      <b/>
      <condense/>
      <extend/>
      <outline/>
      <shadow/>
      <sz val="10"/>
      <color theme="1"/>
      <name val="Century Gothic"/>
      <family val="2"/>
      <scheme val="minor"/>
    </font>
    <font>
      <b/>
      <sz val="18"/>
      <color theme="3"/>
      <name val="Century Gothic"/>
      <family val="2"/>
      <scheme val="minor"/>
    </font>
    <font>
      <b/>
      <i/>
      <sz val="10"/>
      <color theme="1"/>
      <name val="Century Gothic"/>
      <family val="2"/>
      <scheme val="minor"/>
    </font>
    <font>
      <sz val="12"/>
      <color theme="1"/>
      <name val="Century Gothic"/>
      <family val="2"/>
      <scheme val="minor"/>
    </font>
    <font>
      <b/>
      <sz val="12"/>
      <color theme="1"/>
      <name val="Century Gothic"/>
      <family val="2"/>
      <scheme val="minor"/>
    </font>
    <font>
      <b/>
      <condense/>
      <extend/>
      <outline/>
      <shadow/>
      <sz val="10"/>
      <color theme="3"/>
      <name val="Century Gothic"/>
      <family val="2"/>
      <scheme val="minor"/>
    </font>
    <font>
      <b/>
      <sz val="16"/>
      <color theme="1"/>
      <name val="Century Gothic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/>
      <bottom style="dotted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 style="dotted">
        <color theme="5" tint="0.39991454817346722"/>
      </left>
      <right/>
      <top/>
      <bottom/>
      <diagonal/>
    </border>
    <border>
      <left style="dotted">
        <color theme="5" tint="0.39991454817346722"/>
      </left>
      <right/>
      <top style="thin">
        <color theme="2"/>
      </top>
      <bottom/>
      <diagonal/>
    </border>
    <border>
      <left style="dotted">
        <color theme="5" tint="0.39991454817346722"/>
      </left>
      <right style="thin">
        <color theme="2"/>
      </right>
      <top style="thin">
        <color theme="2"/>
      </top>
      <bottom/>
      <diagonal/>
    </border>
    <border>
      <left/>
      <right/>
      <top style="thin">
        <color theme="5" tint="0.39994506668294322"/>
      </top>
      <bottom/>
      <diagonal/>
    </border>
    <border>
      <left style="thin">
        <color theme="2"/>
      </left>
      <right/>
      <top style="thin">
        <color theme="5" tint="0.39994506668294322"/>
      </top>
      <bottom/>
      <diagonal/>
    </border>
    <border>
      <left style="dotted">
        <color theme="5" tint="0.39994506668294322"/>
      </left>
      <right/>
      <top style="thin">
        <color theme="5" tint="0.39994506668294322"/>
      </top>
      <bottom/>
      <diagonal/>
    </border>
    <border>
      <left style="dotted">
        <color theme="5" tint="0.39994506668294322"/>
      </left>
      <right/>
      <top style="thin">
        <color theme="2"/>
      </top>
      <bottom/>
      <diagonal/>
    </border>
    <border>
      <left style="dotted">
        <color theme="5" tint="0.39994506668294322"/>
      </left>
      <right style="thin">
        <color theme="2"/>
      </right>
      <top style="thin">
        <color theme="2"/>
      </top>
      <bottom/>
      <diagonal/>
    </border>
    <border>
      <left style="dotted">
        <color theme="5" tint="0.39991454817346722"/>
      </left>
      <right/>
      <top style="thin">
        <color theme="5" tint="0.39994506668294322"/>
      </top>
      <bottom/>
      <diagonal/>
    </border>
    <border>
      <left/>
      <right/>
      <top style="thin">
        <color theme="2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02">
    <xf numFmtId="0" fontId="0" fillId="0" borderId="0" xfId="0"/>
    <xf numFmtId="165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right"/>
    </xf>
    <xf numFmtId="17" fontId="2" fillId="0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9" fontId="6" fillId="0" borderId="0" xfId="2" applyFont="1" applyFill="1" applyAlignment="1">
      <alignment horizontal="right"/>
    </xf>
    <xf numFmtId="0" fontId="6" fillId="2" borderId="2" xfId="0" applyFont="1" applyFill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9" fillId="0" borderId="0" xfId="4" applyFill="1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0" fontId="12" fillId="0" borderId="0" xfId="0" applyFont="1"/>
    <xf numFmtId="0" fontId="0" fillId="0" borderId="6" xfId="0" applyBorder="1"/>
    <xf numFmtId="0" fontId="5" fillId="0" borderId="0" xfId="0" applyFont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0" fillId="0" borderId="0" xfId="0" applyNumberFormat="1"/>
    <xf numFmtId="9" fontId="6" fillId="2" borderId="4" xfId="2" applyFont="1" applyFill="1" applyBorder="1" applyAlignment="1">
      <alignment horizontal="right"/>
    </xf>
    <xf numFmtId="9" fontId="6" fillId="2" borderId="1" xfId="2" applyFont="1" applyFill="1" applyBorder="1" applyAlignment="1">
      <alignment horizontal="right"/>
    </xf>
    <xf numFmtId="9" fontId="6" fillId="2" borderId="5" xfId="2" applyFont="1" applyFill="1" applyBorder="1" applyAlignment="1">
      <alignment horizontal="right" vertical="center"/>
    </xf>
    <xf numFmtId="0" fontId="13" fillId="0" borderId="0" xfId="0" applyFont="1"/>
    <xf numFmtId="166" fontId="6" fillId="0" borderId="0" xfId="1" applyNumberFormat="1" applyFont="1" applyFill="1"/>
    <xf numFmtId="166" fontId="6" fillId="2" borderId="2" xfId="1" applyNumberFormat="1" applyFont="1" applyFill="1" applyBorder="1" applyAlignment="1"/>
    <xf numFmtId="9" fontId="14" fillId="2" borderId="4" xfId="2" applyFont="1" applyFill="1" applyBorder="1" applyAlignment="1">
      <alignment horizontal="right"/>
    </xf>
    <xf numFmtId="0" fontId="15" fillId="0" borderId="0" xfId="0" applyFont="1"/>
    <xf numFmtId="166" fontId="15" fillId="0" borderId="0" xfId="0" applyNumberFormat="1" applyFont="1" applyFill="1"/>
    <xf numFmtId="9" fontId="15" fillId="0" borderId="0" xfId="0" applyNumberFormat="1" applyFont="1" applyFill="1" applyAlignment="1">
      <alignment horizontal="right"/>
    </xf>
    <xf numFmtId="9" fontId="15" fillId="0" borderId="0" xfId="0" applyNumberFormat="1" applyFont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0" fillId="0" borderId="0" xfId="0" applyAlignment="1">
      <alignment horizontal="center"/>
    </xf>
    <xf numFmtId="166" fontId="6" fillId="3" borderId="0" xfId="1" applyNumberFormat="1" applyFont="1" applyFill="1"/>
    <xf numFmtId="0" fontId="10" fillId="0" borderId="6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9" fillId="0" borderId="0" xfId="4" applyFill="1" applyAlignment="1">
      <alignment horizontal="right" wrapText="1"/>
    </xf>
    <xf numFmtId="0" fontId="0" fillId="4" borderId="0" xfId="0" applyFont="1" applyFill="1" applyAlignment="1">
      <alignment horizontal="right" wrapText="1"/>
    </xf>
    <xf numFmtId="0" fontId="0" fillId="5" borderId="0" xfId="0" applyFont="1" applyFill="1" applyAlignment="1">
      <alignment horizontal="right" wrapText="1"/>
    </xf>
    <xf numFmtId="0" fontId="0" fillId="6" borderId="0" xfId="0" applyFont="1" applyFill="1" applyAlignment="1">
      <alignment horizontal="right" wrapText="1"/>
    </xf>
    <xf numFmtId="0" fontId="15" fillId="0" borderId="0" xfId="0" applyFont="1" applyAlignment="1">
      <alignment horizontal="right" wrapText="1"/>
    </xf>
    <xf numFmtId="0" fontId="0" fillId="0" borderId="0" xfId="0" applyAlignment="1">
      <alignment horizontal="center" wrapText="1"/>
    </xf>
    <xf numFmtId="0" fontId="16" fillId="0" borderId="0" xfId="3" applyFont="1" applyBorder="1" applyAlignment="1">
      <alignment vertical="center" wrapText="1"/>
    </xf>
    <xf numFmtId="166" fontId="6" fillId="7" borderId="0" xfId="1" applyNumberFormat="1" applyFont="1" applyFill="1"/>
    <xf numFmtId="0" fontId="0" fillId="0" borderId="7" xfId="0" applyFill="1" applyBorder="1"/>
    <xf numFmtId="0" fontId="0" fillId="0" borderId="0" xfId="0" applyAlignment="1">
      <alignment vertical="center" wrapText="1"/>
    </xf>
    <xf numFmtId="0" fontId="0" fillId="4" borderId="7" xfId="0" applyFill="1" applyBorder="1"/>
    <xf numFmtId="0" fontId="0" fillId="0" borderId="7" xfId="0" applyBorder="1"/>
    <xf numFmtId="0" fontId="0" fillId="5" borderId="7" xfId="0" applyFill="1" applyBorder="1"/>
    <xf numFmtId="0" fontId="0" fillId="6" borderId="7" xfId="0" applyFill="1" applyBorder="1"/>
    <xf numFmtId="0" fontId="13" fillId="0" borderId="7" xfId="0" applyFont="1" applyBorder="1"/>
    <xf numFmtId="0" fontId="17" fillId="0" borderId="7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3" fillId="3" borderId="7" xfId="0" applyFont="1" applyFill="1" applyBorder="1"/>
    <xf numFmtId="0" fontId="0" fillId="3" borderId="7" xfId="0" applyFill="1" applyBorder="1"/>
    <xf numFmtId="0" fontId="18" fillId="0" borderId="0" xfId="0" applyFont="1" applyAlignment="1"/>
    <xf numFmtId="0" fontId="13" fillId="0" borderId="7" xfId="0" applyFont="1" applyBorder="1" applyAlignment="1">
      <alignment wrapText="1"/>
    </xf>
    <xf numFmtId="0" fontId="0" fillId="0" borderId="7" xfId="0" applyBorder="1" applyAlignment="1">
      <alignment horizontal="center"/>
    </xf>
    <xf numFmtId="9" fontId="0" fillId="0" borderId="7" xfId="0" applyNumberFormat="1" applyBorder="1" applyAlignment="1">
      <alignment horizontal="center"/>
    </xf>
    <xf numFmtId="166" fontId="20" fillId="0" borderId="0" xfId="0" applyNumberFormat="1" applyFont="1" applyFill="1" applyBorder="1"/>
    <xf numFmtId="165" fontId="21" fillId="0" borderId="0" xfId="0" applyNumberFormat="1" applyFont="1" applyFill="1" applyAlignment="1">
      <alignment horizontal="center"/>
    </xf>
    <xf numFmtId="0" fontId="19" fillId="0" borderId="0" xfId="0" applyFont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13" fillId="0" borderId="8" xfId="0" applyFont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10" xfId="0" applyFont="1" applyBorder="1" applyAlignment="1">
      <alignment horizontal="center" vertical="center" textRotation="90" wrapText="1"/>
    </xf>
    <xf numFmtId="0" fontId="9" fillId="0" borderId="0" xfId="4" applyFont="1" applyFill="1" applyBorder="1" applyAlignment="1">
      <alignment horizontal="right" wrapText="1"/>
    </xf>
    <xf numFmtId="0" fontId="9" fillId="0" borderId="0" xfId="4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right"/>
    </xf>
    <xf numFmtId="0" fontId="0" fillId="4" borderId="0" xfId="0" applyFont="1" applyFill="1" applyBorder="1" applyAlignment="1">
      <alignment horizontal="right" wrapText="1"/>
    </xf>
    <xf numFmtId="0" fontId="0" fillId="2" borderId="12" xfId="0" applyFont="1" applyFill="1" applyBorder="1" applyAlignment="1">
      <alignment horizontal="center"/>
    </xf>
    <xf numFmtId="166" fontId="0" fillId="3" borderId="13" xfId="1" applyNumberFormat="1" applyFont="1" applyFill="1" applyBorder="1"/>
    <xf numFmtId="166" fontId="0" fillId="3" borderId="14" xfId="1" applyNumberFormat="1" applyFont="1" applyFill="1" applyBorder="1"/>
    <xf numFmtId="166" fontId="0" fillId="0" borderId="14" xfId="1" applyNumberFormat="1" applyFont="1" applyBorder="1"/>
    <xf numFmtId="166" fontId="0" fillId="2" borderId="12" xfId="1" applyNumberFormat="1" applyFont="1" applyFill="1" applyBorder="1" applyAlignment="1"/>
    <xf numFmtId="9" fontId="0" fillId="0" borderId="13" xfId="2" applyNumberFormat="1" applyFont="1" applyBorder="1" applyAlignment="1">
      <alignment horizontal="right"/>
    </xf>
    <xf numFmtId="9" fontId="0" fillId="2" borderId="12" xfId="2" applyNumberFormat="1" applyFont="1" applyFill="1" applyBorder="1" applyAlignment="1">
      <alignment horizontal="right"/>
    </xf>
    <xf numFmtId="9" fontId="0" fillId="2" borderId="15" xfId="2" applyNumberFormat="1" applyFont="1" applyFill="1" applyBorder="1" applyAlignment="1">
      <alignment horizontal="right"/>
    </xf>
    <xf numFmtId="9" fontId="0" fillId="2" borderId="16" xfId="2" applyNumberFormat="1" applyFont="1" applyFill="1" applyBorder="1" applyAlignment="1">
      <alignment horizontal="right" vertical="center"/>
    </xf>
    <xf numFmtId="0" fontId="0" fillId="5" borderId="17" xfId="0" applyFont="1" applyFill="1" applyBorder="1" applyAlignment="1">
      <alignment horizontal="right" wrapText="1"/>
    </xf>
    <xf numFmtId="166" fontId="0" fillId="0" borderId="18" xfId="1" applyNumberFormat="1" applyFont="1" applyBorder="1"/>
    <xf numFmtId="166" fontId="0" fillId="0" borderId="19" xfId="1" applyNumberFormat="1" applyFont="1" applyBorder="1"/>
    <xf numFmtId="166" fontId="0" fillId="3" borderId="19" xfId="1" applyNumberFormat="1" applyFont="1" applyFill="1" applyBorder="1"/>
    <xf numFmtId="9" fontId="0" fillId="0" borderId="18" xfId="2" applyNumberFormat="1" applyFont="1" applyBorder="1" applyAlignment="1">
      <alignment horizontal="right"/>
    </xf>
    <xf numFmtId="9" fontId="0" fillId="2" borderId="20" xfId="2" applyNumberFormat="1" applyFont="1" applyFill="1" applyBorder="1" applyAlignment="1">
      <alignment horizontal="right"/>
    </xf>
    <xf numFmtId="9" fontId="0" fillId="2" borderId="21" xfId="2" applyNumberFormat="1" applyFont="1" applyFill="1" applyBorder="1" applyAlignment="1">
      <alignment horizontal="right" vertical="center"/>
    </xf>
    <xf numFmtId="0" fontId="0" fillId="4" borderId="17" xfId="0" applyFont="1" applyFill="1" applyBorder="1" applyAlignment="1">
      <alignment horizontal="right" wrapText="1"/>
    </xf>
    <xf numFmtId="166" fontId="0" fillId="0" borderId="22" xfId="1" applyNumberFormat="1" applyFont="1" applyBorder="1"/>
    <xf numFmtId="166" fontId="0" fillId="3" borderId="22" xfId="1" applyNumberFormat="1" applyFont="1" applyFill="1" applyBorder="1"/>
    <xf numFmtId="0" fontId="0" fillId="6" borderId="17" xfId="0" applyFont="1" applyFill="1" applyBorder="1" applyAlignment="1">
      <alignment horizontal="right" wrapText="1"/>
    </xf>
    <xf numFmtId="9" fontId="14" fillId="2" borderId="12" xfId="2" applyNumberFormat="1" applyFont="1" applyFill="1" applyBorder="1" applyAlignment="1">
      <alignment horizontal="right"/>
    </xf>
    <xf numFmtId="166" fontId="0" fillId="3" borderId="18" xfId="1" applyNumberFormat="1" applyFont="1" applyFill="1" applyBorder="1"/>
    <xf numFmtId="166" fontId="0" fillId="7" borderId="22" xfId="1" applyNumberFormat="1" applyFont="1" applyFill="1" applyBorder="1"/>
    <xf numFmtId="0" fontId="20" fillId="0" borderId="17" xfId="0" applyFont="1" applyFill="1" applyBorder="1" applyAlignment="1">
      <alignment horizontal="right" wrapText="1"/>
    </xf>
    <xf numFmtId="0" fontId="20" fillId="0" borderId="23" xfId="0" applyFont="1" applyFill="1" applyBorder="1"/>
    <xf numFmtId="166" fontId="20" fillId="0" borderId="17" xfId="0" applyNumberFormat="1" applyFont="1" applyFill="1" applyBorder="1"/>
    <xf numFmtId="166" fontId="20" fillId="0" borderId="23" xfId="0" applyNumberFormat="1" applyFont="1" applyFill="1" applyBorder="1"/>
    <xf numFmtId="9" fontId="20" fillId="0" borderId="17" xfId="0" applyNumberFormat="1" applyFont="1" applyFill="1" applyBorder="1" applyAlignment="1">
      <alignment horizontal="right"/>
    </xf>
    <xf numFmtId="9" fontId="20" fillId="0" borderId="23" xfId="0" applyNumberFormat="1" applyFont="1" applyFill="1" applyBorder="1" applyAlignment="1">
      <alignment horizontal="right"/>
    </xf>
    <xf numFmtId="9" fontId="20" fillId="0" borderId="23" xfId="0" applyNumberFormat="1" applyFont="1" applyFill="1" applyBorder="1" applyAlignment="1">
      <alignment horizontal="right" vertical="center"/>
    </xf>
  </cellXfs>
  <cellStyles count="5">
    <cellStyle name="Monétaire" xfId="1" builtinId="4"/>
    <cellStyle name="Normal" xfId="0" builtinId="0" customBuiltin="1"/>
    <cellStyle name="Pourcentage" xfId="2" builtinId="5"/>
    <cellStyle name="Titre" xfId="3" builtinId="15" customBuiltin="1"/>
    <cellStyle name="Titre 1" xfId="4" builtinId="16" customBuiltin="1"/>
  </cellStyles>
  <dxfs count="75"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alignment horizontal="right" vertical="center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indexed="65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</dxf>
    <dxf>
      <font>
        <b/>
        <i val="0"/>
        <strike val="0"/>
        <condense/>
        <extend/>
        <outline/>
        <shadow/>
        <u val="none"/>
        <vertAlign val="baseline"/>
        <sz val="10"/>
        <color theme="1"/>
        <name val="Century Gothic"/>
        <scheme val="minor"/>
      </font>
      <alignment horizontal="right" vertical="bottom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/>
        </left>
        <right/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outline="0">
        <left style="thin">
          <color theme="2"/>
        </left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solid">
          <fgColor indexed="64"/>
          <bgColor theme="5" tint="0.3999755851924192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  <border outline="0">
        <right style="thin">
          <color theme="2"/>
        </right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numFmt numFmtId="166" formatCode="#,##0\ [$€-40C]"/>
      <fill>
        <patternFill patternType="none">
          <fgColor indexed="64"/>
          <bgColor auto="1"/>
        </patternFill>
      </fill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strike/>
        <outline/>
        <shadow/>
        <u val="none"/>
        <vertAlign val="baseline"/>
        <sz val="10"/>
        <color theme="1"/>
        <name val="Century Gothic"/>
        <scheme val="minor"/>
      </font>
      <alignment horizontal="right" vertical="bottom" textRotation="0" wrapText="1" indent="0" justifyLastLine="0" shrinkToFit="0" readingOrder="0"/>
    </dxf>
    <dxf>
      <font>
        <b/>
        <i val="0"/>
        <strike val="0"/>
        <outline/>
        <shadow/>
        <u val="none"/>
        <vertAlign val="baseline"/>
        <sz val="10"/>
        <color rgb="FF000000"/>
        <name val="Century Gothic"/>
        <scheme val="none"/>
      </font>
    </dxf>
    <dxf>
      <font>
        <b/>
        <strike/>
        <outline/>
        <shadow/>
        <u val="none"/>
        <vertAlign val="baseline"/>
        <sz val="16"/>
        <color theme="3"/>
        <name val="Century Gothic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>
        <left/>
        <right style="dotted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dotted">
          <color theme="4" tint="0.39994506668294322"/>
        </vertical>
        <horizontal style="thin">
          <color theme="4" tint="0.39994506668294322"/>
        </horizontal>
      </border>
    </dxf>
    <dxf>
      <border>
        <left/>
        <right style="dotted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dotted">
          <color theme="4" tint="0.399945066682943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4506668294322"/>
        </vertical>
        <horizontal style="thin">
          <color theme="5" tint="0.39994506668294322"/>
        </horizontal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14548173467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border>
        <left/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 style="dotted">
          <color theme="6" tint="0.39994506668294322"/>
        </vertical>
        <horizontal style="thin">
          <color theme="6" tint="0.39994506668294322"/>
        </horizontal>
      </border>
    </dxf>
    <dxf>
      <border>
        <left/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 style="dotted">
          <color theme="6" tint="0.399945066682943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</dxfs>
  <tableStyles count="3" defaultTableStyle="Profit &amp; Loss Revenue" defaultPivotStyle="PivotStyleLight16">
    <tableStyle name="Profit &amp; Loss Expenses" pivot="0" count="5">
      <tableStyleElement type="wholeTable" dxfId="74"/>
      <tableStyleElement type="headerRow" dxfId="73"/>
      <tableStyleElement type="totalRow" dxfId="72"/>
      <tableStyleElement type="firstRowStripe" dxfId="71"/>
      <tableStyleElement type="secondRowStripe" dxfId="70"/>
    </tableStyle>
    <tableStyle name="Profit &amp; Loss Revenue" pivot="0" count="5">
      <tableStyleElement type="wholeTable" dxfId="69"/>
      <tableStyleElement type="headerRow" dxfId="68"/>
      <tableStyleElement type="totalRow" dxfId="67"/>
      <tableStyleElement type="firstRowStripe" dxfId="66"/>
      <tableStyleElement type="secondRowStripe" dxfId="65"/>
    </tableStyle>
    <tableStyle name="Profit &amp; Loss Sales" pivot="0" count="5">
      <tableStyleElement type="wholeTable" dxfId="64"/>
      <tableStyleElement type="headerRow" dxfId="63"/>
      <tableStyleElement type="totalRow" dxfId="62"/>
      <tableStyleElement type="firstRowStripe" dxfId="61"/>
      <tableStyleElement type="secondRowStripe" dxfId="6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lRevenus2" displayName="tblRevenus2" ref="B6:AD25" totalsRowCount="1" headerRowDxfId="59" totalsRowDxfId="58">
  <tableColumns count="29">
    <tableColumn id="1" name="CA (VENTES)" totalsRowLabel="TOTAL (VENTES)" dataDxfId="57" totalsRowDxfId="28"/>
    <tableColumn id="29" name="TENDANCE" dataDxfId="56" totalsRowDxfId="27"/>
    <tableColumn id="2" name="m1" totalsRowFunction="sum" dataDxfId="55" totalsRowDxfId="26"/>
    <tableColumn id="3" name="m2" totalsRowFunction="sum" dataDxfId="54" totalsRowDxfId="25"/>
    <tableColumn id="4" name="m3" totalsRowFunction="sum" dataDxfId="53" totalsRowDxfId="24"/>
    <tableColumn id="5" name="m4" totalsRowFunction="sum" dataDxfId="52" totalsRowDxfId="23"/>
    <tableColumn id="6" name="m5" totalsRowFunction="sum" dataDxfId="51" totalsRowDxfId="22"/>
    <tableColumn id="7" name="m6" totalsRowFunction="sum" dataDxfId="50" totalsRowDxfId="21"/>
    <tableColumn id="8" name="m7" totalsRowFunction="sum" dataDxfId="49" totalsRowDxfId="20"/>
    <tableColumn id="9" name="m8" totalsRowFunction="sum" dataDxfId="48" totalsRowDxfId="19"/>
    <tableColumn id="10" name="m9" totalsRowFunction="sum" dataDxfId="47" totalsRowDxfId="18"/>
    <tableColumn id="11" name="m10" totalsRowFunction="sum" dataDxfId="46" totalsRowDxfId="17"/>
    <tableColumn id="12" name="m11" totalsRowFunction="sum" dataDxfId="45" totalsRowDxfId="16"/>
    <tableColumn id="13" name="m12" totalsRowFunction="sum" dataDxfId="44" totalsRowDxfId="15"/>
    <tableColumn id="14" name="Annuel" totalsRowFunction="sum" dataDxfId="43" totalsRowDxfId="14">
      <calculatedColumnFormula>SUM(tblRevenus2[[#This Row],[m1]:[m12]])</calculatedColumnFormula>
    </tableColumn>
    <tableColumn id="15" name="Ind %" totalsRowFunction="sum" dataDxfId="42" totalsRowDxfId="13"/>
    <tableColumn id="16" name="% m1" totalsRowFunction="sum" dataDxfId="41" totalsRowDxfId="12">
      <calculatedColumnFormula>IFERROR(tblRevenus2[[#This Row],[m1]]/tblRevenus2[[#Totals],[m1]],"-")</calculatedColumnFormula>
    </tableColumn>
    <tableColumn id="17" name="% m2" totalsRowFunction="sum" dataDxfId="40" totalsRowDxfId="11">
      <calculatedColumnFormula>IFERROR(tblRevenus2[[#This Row],[m2]]/tblRevenus2[[#Totals],[m2]],"-")</calculatedColumnFormula>
    </tableColumn>
    <tableColumn id="18" name="% m3" totalsRowFunction="sum" dataDxfId="39" totalsRowDxfId="10">
      <calculatedColumnFormula>IFERROR(tblRevenus2[[#This Row],[m3]]/tblRevenus2[[#Totals],[m3]],"-")</calculatedColumnFormula>
    </tableColumn>
    <tableColumn id="19" name="% m4" totalsRowFunction="sum" dataDxfId="38" totalsRowDxfId="9">
      <calculatedColumnFormula>IFERROR(tblRevenus2[[#This Row],[m4]]/tblRevenus2[[#Totals],[m4]],"-")</calculatedColumnFormula>
    </tableColumn>
    <tableColumn id="20" name="% m5" totalsRowFunction="sum" dataDxfId="37" totalsRowDxfId="8">
      <calculatedColumnFormula>IFERROR(tblRevenus2[[#This Row],[m5]]/tblRevenus2[[#Totals],[m5]],"-")</calculatedColumnFormula>
    </tableColumn>
    <tableColumn id="21" name="% m6" totalsRowFunction="sum" dataDxfId="36" totalsRowDxfId="7">
      <calculatedColumnFormula>IFERROR(tblRevenus2[[#This Row],[m6]]/tblRevenus2[[#Totals],[m6]],"-")</calculatedColumnFormula>
    </tableColumn>
    <tableColumn id="22" name="% m7" totalsRowFunction="custom" dataDxfId="35" totalsRowDxfId="6">
      <calculatedColumnFormula>IFERROR(tblRevenus2[[#This Row],[m7]]/tblRevenus2[[#Totals],[m7]],"-")</calculatedColumnFormula>
      <totalsRowFormula>SUBTOTAL(109,tblRevenus2[% m1])</totalsRowFormula>
    </tableColumn>
    <tableColumn id="23" name="% m8" totalsRowFunction="custom" dataDxfId="34" totalsRowDxfId="5">
      <calculatedColumnFormula>IFERROR(tblRevenus2[[#This Row],[m8]]/tblRevenus2[[#Totals],[m8]],"-")</calculatedColumnFormula>
      <totalsRowFormula>SUBTOTAL(109,tblRevenus2[% m2])</totalsRowFormula>
    </tableColumn>
    <tableColumn id="24" name="% m9" totalsRowFunction="custom" dataDxfId="33" totalsRowDxfId="4">
      <calculatedColumnFormula>IFERROR(tblRevenus2[[#This Row],[m9]]/tblRevenus2[[#Totals],[m9]],"-")</calculatedColumnFormula>
      <totalsRowFormula>SUBTOTAL(109,tblRevenus2[% m3])</totalsRowFormula>
    </tableColumn>
    <tableColumn id="25" name="% m10" totalsRowFunction="custom" dataDxfId="32" totalsRowDxfId="3">
      <calculatedColumnFormula>IFERROR(tblRevenus2[[#This Row],[m10]]/tblRevenus2[[#Totals],[m10]],"-")</calculatedColumnFormula>
      <totalsRowFormula>SUBTOTAL(109,tblRevenus2[% m4])</totalsRowFormula>
    </tableColumn>
    <tableColumn id="26" name="% m11" totalsRowFunction="custom" dataDxfId="31" totalsRowDxfId="2">
      <calculatedColumnFormula>IFERROR(tblRevenus2[[#This Row],[m11]]/tblRevenus2[[#Totals],[m11]],"-")</calculatedColumnFormula>
      <totalsRowFormula>SUBTOTAL(109,tblRevenus2[% m5])</totalsRowFormula>
    </tableColumn>
    <tableColumn id="27" name="% m12" totalsRowFunction="custom" dataDxfId="30" totalsRowDxfId="1">
      <calculatedColumnFormula>IFERROR(tblRevenus2[[#This Row],[m12]]/tblRevenus2[[#Totals],[m12]],"-")</calculatedColumnFormula>
      <totalsRowFormula>SUBTOTAL(109,tblRevenus2[% m6])</totalsRowFormula>
    </tableColumn>
    <tableColumn id="28" name="% y" totalsRowFunction="sum" dataDxfId="29" totalsRowDxfId="0">
      <calculatedColumnFormula>IFERROR(tblRevenus2[[#This Row],[Annuel]]/tblRevenus2[[#Totals],[Annuel]],"-")</calculatedColumnFormula>
    </tableColumn>
  </tableColumns>
  <tableStyleInfo name="Profit &amp; Loss Revenue" showFirstColumn="0" showLastColumn="0" showRowStripes="1" showColumnStripes="0"/>
  <extLst>
    <ext xmlns:x14="http://schemas.microsoft.com/office/spreadsheetml/2009/9/main" uri="{504A1905-F514-4f6f-8877-14C23A59335A}">
      <x14:table altText="Revenus (ventes)" altTextSummary="Synthèse des ventes mensuelles, du total annuel et des pourcentages mensuels pour chaque type de revenu."/>
    </ext>
  </extLst>
</table>
</file>

<file path=xl/theme/theme1.xml><?xml version="1.0" encoding="utf-8"?>
<a:theme xmlns:a="http://schemas.openxmlformats.org/drawingml/2006/main" name="Office Theme">
  <a:themeElements>
    <a:clrScheme name="Profit and Loss">
      <a:dk1>
        <a:sysClr val="windowText" lastClr="000000"/>
      </a:dk1>
      <a:lt1>
        <a:srgbClr val="FFFFFF"/>
      </a:lt1>
      <a:dk2>
        <a:srgbClr val="38321C"/>
      </a:dk2>
      <a:lt2>
        <a:srgbClr val="FFFFFF"/>
      </a:lt2>
      <a:accent1>
        <a:srgbClr val="DE8D26"/>
      </a:accent1>
      <a:accent2>
        <a:srgbClr val="2F7B6A"/>
      </a:accent2>
      <a:accent3>
        <a:srgbClr val="3BA0D6"/>
      </a:accent3>
      <a:accent4>
        <a:srgbClr val="8E9ACA"/>
      </a:accent4>
      <a:accent5>
        <a:srgbClr val="6F6857"/>
      </a:accent5>
      <a:accent6>
        <a:srgbClr val="F79646"/>
      </a:accent6>
      <a:hlink>
        <a:srgbClr val="0000FF"/>
      </a:hlink>
      <a:folHlink>
        <a:srgbClr val="800080"/>
      </a:folHlink>
    </a:clrScheme>
    <a:fontScheme name="Profit Loss Statement">
      <a:majorFont>
        <a:latin typeface="Bookman Old Style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"/>
  <sheetViews>
    <sheetView topLeftCell="A10" workbookViewId="0">
      <selection activeCell="D28" sqref="D28"/>
    </sheetView>
  </sheetViews>
  <sheetFormatPr baseColWidth="10" defaultRowHeight="13.5" x14ac:dyDescent="0.25"/>
  <cols>
    <col min="2" max="2" width="21.28515625" customWidth="1"/>
    <col min="3" max="3" width="17" customWidth="1"/>
    <col min="4" max="4" width="17.140625" customWidth="1"/>
    <col min="5" max="5" width="16.28515625" customWidth="1"/>
    <col min="6" max="6" width="15.140625" customWidth="1"/>
    <col min="7" max="8" width="13.42578125" customWidth="1"/>
  </cols>
  <sheetData>
    <row r="2" spans="1:10" ht="17.25" x14ac:dyDescent="0.3">
      <c r="D2" s="52"/>
      <c r="E2" s="52"/>
      <c r="F2" s="52"/>
    </row>
    <row r="4" spans="1:10" s="49" customFormat="1" ht="51" x14ac:dyDescent="0.25">
      <c r="A4" s="58" t="s">
        <v>76</v>
      </c>
      <c r="B4" s="59"/>
      <c r="C4" s="48" t="s">
        <v>58</v>
      </c>
      <c r="D4" s="48" t="s">
        <v>59</v>
      </c>
      <c r="E4" s="48" t="s">
        <v>68</v>
      </c>
      <c r="F4" s="48" t="s">
        <v>60</v>
      </c>
      <c r="G4" s="48" t="s">
        <v>69</v>
      </c>
      <c r="H4" s="48" t="s">
        <v>70</v>
      </c>
    </row>
    <row r="5" spans="1:10" x14ac:dyDescent="0.25">
      <c r="C5" s="43" t="s">
        <v>55</v>
      </c>
      <c r="D5" s="51">
        <v>7000</v>
      </c>
      <c r="E5" s="44">
        <v>3000</v>
      </c>
      <c r="F5" s="44">
        <v>300</v>
      </c>
      <c r="G5" s="41">
        <v>300</v>
      </c>
      <c r="H5" s="41">
        <v>300</v>
      </c>
    </row>
    <row r="6" spans="1:10" x14ac:dyDescent="0.25">
      <c r="C6" s="45" t="s">
        <v>56</v>
      </c>
      <c r="D6" s="51">
        <v>11000</v>
      </c>
      <c r="E6" s="44">
        <v>5000</v>
      </c>
      <c r="F6" s="44">
        <v>500</v>
      </c>
      <c r="G6" s="41">
        <v>500</v>
      </c>
      <c r="H6" s="41">
        <v>500</v>
      </c>
    </row>
    <row r="7" spans="1:10" x14ac:dyDescent="0.25">
      <c r="C7" s="46" t="s">
        <v>57</v>
      </c>
      <c r="D7" s="51">
        <v>25000</v>
      </c>
      <c r="E7" s="44">
        <v>140000</v>
      </c>
      <c r="F7" s="44">
        <v>900</v>
      </c>
      <c r="G7" s="41">
        <v>900</v>
      </c>
      <c r="H7" s="41">
        <v>900</v>
      </c>
    </row>
    <row r="10" spans="1:10" s="42" customFormat="1" ht="38.25" x14ac:dyDescent="0.25">
      <c r="A10" s="58" t="s">
        <v>77</v>
      </c>
      <c r="B10" s="60"/>
      <c r="C10" s="48" t="s">
        <v>58</v>
      </c>
      <c r="D10" s="48" t="s">
        <v>61</v>
      </c>
      <c r="E10" s="48" t="s">
        <v>62</v>
      </c>
      <c r="F10" s="48" t="s">
        <v>65</v>
      </c>
      <c r="G10" s="48" t="s">
        <v>63</v>
      </c>
      <c r="H10" s="48" t="s">
        <v>66</v>
      </c>
      <c r="I10" s="48" t="s">
        <v>64</v>
      </c>
      <c r="J10" s="48" t="s">
        <v>67</v>
      </c>
    </row>
    <row r="11" spans="1:10" x14ac:dyDescent="0.25">
      <c r="C11" s="43" t="s">
        <v>55</v>
      </c>
      <c r="D11" s="44">
        <v>3</v>
      </c>
      <c r="E11" s="44">
        <v>0</v>
      </c>
      <c r="F11" s="44">
        <v>3</v>
      </c>
      <c r="G11" s="44">
        <v>0</v>
      </c>
      <c r="H11" s="44">
        <v>2</v>
      </c>
      <c r="I11" s="44">
        <v>1</v>
      </c>
      <c r="J11" s="44">
        <f>D11+F11+H11-E11-G11-I11</f>
        <v>7</v>
      </c>
    </row>
    <row r="12" spans="1:10" x14ac:dyDescent="0.25">
      <c r="C12" s="45" t="s">
        <v>56</v>
      </c>
      <c r="D12" s="44">
        <v>5</v>
      </c>
      <c r="E12" s="44">
        <v>0</v>
      </c>
      <c r="F12" s="44">
        <v>4</v>
      </c>
      <c r="G12" s="44">
        <v>0</v>
      </c>
      <c r="H12" s="44">
        <v>5</v>
      </c>
      <c r="I12" s="44">
        <v>1</v>
      </c>
      <c r="J12" s="44">
        <f t="shared" ref="J12:J14" si="0">D12+F12+H12-E12-G12-I12</f>
        <v>13</v>
      </c>
    </row>
    <row r="13" spans="1:10" x14ac:dyDescent="0.25">
      <c r="C13" s="46" t="s">
        <v>57</v>
      </c>
      <c r="D13" s="44">
        <v>1</v>
      </c>
      <c r="E13" s="44">
        <v>0</v>
      </c>
      <c r="F13" s="44">
        <v>1</v>
      </c>
      <c r="G13" s="44">
        <v>0</v>
      </c>
      <c r="H13" s="44">
        <v>2</v>
      </c>
      <c r="I13" s="44">
        <v>0</v>
      </c>
      <c r="J13" s="44">
        <f t="shared" si="0"/>
        <v>4</v>
      </c>
    </row>
    <row r="14" spans="1:10" x14ac:dyDescent="0.25">
      <c r="C14" s="47" t="s">
        <v>67</v>
      </c>
      <c r="D14" s="47">
        <f>SUM(D11:D13)</f>
        <v>9</v>
      </c>
      <c r="E14" s="47">
        <f t="shared" ref="E14:I14" si="1">SUM(E11:E13)</f>
        <v>0</v>
      </c>
      <c r="F14" s="47">
        <f t="shared" si="1"/>
        <v>8</v>
      </c>
      <c r="G14" s="47">
        <f t="shared" si="1"/>
        <v>0</v>
      </c>
      <c r="H14" s="47">
        <f t="shared" si="1"/>
        <v>9</v>
      </c>
      <c r="I14" s="47">
        <f t="shared" si="1"/>
        <v>2</v>
      </c>
      <c r="J14" s="50">
        <f t="shared" si="0"/>
        <v>24</v>
      </c>
    </row>
    <row r="17" spans="1:6" ht="30" customHeight="1" x14ac:dyDescent="0.25">
      <c r="A17" s="61" t="s">
        <v>81</v>
      </c>
      <c r="B17" s="61"/>
      <c r="C17" s="47" t="s">
        <v>71</v>
      </c>
      <c r="D17" s="47" t="s">
        <v>78</v>
      </c>
      <c r="E17" s="47" t="s">
        <v>79</v>
      </c>
      <c r="F17" s="47" t="s">
        <v>80</v>
      </c>
    </row>
    <row r="18" spans="1:6" x14ac:dyDescent="0.25">
      <c r="C18" s="47" t="s">
        <v>72</v>
      </c>
      <c r="D18" s="54" t="s">
        <v>73</v>
      </c>
      <c r="E18" s="54" t="s">
        <v>82</v>
      </c>
      <c r="F18" s="54" t="s">
        <v>82</v>
      </c>
    </row>
    <row r="19" spans="1:6" x14ac:dyDescent="0.25">
      <c r="C19" s="47" t="s">
        <v>74</v>
      </c>
      <c r="D19" s="54" t="s">
        <v>86</v>
      </c>
      <c r="E19" s="55" t="s">
        <v>83</v>
      </c>
      <c r="F19" s="55" t="s">
        <v>84</v>
      </c>
    </row>
    <row r="20" spans="1:6" ht="39" x14ac:dyDescent="0.25">
      <c r="C20" s="53" t="s">
        <v>85</v>
      </c>
      <c r="D20" s="54">
        <f>(99+100+60+300)*0.768</f>
        <v>429.31200000000001</v>
      </c>
      <c r="E20" s="54">
        <f>(99+100+60+300)*0.768</f>
        <v>429.31200000000001</v>
      </c>
      <c r="F20" s="54">
        <f>(99+100+60+500)*0.768</f>
        <v>582.91200000000003</v>
      </c>
    </row>
    <row r="21" spans="1:6" ht="26.25" x14ac:dyDescent="0.25">
      <c r="C21" s="53" t="s">
        <v>87</v>
      </c>
      <c r="D21" s="55" t="s">
        <v>88</v>
      </c>
      <c r="E21" s="55" t="s">
        <v>75</v>
      </c>
      <c r="F21" s="54" t="s">
        <v>89</v>
      </c>
    </row>
  </sheetData>
  <mergeCells count="3">
    <mergeCell ref="A4:B4"/>
    <mergeCell ref="A10:B10"/>
    <mergeCell ref="A17:B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autoPageBreaks="0" fitToPage="1"/>
  </sheetPr>
  <dimension ref="A1:AD83"/>
  <sheetViews>
    <sheetView showGridLines="0" tabSelected="1" topLeftCell="C1" zoomScale="85" zoomScaleNormal="85" workbookViewId="0">
      <pane ySplit="4" topLeftCell="A8" activePane="bottomLeft" state="frozen"/>
      <selection pane="bottomLeft" activeCell="P8" sqref="P8"/>
    </sheetView>
  </sheetViews>
  <sheetFormatPr baseColWidth="10" defaultColWidth="9.140625" defaultRowHeight="18" customHeight="1" x14ac:dyDescent="0.25"/>
  <cols>
    <col min="1" max="1" width="5" customWidth="1"/>
    <col min="2" max="2" width="37.140625" style="31" customWidth="1"/>
    <col min="3" max="3" width="12.5703125" customWidth="1"/>
    <col min="4" max="4" width="11.85546875" customWidth="1"/>
    <col min="5" max="5" width="11.28515625" customWidth="1"/>
    <col min="6" max="6" width="11.85546875" customWidth="1"/>
    <col min="7" max="7" width="10.42578125" customWidth="1"/>
    <col min="8" max="8" width="11" customWidth="1"/>
    <col min="9" max="9" width="10.140625" customWidth="1"/>
    <col min="10" max="10" width="11" customWidth="1"/>
    <col min="11" max="11" width="10.7109375" customWidth="1"/>
    <col min="12" max="13" width="10.42578125" customWidth="1"/>
    <col min="14" max="14" width="10.28515625" customWidth="1"/>
    <col min="15" max="15" width="10.85546875" customWidth="1"/>
    <col min="16" max="16" width="10" customWidth="1"/>
    <col min="17" max="28" width="7.85546875" customWidth="1"/>
    <col min="29" max="29" width="9" customWidth="1"/>
    <col min="30" max="30" width="12" customWidth="1"/>
  </cols>
  <sheetData>
    <row r="1" spans="1:30" ht="33.75" customHeight="1" x14ac:dyDescent="0.25">
      <c r="A1" s="15"/>
      <c r="B1" s="30"/>
      <c r="C1" s="12"/>
      <c r="J1" s="28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ht="49.5" customHeight="1" x14ac:dyDescent="0.25">
      <c r="B2" s="39" t="s">
        <v>90</v>
      </c>
      <c r="E2" s="8"/>
      <c r="G2" s="8"/>
      <c r="K2" s="8"/>
      <c r="L2" s="8"/>
      <c r="M2" s="8"/>
      <c r="N2" s="8"/>
      <c r="O2" s="8"/>
      <c r="X2" s="11"/>
      <c r="Y2" s="11"/>
      <c r="Z2" s="11"/>
      <c r="AA2" s="11"/>
      <c r="AB2" s="13" t="s">
        <v>29</v>
      </c>
      <c r="AC2" s="13" t="s">
        <v>44</v>
      </c>
      <c r="AD2" s="14">
        <v>2014</v>
      </c>
    </row>
    <row r="3" spans="1:30" ht="6.75" customHeight="1" x14ac:dyDescent="0.25"/>
    <row r="4" spans="1:30" ht="11.25" customHeight="1" x14ac:dyDescent="0.25">
      <c r="D4" s="10" t="str">
        <f>UPPER(TEXT(DATE(AnnéeDébutAnnéeFiscale,FYMonthNo,1),"[$-40C]mmm-yy"))</f>
        <v>SEPT.-YY</v>
      </c>
      <c r="E4" s="10" t="str">
        <f>UPPER(TEXT(DATE(AnnéeDébutAnnéeFiscale,FYMonthNo+1,1),"[$-40C]mmm-yy"))</f>
        <v>OCT.-YY</v>
      </c>
      <c r="F4" s="10" t="str">
        <f>UPPER(TEXT(DATE(AnnéeDébutAnnéeFiscale,FYMonthNo+2,1),"[$-40C]mmm-yy"))</f>
        <v>NOV.-YY</v>
      </c>
      <c r="G4" s="10" t="str">
        <f>UPPER(TEXT(DATE(AnnéeDébutAnnéeFiscale,FYMonthNo+3,1),"[$-40C]mmm-yy"))</f>
        <v>DÉC.-YY</v>
      </c>
      <c r="H4" s="10" t="str">
        <f>UPPER(TEXT(DATE(AnnéeDébutAnnéeFiscale,FYMonthNo+4,1),"[$-40C]mmm-yy"))</f>
        <v>JANV.-YY</v>
      </c>
      <c r="I4" s="10" t="str">
        <f>UPPER(TEXT(DATE(AnnéeDébutAnnéeFiscale,FYMonthNo+5,1),"[$-40C]mmm-yy"))</f>
        <v>FÉVR.-YY</v>
      </c>
      <c r="J4" s="10" t="str">
        <f>UPPER(TEXT(DATE(AnnéeDébutAnnéeFiscale,FYMonthNo+6,1),"[$-40C]mmm-yy"))</f>
        <v>MARS-YY</v>
      </c>
      <c r="K4" s="10" t="str">
        <f>UPPER(TEXT(DATE(AnnéeDébutAnnéeFiscale,FYMonthNo+7,1),"[$-40C]mmm-yy"))</f>
        <v>AVR.-YY</v>
      </c>
      <c r="L4" s="10" t="str">
        <f>UPPER(TEXT(DATE(AnnéeDébutAnnéeFiscale,FYMonthNo+8,1),"[$-40C]mmm-yy"))</f>
        <v>MAI-YY</v>
      </c>
      <c r="M4" s="10" t="str">
        <f>UPPER(TEXT(DATE(AnnéeDébutAnnéeFiscale,FYMonthNo+9,1),"[$-40C]mmm-yy"))</f>
        <v>JUIN-YY</v>
      </c>
      <c r="N4" s="10" t="str">
        <f>UPPER(TEXT(DATE(AnnéeDébutAnnéeFiscale,FYMonthNo+10,1),"[$-40C]mmm-yy"))</f>
        <v>JUIL.-YY</v>
      </c>
      <c r="O4" s="10" t="str">
        <f>UPPER(TEXT(DATE(AnnéeDébutAnnéeFiscale,FYMonthNo+11,1),"[$-40C]mmm-yy"))</f>
        <v>AOÛT-YY</v>
      </c>
      <c r="P4" s="5" t="s">
        <v>31</v>
      </c>
      <c r="Q4" s="5" t="s">
        <v>30</v>
      </c>
      <c r="R4" s="5" t="str">
        <f>LEFT(D4,1)&amp;" %"</f>
        <v>S %</v>
      </c>
      <c r="S4" s="5" t="str">
        <f t="shared" ref="S4:AC4" si="0">LEFT(E4,1)&amp;" %"</f>
        <v>O %</v>
      </c>
      <c r="T4" s="5" t="str">
        <f t="shared" si="0"/>
        <v>N %</v>
      </c>
      <c r="U4" s="5" t="str">
        <f t="shared" si="0"/>
        <v>D %</v>
      </c>
      <c r="V4" s="5" t="str">
        <f t="shared" si="0"/>
        <v>J %</v>
      </c>
      <c r="W4" s="5" t="str">
        <f t="shared" si="0"/>
        <v>F %</v>
      </c>
      <c r="X4" s="5" t="str">
        <f t="shared" si="0"/>
        <v>M %</v>
      </c>
      <c r="Y4" s="5" t="str">
        <f t="shared" si="0"/>
        <v>A %</v>
      </c>
      <c r="Z4" s="5" t="str">
        <f t="shared" si="0"/>
        <v>M %</v>
      </c>
      <c r="AA4" s="5" t="str">
        <f t="shared" si="0"/>
        <v>J %</v>
      </c>
      <c r="AB4" s="5" t="str">
        <f t="shared" si="0"/>
        <v>J %</v>
      </c>
      <c r="AC4" s="5" t="str">
        <f t="shared" si="0"/>
        <v>A %</v>
      </c>
      <c r="AD4" s="5" t="s">
        <v>32</v>
      </c>
    </row>
    <row r="5" spans="1:30" ht="6" customHeight="1" x14ac:dyDescent="0.25">
      <c r="B5" s="32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ht="18" customHeight="1" x14ac:dyDescent="0.3">
      <c r="B6" s="33" t="s">
        <v>45</v>
      </c>
      <c r="C6" s="9" t="s">
        <v>27</v>
      </c>
      <c r="D6" s="57" t="s">
        <v>0</v>
      </c>
      <c r="E6" s="1" t="s">
        <v>1</v>
      </c>
      <c r="F6" s="1" t="s">
        <v>2</v>
      </c>
      <c r="G6" s="1" t="s">
        <v>3</v>
      </c>
      <c r="H6" s="1" t="s">
        <v>4</v>
      </c>
      <c r="I6" s="1" t="s">
        <v>5</v>
      </c>
      <c r="J6" s="1" t="s">
        <v>6</v>
      </c>
      <c r="K6" s="1" t="s">
        <v>7</v>
      </c>
      <c r="L6" s="1" t="s">
        <v>8</v>
      </c>
      <c r="M6" s="1" t="s">
        <v>9</v>
      </c>
      <c r="N6" s="1" t="s">
        <v>10</v>
      </c>
      <c r="O6" s="1" t="s">
        <v>11</v>
      </c>
      <c r="P6" s="1" t="s">
        <v>26</v>
      </c>
      <c r="Q6" s="2" t="s">
        <v>24</v>
      </c>
      <c r="R6" s="2" t="s">
        <v>12</v>
      </c>
      <c r="S6" s="2" t="s">
        <v>13</v>
      </c>
      <c r="T6" s="2" t="s">
        <v>14</v>
      </c>
      <c r="U6" s="2" t="s">
        <v>15</v>
      </c>
      <c r="V6" s="2" t="s">
        <v>16</v>
      </c>
      <c r="W6" s="2" t="s">
        <v>17</v>
      </c>
      <c r="X6" s="2" t="s">
        <v>18</v>
      </c>
      <c r="Y6" s="2" t="s">
        <v>19</v>
      </c>
      <c r="Z6" s="2" t="s">
        <v>20</v>
      </c>
      <c r="AA6" s="2" t="s">
        <v>21</v>
      </c>
      <c r="AB6" s="2" t="s">
        <v>22</v>
      </c>
      <c r="AC6" s="2" t="s">
        <v>23</v>
      </c>
      <c r="AD6" s="1" t="s">
        <v>25</v>
      </c>
    </row>
    <row r="7" spans="1:30" ht="18" customHeight="1" x14ac:dyDescent="0.25">
      <c r="A7" s="62" t="s">
        <v>53</v>
      </c>
      <c r="B7" s="34" t="s">
        <v>33</v>
      </c>
      <c r="C7" s="7"/>
      <c r="D7" s="29">
        <v>300</v>
      </c>
      <c r="E7" s="29">
        <v>300</v>
      </c>
      <c r="F7" s="20">
        <v>300</v>
      </c>
      <c r="G7" s="20">
        <v>300</v>
      </c>
      <c r="H7" s="20">
        <v>300</v>
      </c>
      <c r="I7" s="20">
        <v>300</v>
      </c>
      <c r="J7" s="20">
        <v>300</v>
      </c>
      <c r="K7" s="20">
        <v>300</v>
      </c>
      <c r="L7" s="20">
        <v>300</v>
      </c>
      <c r="M7" s="20">
        <v>300</v>
      </c>
      <c r="N7" s="20">
        <v>300</v>
      </c>
      <c r="O7" s="20">
        <v>300</v>
      </c>
      <c r="P7" s="21">
        <f>SUM(tblRevenus2[[#This Row],[m1]:[m12]])</f>
        <v>3600</v>
      </c>
      <c r="Q7" s="6">
        <v>0.12</v>
      </c>
      <c r="R7" s="16">
        <f>IFERROR(tblRevenus2[[#This Row],[m1]]/tblRevenus2[[#Totals],[m1]],"-")</f>
        <v>3.2967032967032968E-2</v>
      </c>
      <c r="S7" s="17">
        <f>IFERROR(tblRevenus2[[#This Row],[m2]]/tblRevenus2[[#Totals],[m2]],"-")</f>
        <v>3.9473684210526314E-2</v>
      </c>
      <c r="T7" s="17">
        <f>IFERROR(tblRevenus2[[#This Row],[m3]]/tblRevenus2[[#Totals],[m3]],"-")</f>
        <v>3.0303030303030304E-2</v>
      </c>
      <c r="U7" s="17">
        <f>IFERROR(tblRevenus2[[#This Row],[m4]]/tblRevenus2[[#Totals],[m4]],"-")</f>
        <v>5.5555555555555552E-2</v>
      </c>
      <c r="V7" s="17">
        <f>IFERROR(tblRevenus2[[#This Row],[m5]]/tblRevenus2[[#Totals],[m5]],"-")</f>
        <v>2.4193548387096774E-2</v>
      </c>
      <c r="W7" s="17">
        <f>IFERROR(tblRevenus2[[#This Row],[m6]]/tblRevenus2[[#Totals],[m6]],"-")</f>
        <v>1.8404907975460124E-2</v>
      </c>
      <c r="X7" s="17">
        <f>IFERROR(tblRevenus2[[#This Row],[m7]]/tblRevenus2[[#Totals],[m7]],"-")</f>
        <v>2.5862068965517241E-2</v>
      </c>
      <c r="Y7" s="17">
        <f>IFERROR(tblRevenus2[[#This Row],[m8]]/tblRevenus2[[#Totals],[m8]],"-")</f>
        <v>2.9702970297029702E-2</v>
      </c>
      <c r="Z7" s="17">
        <f>IFERROR(tblRevenus2[[#This Row],[m9]]/tblRevenus2[[#Totals],[m9]],"-")</f>
        <v>2.4193548387096774E-2</v>
      </c>
      <c r="AA7" s="17">
        <f>IFERROR(tblRevenus2[[#This Row],[m10]]/tblRevenus2[[#Totals],[m10]],"-")</f>
        <v>2.3255813953488372E-2</v>
      </c>
      <c r="AB7" s="17">
        <f>IFERROR(tblRevenus2[[#This Row],[m11]]/tblRevenus2[[#Totals],[m11]],"-")</f>
        <v>3.5714285714285712E-2</v>
      </c>
      <c r="AC7" s="17">
        <f>IFERROR(tblRevenus2[[#This Row],[m12]]/tblRevenus2[[#Totals],[m12]],"-")</f>
        <v>3.5714285714285712E-2</v>
      </c>
      <c r="AD7" s="18">
        <f>IFERROR(tblRevenus2[[#This Row],[Annuel]]/tblRevenus2[[#Totals],[Annuel]],"-")</f>
        <v>2.891566265060241E-2</v>
      </c>
    </row>
    <row r="8" spans="1:30" ht="18" customHeight="1" x14ac:dyDescent="0.25">
      <c r="A8" s="63"/>
      <c r="B8" s="35" t="s">
        <v>34</v>
      </c>
      <c r="C8" s="7"/>
      <c r="D8" s="20">
        <v>500</v>
      </c>
      <c r="E8" s="20">
        <v>500</v>
      </c>
      <c r="F8" s="29">
        <v>500</v>
      </c>
      <c r="G8" s="20">
        <v>500</v>
      </c>
      <c r="H8" s="20">
        <v>500</v>
      </c>
      <c r="I8" s="20">
        <v>500</v>
      </c>
      <c r="J8" s="20">
        <v>500</v>
      </c>
      <c r="K8" s="20">
        <v>500</v>
      </c>
      <c r="L8" s="20">
        <v>500</v>
      </c>
      <c r="M8" s="20">
        <v>500</v>
      </c>
      <c r="N8" s="20">
        <v>500</v>
      </c>
      <c r="O8" s="20">
        <v>500</v>
      </c>
      <c r="P8" s="21">
        <f>SUM(tblRevenus2[[#This Row],[m1]:[m12]])</f>
        <v>6000</v>
      </c>
      <c r="Q8" s="6">
        <v>0.18</v>
      </c>
      <c r="R8" s="16">
        <f>IFERROR(tblRevenus2[[#This Row],[m1]]/tblRevenus2[[#Totals],[m1]],"-")</f>
        <v>5.4945054945054944E-2</v>
      </c>
      <c r="S8" s="17">
        <f>IFERROR(tblRevenus2[[#This Row],[m2]]/tblRevenus2[[#Totals],[m2]],"-")</f>
        <v>6.5789473684210523E-2</v>
      </c>
      <c r="T8" s="17">
        <f>IFERROR(tblRevenus2[[#This Row],[m3]]/tblRevenus2[[#Totals],[m3]],"-")</f>
        <v>5.0505050505050504E-2</v>
      </c>
      <c r="U8" s="17">
        <f>IFERROR(tblRevenus2[[#This Row],[m4]]/tblRevenus2[[#Totals],[m4]],"-")</f>
        <v>9.2592592592592587E-2</v>
      </c>
      <c r="V8" s="17">
        <f>IFERROR(tblRevenus2[[#This Row],[m5]]/tblRevenus2[[#Totals],[m5]],"-")</f>
        <v>4.0322580645161289E-2</v>
      </c>
      <c r="W8" s="17">
        <f>IFERROR(tblRevenus2[[#This Row],[m6]]/tblRevenus2[[#Totals],[m6]],"-")</f>
        <v>3.0674846625766871E-2</v>
      </c>
      <c r="X8" s="17">
        <f>IFERROR(tblRevenus2[[#This Row],[m7]]/tblRevenus2[[#Totals],[m7]],"-")</f>
        <v>4.3103448275862072E-2</v>
      </c>
      <c r="Y8" s="17">
        <f>IFERROR(tblRevenus2[[#This Row],[m8]]/tblRevenus2[[#Totals],[m8]],"-")</f>
        <v>4.9504950495049507E-2</v>
      </c>
      <c r="Z8" s="17">
        <f>IFERROR(tblRevenus2[[#This Row],[m9]]/tblRevenus2[[#Totals],[m9]],"-")</f>
        <v>4.0322580645161289E-2</v>
      </c>
      <c r="AA8" s="17">
        <f>IFERROR(tblRevenus2[[#This Row],[m10]]/tblRevenus2[[#Totals],[m10]],"-")</f>
        <v>3.875968992248062E-2</v>
      </c>
      <c r="AB8" s="17">
        <f>IFERROR(tblRevenus2[[#This Row],[m11]]/tblRevenus2[[#Totals],[m11]],"-")</f>
        <v>5.9523809523809521E-2</v>
      </c>
      <c r="AC8" s="17">
        <f>IFERROR(tblRevenus2[[#This Row],[m12]]/tblRevenus2[[#Totals],[m12]],"-")</f>
        <v>5.9523809523809521E-2</v>
      </c>
      <c r="AD8" s="18">
        <f>IFERROR(tblRevenus2[[#This Row],[Annuel]]/tblRevenus2[[#Totals],[Annuel]],"-")</f>
        <v>4.8192771084337352E-2</v>
      </c>
    </row>
    <row r="9" spans="1:30" ht="18" customHeight="1" x14ac:dyDescent="0.25">
      <c r="A9" s="63"/>
      <c r="B9" s="34" t="s">
        <v>35</v>
      </c>
      <c r="C9" s="7"/>
      <c r="D9" s="20">
        <v>300</v>
      </c>
      <c r="E9" s="20">
        <v>300</v>
      </c>
      <c r="F9" s="20">
        <v>300</v>
      </c>
      <c r="G9" s="29">
        <v>300</v>
      </c>
      <c r="H9" s="20">
        <v>300</v>
      </c>
      <c r="I9" s="20">
        <v>300</v>
      </c>
      <c r="J9" s="20">
        <v>300</v>
      </c>
      <c r="K9" s="20">
        <v>300</v>
      </c>
      <c r="L9" s="20">
        <v>300</v>
      </c>
      <c r="M9" s="20">
        <v>300</v>
      </c>
      <c r="N9" s="20">
        <v>300</v>
      </c>
      <c r="O9" s="20">
        <v>300</v>
      </c>
      <c r="P9" s="21">
        <f>SUM(tblRevenus2[[#This Row],[m1]:[m12]])</f>
        <v>3600</v>
      </c>
      <c r="Q9" s="6">
        <v>0.19</v>
      </c>
      <c r="R9" s="16">
        <f>IFERROR(tblRevenus2[[#This Row],[m1]]/tblRevenus2[[#Totals],[m1]],"-")</f>
        <v>3.2967032967032968E-2</v>
      </c>
      <c r="S9" s="17">
        <f>IFERROR(tblRevenus2[[#This Row],[m2]]/tblRevenus2[[#Totals],[m2]],"-")</f>
        <v>3.9473684210526314E-2</v>
      </c>
      <c r="T9" s="17">
        <f>IFERROR(tblRevenus2[[#This Row],[m3]]/tblRevenus2[[#Totals],[m3]],"-")</f>
        <v>3.0303030303030304E-2</v>
      </c>
      <c r="U9" s="17">
        <f>IFERROR(tblRevenus2[[#This Row],[m4]]/tblRevenus2[[#Totals],[m4]],"-")</f>
        <v>5.5555555555555552E-2</v>
      </c>
      <c r="V9" s="17">
        <f>IFERROR(tblRevenus2[[#This Row],[m5]]/tblRevenus2[[#Totals],[m5]],"-")</f>
        <v>2.4193548387096774E-2</v>
      </c>
      <c r="W9" s="17">
        <f>IFERROR(tblRevenus2[[#This Row],[m6]]/tblRevenus2[[#Totals],[m6]],"-")</f>
        <v>1.8404907975460124E-2</v>
      </c>
      <c r="X9" s="17">
        <f>IFERROR(tblRevenus2[[#This Row],[m7]]/tblRevenus2[[#Totals],[m7]],"-")</f>
        <v>2.5862068965517241E-2</v>
      </c>
      <c r="Y9" s="17">
        <f>IFERROR(tblRevenus2[[#This Row],[m8]]/tblRevenus2[[#Totals],[m8]],"-")</f>
        <v>2.9702970297029702E-2</v>
      </c>
      <c r="Z9" s="17">
        <f>IFERROR(tblRevenus2[[#This Row],[m9]]/tblRevenus2[[#Totals],[m9]],"-")</f>
        <v>2.4193548387096774E-2</v>
      </c>
      <c r="AA9" s="17">
        <f>IFERROR(tblRevenus2[[#This Row],[m10]]/tblRevenus2[[#Totals],[m10]],"-")</f>
        <v>2.3255813953488372E-2</v>
      </c>
      <c r="AB9" s="17">
        <f>IFERROR(tblRevenus2[[#This Row],[m11]]/tblRevenus2[[#Totals],[m11]],"-")</f>
        <v>3.5714285714285712E-2</v>
      </c>
      <c r="AC9" s="17">
        <f>IFERROR(tblRevenus2[[#This Row],[m12]]/tblRevenus2[[#Totals],[m12]],"-")</f>
        <v>3.5714285714285712E-2</v>
      </c>
      <c r="AD9" s="18">
        <f>IFERROR(tblRevenus2[[#This Row],[Annuel]]/tblRevenus2[[#Totals],[Annuel]],"-")</f>
        <v>2.891566265060241E-2</v>
      </c>
    </row>
    <row r="10" spans="1:30" ht="18" customHeight="1" x14ac:dyDescent="0.25">
      <c r="A10" s="63"/>
      <c r="B10" s="35" t="s">
        <v>36</v>
      </c>
      <c r="C10" s="7"/>
      <c r="D10" s="20">
        <v>500</v>
      </c>
      <c r="E10" s="20">
        <v>500</v>
      </c>
      <c r="F10" s="20">
        <v>500</v>
      </c>
      <c r="G10" s="20">
        <v>500</v>
      </c>
      <c r="H10" s="29">
        <v>500</v>
      </c>
      <c r="I10" s="20">
        <v>500</v>
      </c>
      <c r="J10" s="20">
        <v>500</v>
      </c>
      <c r="K10" s="20">
        <v>500</v>
      </c>
      <c r="L10" s="20">
        <v>500</v>
      </c>
      <c r="M10" s="20">
        <v>500</v>
      </c>
      <c r="N10" s="20">
        <v>500</v>
      </c>
      <c r="O10" s="20">
        <v>500</v>
      </c>
      <c r="P10" s="21">
        <f>SUM(tblRevenus2[[#This Row],[m1]:[m12]])</f>
        <v>6000</v>
      </c>
      <c r="Q10" s="6">
        <v>0.11</v>
      </c>
      <c r="R10" s="16">
        <f>IFERROR(tblRevenus2[[#This Row],[m1]]/tblRevenus2[[#Totals],[m1]],"-")</f>
        <v>5.4945054945054944E-2</v>
      </c>
      <c r="S10" s="17">
        <f>IFERROR(tblRevenus2[[#This Row],[m2]]/tblRevenus2[[#Totals],[m2]],"-")</f>
        <v>6.5789473684210523E-2</v>
      </c>
      <c r="T10" s="17">
        <f>IFERROR(tblRevenus2[[#This Row],[m3]]/tblRevenus2[[#Totals],[m3]],"-")</f>
        <v>5.0505050505050504E-2</v>
      </c>
      <c r="U10" s="17">
        <f>IFERROR(tblRevenus2[[#This Row],[m4]]/tblRevenus2[[#Totals],[m4]],"-")</f>
        <v>9.2592592592592587E-2</v>
      </c>
      <c r="V10" s="17">
        <f>IFERROR(tblRevenus2[[#This Row],[m5]]/tblRevenus2[[#Totals],[m5]],"-")</f>
        <v>4.0322580645161289E-2</v>
      </c>
      <c r="W10" s="17">
        <f>IFERROR(tblRevenus2[[#This Row],[m6]]/tblRevenus2[[#Totals],[m6]],"-")</f>
        <v>3.0674846625766871E-2</v>
      </c>
      <c r="X10" s="17">
        <f>IFERROR(tblRevenus2[[#This Row],[m7]]/tblRevenus2[[#Totals],[m7]],"-")</f>
        <v>4.3103448275862072E-2</v>
      </c>
      <c r="Y10" s="17">
        <f>IFERROR(tblRevenus2[[#This Row],[m8]]/tblRevenus2[[#Totals],[m8]],"-")</f>
        <v>4.9504950495049507E-2</v>
      </c>
      <c r="Z10" s="17">
        <f>IFERROR(tblRevenus2[[#This Row],[m9]]/tblRevenus2[[#Totals],[m9]],"-")</f>
        <v>4.0322580645161289E-2</v>
      </c>
      <c r="AA10" s="17">
        <f>IFERROR(tblRevenus2[[#This Row],[m10]]/tblRevenus2[[#Totals],[m10]],"-")</f>
        <v>3.875968992248062E-2</v>
      </c>
      <c r="AB10" s="17">
        <f>IFERROR(tblRevenus2[[#This Row],[m11]]/tblRevenus2[[#Totals],[m11]],"-")</f>
        <v>5.9523809523809521E-2</v>
      </c>
      <c r="AC10" s="17">
        <f>IFERROR(tblRevenus2[[#This Row],[m12]]/tblRevenus2[[#Totals],[m12]],"-")</f>
        <v>5.9523809523809521E-2</v>
      </c>
      <c r="AD10" s="18">
        <f>IFERROR(tblRevenus2[[#This Row],[Annuel]]/tblRevenus2[[#Totals],[Annuel]],"-")</f>
        <v>4.8192771084337352E-2</v>
      </c>
    </row>
    <row r="11" spans="1:30" ht="18" customHeight="1" x14ac:dyDescent="0.25">
      <c r="A11" s="63"/>
      <c r="B11" s="34" t="s">
        <v>37</v>
      </c>
      <c r="C11" s="7"/>
      <c r="D11" s="20">
        <v>300</v>
      </c>
      <c r="E11" s="20">
        <v>300</v>
      </c>
      <c r="F11" s="20">
        <v>300</v>
      </c>
      <c r="G11" s="20">
        <v>300</v>
      </c>
      <c r="H11" s="20">
        <v>300</v>
      </c>
      <c r="I11" s="29">
        <v>300</v>
      </c>
      <c r="J11" s="20">
        <v>300</v>
      </c>
      <c r="K11" s="20">
        <v>300</v>
      </c>
      <c r="L11" s="20">
        <v>300</v>
      </c>
      <c r="M11" s="20">
        <v>300</v>
      </c>
      <c r="N11" s="20">
        <v>300</v>
      </c>
      <c r="O11" s="20">
        <v>300</v>
      </c>
      <c r="P11" s="21">
        <f>SUM(tblRevenus2[[#This Row],[m1]:[m12]])</f>
        <v>3600</v>
      </c>
      <c r="Q11" s="6">
        <v>0.2</v>
      </c>
      <c r="R11" s="16">
        <f>IFERROR(tblRevenus2[[#This Row],[m1]]/tblRevenus2[[#Totals],[m1]],"-")</f>
        <v>3.2967032967032968E-2</v>
      </c>
      <c r="S11" s="17">
        <f>IFERROR(tblRevenus2[[#This Row],[m2]]/tblRevenus2[[#Totals],[m2]],"-")</f>
        <v>3.9473684210526314E-2</v>
      </c>
      <c r="T11" s="17">
        <f>IFERROR(tblRevenus2[[#This Row],[m3]]/tblRevenus2[[#Totals],[m3]],"-")</f>
        <v>3.0303030303030304E-2</v>
      </c>
      <c r="U11" s="17">
        <f>IFERROR(tblRevenus2[[#This Row],[m4]]/tblRevenus2[[#Totals],[m4]],"-")</f>
        <v>5.5555555555555552E-2</v>
      </c>
      <c r="V11" s="17">
        <f>IFERROR(tblRevenus2[[#This Row],[m5]]/tblRevenus2[[#Totals],[m5]],"-")</f>
        <v>2.4193548387096774E-2</v>
      </c>
      <c r="W11" s="17">
        <f>IFERROR(tblRevenus2[[#This Row],[m6]]/tblRevenus2[[#Totals],[m6]],"-")</f>
        <v>1.8404907975460124E-2</v>
      </c>
      <c r="X11" s="17">
        <f>IFERROR(tblRevenus2[[#This Row],[m7]]/tblRevenus2[[#Totals],[m7]],"-")</f>
        <v>2.5862068965517241E-2</v>
      </c>
      <c r="Y11" s="17">
        <f>IFERROR(tblRevenus2[[#This Row],[m8]]/tblRevenus2[[#Totals],[m8]],"-")</f>
        <v>2.9702970297029702E-2</v>
      </c>
      <c r="Z11" s="17">
        <f>IFERROR(tblRevenus2[[#This Row],[m9]]/tblRevenus2[[#Totals],[m9]],"-")</f>
        <v>2.4193548387096774E-2</v>
      </c>
      <c r="AA11" s="17">
        <f>IFERROR(tblRevenus2[[#This Row],[m10]]/tblRevenus2[[#Totals],[m10]],"-")</f>
        <v>2.3255813953488372E-2</v>
      </c>
      <c r="AB11" s="17">
        <f>IFERROR(tblRevenus2[[#This Row],[m11]]/tblRevenus2[[#Totals],[m11]],"-")</f>
        <v>3.5714285714285712E-2</v>
      </c>
      <c r="AC11" s="17">
        <f>IFERROR(tblRevenus2[[#This Row],[m12]]/tblRevenus2[[#Totals],[m12]],"-")</f>
        <v>3.5714285714285712E-2</v>
      </c>
      <c r="AD11" s="18">
        <f>IFERROR(tblRevenus2[[#This Row],[Annuel]]/tblRevenus2[[#Totals],[Annuel]],"-")</f>
        <v>2.891566265060241E-2</v>
      </c>
    </row>
    <row r="12" spans="1:30" ht="18" customHeight="1" x14ac:dyDescent="0.25">
      <c r="A12" s="63"/>
      <c r="B12" s="35" t="s">
        <v>38</v>
      </c>
      <c r="C12" s="7"/>
      <c r="D12" s="20">
        <v>500</v>
      </c>
      <c r="E12" s="20">
        <v>500</v>
      </c>
      <c r="F12" s="20">
        <v>500</v>
      </c>
      <c r="G12" s="20">
        <v>500</v>
      </c>
      <c r="H12" s="20">
        <v>500</v>
      </c>
      <c r="I12" s="20">
        <v>500</v>
      </c>
      <c r="J12" s="29">
        <v>500</v>
      </c>
      <c r="K12" s="20">
        <v>500</v>
      </c>
      <c r="L12" s="20">
        <v>500</v>
      </c>
      <c r="M12" s="20">
        <v>500</v>
      </c>
      <c r="N12" s="20">
        <v>500</v>
      </c>
      <c r="O12" s="20">
        <v>500</v>
      </c>
      <c r="P12" s="21">
        <f>SUM(tblRevenus2[[#This Row],[m1]:[m12]])</f>
        <v>6000</v>
      </c>
      <c r="Q12" s="6">
        <v>0.1</v>
      </c>
      <c r="R12" s="16">
        <f>IFERROR(tblRevenus2[[#This Row],[m1]]/tblRevenus2[[#Totals],[m1]],"-")</f>
        <v>5.4945054945054944E-2</v>
      </c>
      <c r="S12" s="17">
        <f>IFERROR(tblRevenus2[[#This Row],[m2]]/tblRevenus2[[#Totals],[m2]],"-")</f>
        <v>6.5789473684210523E-2</v>
      </c>
      <c r="T12" s="17">
        <f>IFERROR(tblRevenus2[[#This Row],[m3]]/tblRevenus2[[#Totals],[m3]],"-")</f>
        <v>5.0505050505050504E-2</v>
      </c>
      <c r="U12" s="17">
        <f>IFERROR(tblRevenus2[[#This Row],[m4]]/tblRevenus2[[#Totals],[m4]],"-")</f>
        <v>9.2592592592592587E-2</v>
      </c>
      <c r="V12" s="17">
        <f>IFERROR(tblRevenus2[[#This Row],[m5]]/tblRevenus2[[#Totals],[m5]],"-")</f>
        <v>4.0322580645161289E-2</v>
      </c>
      <c r="W12" s="17">
        <f>IFERROR(tblRevenus2[[#This Row],[m6]]/tblRevenus2[[#Totals],[m6]],"-")</f>
        <v>3.0674846625766871E-2</v>
      </c>
      <c r="X12" s="17">
        <f>IFERROR(tblRevenus2[[#This Row],[m7]]/tblRevenus2[[#Totals],[m7]],"-")</f>
        <v>4.3103448275862072E-2</v>
      </c>
      <c r="Y12" s="17">
        <f>IFERROR(tblRevenus2[[#This Row],[m8]]/tblRevenus2[[#Totals],[m8]],"-")</f>
        <v>4.9504950495049507E-2</v>
      </c>
      <c r="Z12" s="17">
        <f>IFERROR(tblRevenus2[[#This Row],[m9]]/tblRevenus2[[#Totals],[m9]],"-")</f>
        <v>4.0322580645161289E-2</v>
      </c>
      <c r="AA12" s="17">
        <f>IFERROR(tblRevenus2[[#This Row],[m10]]/tblRevenus2[[#Totals],[m10]],"-")</f>
        <v>3.875968992248062E-2</v>
      </c>
      <c r="AB12" s="17">
        <f>IFERROR(tblRevenus2[[#This Row],[m11]]/tblRevenus2[[#Totals],[m11]],"-")</f>
        <v>5.9523809523809521E-2</v>
      </c>
      <c r="AC12" s="17">
        <f>IFERROR(tblRevenus2[[#This Row],[m12]]/tblRevenus2[[#Totals],[m12]],"-")</f>
        <v>5.9523809523809521E-2</v>
      </c>
      <c r="AD12" s="18">
        <f>IFERROR(tblRevenus2[[#This Row],[Annuel]]/tblRevenus2[[#Totals],[Annuel]],"-")</f>
        <v>4.8192771084337352E-2</v>
      </c>
    </row>
    <row r="13" spans="1:30" ht="18" customHeight="1" x14ac:dyDescent="0.25">
      <c r="A13" s="63"/>
      <c r="B13" s="36" t="s">
        <v>39</v>
      </c>
      <c r="C13" s="7"/>
      <c r="D13" s="20">
        <v>700</v>
      </c>
      <c r="E13" s="20">
        <v>700</v>
      </c>
      <c r="F13" s="20">
        <v>700</v>
      </c>
      <c r="G13" s="20">
        <v>700</v>
      </c>
      <c r="H13" s="20">
        <v>700</v>
      </c>
      <c r="I13" s="20">
        <v>700</v>
      </c>
      <c r="J13" s="20">
        <v>700</v>
      </c>
      <c r="K13" s="29">
        <v>700</v>
      </c>
      <c r="L13" s="29">
        <v>700</v>
      </c>
      <c r="M13" s="20">
        <v>700</v>
      </c>
      <c r="N13" s="20">
        <v>700</v>
      </c>
      <c r="O13" s="20">
        <v>700</v>
      </c>
      <c r="P13" s="21">
        <f>SUM(tblRevenus2[[#This Row],[m1]:[m12]])</f>
        <v>8400</v>
      </c>
      <c r="Q13" s="6">
        <v>0.1</v>
      </c>
      <c r="R13" s="22">
        <f>IFERROR(tblRevenus2[[#This Row],[m1]]/tblRevenus2[[#Totals],[m1]],"-")</f>
        <v>7.6923076923076927E-2</v>
      </c>
      <c r="S13" s="17">
        <f>IFERROR(tblRevenus2[[#This Row],[m2]]/tblRevenus2[[#Totals],[m2]],"-")</f>
        <v>9.2105263157894732E-2</v>
      </c>
      <c r="T13" s="17">
        <f>IFERROR(tblRevenus2[[#This Row],[m3]]/tblRevenus2[[#Totals],[m3]],"-")</f>
        <v>7.0707070707070704E-2</v>
      </c>
      <c r="U13" s="17">
        <f>IFERROR(tblRevenus2[[#This Row],[m4]]/tblRevenus2[[#Totals],[m4]],"-")</f>
        <v>0.12962962962962962</v>
      </c>
      <c r="V13" s="17">
        <f>IFERROR(tblRevenus2[[#This Row],[m5]]/tblRevenus2[[#Totals],[m5]],"-")</f>
        <v>5.6451612903225805E-2</v>
      </c>
      <c r="W13" s="17">
        <f>IFERROR(tblRevenus2[[#This Row],[m6]]/tblRevenus2[[#Totals],[m6]],"-")</f>
        <v>4.2944785276073622E-2</v>
      </c>
      <c r="X13" s="17">
        <f>IFERROR(tblRevenus2[[#This Row],[m7]]/tblRevenus2[[#Totals],[m7]],"-")</f>
        <v>6.0344827586206899E-2</v>
      </c>
      <c r="Y13" s="17">
        <f>IFERROR(tblRevenus2[[#This Row],[m8]]/tblRevenus2[[#Totals],[m8]],"-")</f>
        <v>6.9306930693069313E-2</v>
      </c>
      <c r="Z13" s="17">
        <f>IFERROR(tblRevenus2[[#This Row],[m9]]/tblRevenus2[[#Totals],[m9]],"-")</f>
        <v>5.6451612903225805E-2</v>
      </c>
      <c r="AA13" s="17">
        <f>IFERROR(tblRevenus2[[#This Row],[m10]]/tblRevenus2[[#Totals],[m10]],"-")</f>
        <v>5.4263565891472867E-2</v>
      </c>
      <c r="AB13" s="17">
        <f>IFERROR(tblRevenus2[[#This Row],[m11]]/tblRevenus2[[#Totals],[m11]],"-")</f>
        <v>8.3333333333333329E-2</v>
      </c>
      <c r="AC13" s="17">
        <f>IFERROR(tblRevenus2[[#This Row],[m12]]/tblRevenus2[[#Totals],[m12]],"-")</f>
        <v>8.3333333333333329E-2</v>
      </c>
      <c r="AD13" s="18">
        <f>IFERROR(tblRevenus2[[#This Row],[Annuel]]/tblRevenus2[[#Totals],[Annuel]],"-")</f>
        <v>6.746987951807229E-2</v>
      </c>
    </row>
    <row r="14" spans="1:30" ht="18" customHeight="1" x14ac:dyDescent="0.25">
      <c r="A14" s="63"/>
      <c r="B14" s="35" t="s">
        <v>40</v>
      </c>
      <c r="C14" s="7"/>
      <c r="D14" s="20">
        <v>500</v>
      </c>
      <c r="E14" s="20">
        <v>500</v>
      </c>
      <c r="F14" s="20">
        <v>500</v>
      </c>
      <c r="G14" s="20">
        <v>500</v>
      </c>
      <c r="H14" s="20">
        <v>500</v>
      </c>
      <c r="I14" s="20">
        <v>500</v>
      </c>
      <c r="J14" s="20">
        <v>500</v>
      </c>
      <c r="K14" s="20">
        <v>500</v>
      </c>
      <c r="L14" s="20">
        <v>500</v>
      </c>
      <c r="M14" s="29">
        <v>500</v>
      </c>
      <c r="N14" s="20">
        <v>500</v>
      </c>
      <c r="O14" s="20">
        <v>500</v>
      </c>
      <c r="P14" s="21">
        <f>SUM(tblRevenus2[[#This Row],[m1]:[m12]])</f>
        <v>6000</v>
      </c>
      <c r="Q14" s="6">
        <v>0.1</v>
      </c>
      <c r="R14" s="22">
        <f>IFERROR(tblRevenus2[[#This Row],[m1]]/tblRevenus2[[#Totals],[m1]],"-")</f>
        <v>5.4945054945054944E-2</v>
      </c>
      <c r="S14" s="17">
        <f>IFERROR(tblRevenus2[[#This Row],[m2]]/tblRevenus2[[#Totals],[m2]],"-")</f>
        <v>6.5789473684210523E-2</v>
      </c>
      <c r="T14" s="17">
        <f>IFERROR(tblRevenus2[[#This Row],[m3]]/tblRevenus2[[#Totals],[m3]],"-")</f>
        <v>5.0505050505050504E-2</v>
      </c>
      <c r="U14" s="17">
        <f>IFERROR(tblRevenus2[[#This Row],[m4]]/tblRevenus2[[#Totals],[m4]],"-")</f>
        <v>9.2592592592592587E-2</v>
      </c>
      <c r="V14" s="17">
        <f>IFERROR(tblRevenus2[[#This Row],[m5]]/tblRevenus2[[#Totals],[m5]],"-")</f>
        <v>4.0322580645161289E-2</v>
      </c>
      <c r="W14" s="17">
        <f>IFERROR(tblRevenus2[[#This Row],[m6]]/tblRevenus2[[#Totals],[m6]],"-")</f>
        <v>3.0674846625766871E-2</v>
      </c>
      <c r="X14" s="17">
        <f>IFERROR(tblRevenus2[[#This Row],[m7]]/tblRevenus2[[#Totals],[m7]],"-")</f>
        <v>4.3103448275862072E-2</v>
      </c>
      <c r="Y14" s="17">
        <f>IFERROR(tblRevenus2[[#This Row],[m8]]/tblRevenus2[[#Totals],[m8]],"-")</f>
        <v>4.9504950495049507E-2</v>
      </c>
      <c r="Z14" s="17">
        <f>IFERROR(tblRevenus2[[#This Row],[m9]]/tblRevenus2[[#Totals],[m9]],"-")</f>
        <v>4.0322580645161289E-2</v>
      </c>
      <c r="AA14" s="17">
        <f>IFERROR(tblRevenus2[[#This Row],[m10]]/tblRevenus2[[#Totals],[m10]],"-")</f>
        <v>3.875968992248062E-2</v>
      </c>
      <c r="AB14" s="17">
        <f>IFERROR(tblRevenus2[[#This Row],[m11]]/tblRevenus2[[#Totals],[m11]],"-")</f>
        <v>5.9523809523809521E-2</v>
      </c>
      <c r="AC14" s="17">
        <f>IFERROR(tblRevenus2[[#This Row],[m12]]/tblRevenus2[[#Totals],[m12]],"-")</f>
        <v>5.9523809523809521E-2</v>
      </c>
      <c r="AD14" s="18">
        <f>IFERROR(tblRevenus2[[#This Row],[Annuel]]/tblRevenus2[[#Totals],[Annuel]],"-")</f>
        <v>4.8192771084337352E-2</v>
      </c>
    </row>
    <row r="15" spans="1:30" ht="18" customHeight="1" x14ac:dyDescent="0.25">
      <c r="A15" s="64"/>
      <c r="B15" s="35" t="s">
        <v>41</v>
      </c>
      <c r="C15" s="7"/>
      <c r="D15" s="20">
        <v>500</v>
      </c>
      <c r="E15" s="20">
        <v>500</v>
      </c>
      <c r="F15" s="20">
        <v>500</v>
      </c>
      <c r="G15" s="20">
        <v>500</v>
      </c>
      <c r="H15" s="20">
        <v>500</v>
      </c>
      <c r="I15" s="20">
        <v>500</v>
      </c>
      <c r="J15" s="20">
        <v>500</v>
      </c>
      <c r="K15" s="20">
        <v>500</v>
      </c>
      <c r="L15" s="20">
        <v>500</v>
      </c>
      <c r="M15" s="20">
        <v>500</v>
      </c>
      <c r="N15" s="29">
        <v>500</v>
      </c>
      <c r="O15" s="20">
        <v>500</v>
      </c>
      <c r="P15" s="21">
        <f>SUM(tblRevenus2[[#This Row],[m1]:[m12]])</f>
        <v>6000</v>
      </c>
      <c r="Q15" s="6">
        <v>0.1</v>
      </c>
      <c r="R15" s="22">
        <f>IFERROR(tblRevenus2[[#This Row],[m1]]/tblRevenus2[[#Totals],[m1]],"-")</f>
        <v>5.4945054945054944E-2</v>
      </c>
      <c r="S15" s="17">
        <f>IFERROR(tblRevenus2[[#This Row],[m2]]/tblRevenus2[[#Totals],[m2]],"-")</f>
        <v>6.5789473684210523E-2</v>
      </c>
      <c r="T15" s="17">
        <f>IFERROR(tblRevenus2[[#This Row],[m3]]/tblRevenus2[[#Totals],[m3]],"-")</f>
        <v>5.0505050505050504E-2</v>
      </c>
      <c r="U15" s="17">
        <f>IFERROR(tblRevenus2[[#This Row],[m4]]/tblRevenus2[[#Totals],[m4]],"-")</f>
        <v>9.2592592592592587E-2</v>
      </c>
      <c r="V15" s="17">
        <f>IFERROR(tblRevenus2[[#This Row],[m5]]/tblRevenus2[[#Totals],[m5]],"-")</f>
        <v>4.0322580645161289E-2</v>
      </c>
      <c r="W15" s="17">
        <f>IFERROR(tblRevenus2[[#This Row],[m6]]/tblRevenus2[[#Totals],[m6]],"-")</f>
        <v>3.0674846625766871E-2</v>
      </c>
      <c r="X15" s="17">
        <f>IFERROR(tblRevenus2[[#This Row],[m7]]/tblRevenus2[[#Totals],[m7]],"-")</f>
        <v>4.3103448275862072E-2</v>
      </c>
      <c r="Y15" s="17">
        <f>IFERROR(tblRevenus2[[#This Row],[m8]]/tblRevenus2[[#Totals],[m8]],"-")</f>
        <v>4.9504950495049507E-2</v>
      </c>
      <c r="Z15" s="17">
        <f>IFERROR(tblRevenus2[[#This Row],[m9]]/tblRevenus2[[#Totals],[m9]],"-")</f>
        <v>4.0322580645161289E-2</v>
      </c>
      <c r="AA15" s="17">
        <f>IFERROR(tblRevenus2[[#This Row],[m10]]/tblRevenus2[[#Totals],[m10]],"-")</f>
        <v>3.875968992248062E-2</v>
      </c>
      <c r="AB15" s="17">
        <f>IFERROR(tblRevenus2[[#This Row],[m11]]/tblRevenus2[[#Totals],[m11]],"-")</f>
        <v>5.9523809523809521E-2</v>
      </c>
      <c r="AC15" s="17">
        <f>IFERROR(tblRevenus2[[#This Row],[m12]]/tblRevenus2[[#Totals],[m12]],"-")</f>
        <v>5.9523809523809521E-2</v>
      </c>
      <c r="AD15" s="18">
        <f>IFERROR(tblRevenus2[[#This Row],[Annuel]]/tblRevenus2[[#Totals],[Annuel]],"-")</f>
        <v>4.8192771084337352E-2</v>
      </c>
    </row>
    <row r="16" spans="1:30" ht="18" customHeight="1" x14ac:dyDescent="0.25">
      <c r="A16" s="62" t="s">
        <v>54</v>
      </c>
      <c r="B16" s="35" t="s">
        <v>42</v>
      </c>
      <c r="C16" s="7"/>
      <c r="D16" s="29">
        <v>5000</v>
      </c>
      <c r="E16" s="20">
        <v>500</v>
      </c>
      <c r="F16" s="20">
        <v>500</v>
      </c>
      <c r="G16" s="20">
        <v>500</v>
      </c>
      <c r="H16" s="20">
        <v>500</v>
      </c>
      <c r="I16" s="20">
        <v>500</v>
      </c>
      <c r="J16" s="20">
        <v>500</v>
      </c>
      <c r="K16" s="20">
        <v>500</v>
      </c>
      <c r="L16" s="20">
        <v>500</v>
      </c>
      <c r="M16" s="20">
        <v>500</v>
      </c>
      <c r="N16" s="20">
        <v>500</v>
      </c>
      <c r="O16" s="20">
        <v>500</v>
      </c>
      <c r="P16" s="21">
        <f>SUM(tblRevenus2[[#This Row],[m1]:[m12]])</f>
        <v>10500</v>
      </c>
      <c r="Q16" s="6">
        <v>0.1</v>
      </c>
      <c r="R16" s="22">
        <f>IFERROR(tblRevenus2[[#This Row],[m1]]/tblRevenus2[[#Totals],[m1]],"-")</f>
        <v>0.5494505494505495</v>
      </c>
      <c r="S16" s="17">
        <f>IFERROR(tblRevenus2[[#This Row],[m2]]/tblRevenus2[[#Totals],[m2]],"-")</f>
        <v>6.5789473684210523E-2</v>
      </c>
      <c r="T16" s="17">
        <f>IFERROR(tblRevenus2[[#This Row],[m3]]/tblRevenus2[[#Totals],[m3]],"-")</f>
        <v>5.0505050505050504E-2</v>
      </c>
      <c r="U16" s="17">
        <f>IFERROR(tblRevenus2[[#This Row],[m4]]/tblRevenus2[[#Totals],[m4]],"-")</f>
        <v>9.2592592592592587E-2</v>
      </c>
      <c r="V16" s="17">
        <f>IFERROR(tblRevenus2[[#This Row],[m5]]/tblRevenus2[[#Totals],[m5]],"-")</f>
        <v>4.0322580645161289E-2</v>
      </c>
      <c r="W16" s="17">
        <f>IFERROR(tblRevenus2[[#This Row],[m6]]/tblRevenus2[[#Totals],[m6]],"-")</f>
        <v>3.0674846625766871E-2</v>
      </c>
      <c r="X16" s="17">
        <f>IFERROR(tblRevenus2[[#This Row],[m7]]/tblRevenus2[[#Totals],[m7]],"-")</f>
        <v>4.3103448275862072E-2</v>
      </c>
      <c r="Y16" s="17">
        <f>IFERROR(tblRevenus2[[#This Row],[m8]]/tblRevenus2[[#Totals],[m8]],"-")</f>
        <v>4.9504950495049507E-2</v>
      </c>
      <c r="Z16" s="17">
        <f>IFERROR(tblRevenus2[[#This Row],[m9]]/tblRevenus2[[#Totals],[m9]],"-")</f>
        <v>4.0322580645161289E-2</v>
      </c>
      <c r="AA16" s="17">
        <f>IFERROR(tblRevenus2[[#This Row],[m10]]/tblRevenus2[[#Totals],[m10]],"-")</f>
        <v>3.875968992248062E-2</v>
      </c>
      <c r="AB16" s="17">
        <f>IFERROR(tblRevenus2[[#This Row],[m11]]/tblRevenus2[[#Totals],[m11]],"-")</f>
        <v>5.9523809523809521E-2</v>
      </c>
      <c r="AC16" s="17">
        <f>IFERROR(tblRevenus2[[#This Row],[m12]]/tblRevenus2[[#Totals],[m12]],"-")</f>
        <v>5.9523809523809521E-2</v>
      </c>
      <c r="AD16" s="18">
        <f>IFERROR(tblRevenus2[[#This Row],[Annuel]]/tblRevenus2[[#Totals],[Annuel]],"-")</f>
        <v>8.4337349397590355E-2</v>
      </c>
    </row>
    <row r="17" spans="1:30" ht="18" customHeight="1" x14ac:dyDescent="0.25">
      <c r="A17" s="65"/>
      <c r="B17" s="34" t="s">
        <v>43</v>
      </c>
      <c r="C17" s="7"/>
      <c r="D17" s="20">
        <v>0</v>
      </c>
      <c r="E17" s="29">
        <v>3000</v>
      </c>
      <c r="F17" s="20">
        <v>300</v>
      </c>
      <c r="G17" s="20">
        <v>300</v>
      </c>
      <c r="H17" s="20">
        <v>300</v>
      </c>
      <c r="I17" s="20">
        <v>300</v>
      </c>
      <c r="J17" s="20">
        <v>300</v>
      </c>
      <c r="K17" s="20">
        <v>300</v>
      </c>
      <c r="L17" s="20">
        <v>300</v>
      </c>
      <c r="M17" s="20">
        <v>300</v>
      </c>
      <c r="N17" s="20">
        <v>300</v>
      </c>
      <c r="O17" s="20">
        <v>300</v>
      </c>
      <c r="P17" s="21">
        <f>SUM(tblRevenus2[[#This Row],[m1]:[m12]])</f>
        <v>6000</v>
      </c>
      <c r="Q17" s="6">
        <v>0.1</v>
      </c>
      <c r="R17" s="22">
        <f>IFERROR(tblRevenus2[[#This Row],[m1]]/tblRevenus2[[#Totals],[m1]],"-")</f>
        <v>0</v>
      </c>
      <c r="S17" s="17">
        <f>IFERROR(tblRevenus2[[#This Row],[m2]]/tblRevenus2[[#Totals],[m2]],"-")</f>
        <v>0.39473684210526316</v>
      </c>
      <c r="T17" s="17">
        <f>IFERROR(tblRevenus2[[#This Row],[m3]]/tblRevenus2[[#Totals],[m3]],"-")</f>
        <v>3.0303030303030304E-2</v>
      </c>
      <c r="U17" s="17">
        <f>IFERROR(tblRevenus2[[#This Row],[m4]]/tblRevenus2[[#Totals],[m4]],"-")</f>
        <v>5.5555555555555552E-2</v>
      </c>
      <c r="V17" s="17">
        <f>IFERROR(tblRevenus2[[#This Row],[m5]]/tblRevenus2[[#Totals],[m5]],"-")</f>
        <v>2.4193548387096774E-2</v>
      </c>
      <c r="W17" s="17">
        <f>IFERROR(tblRevenus2[[#This Row],[m6]]/tblRevenus2[[#Totals],[m6]],"-")</f>
        <v>1.8404907975460124E-2</v>
      </c>
      <c r="X17" s="17">
        <f>IFERROR(tblRevenus2[[#This Row],[m7]]/tblRevenus2[[#Totals],[m7]],"-")</f>
        <v>2.5862068965517241E-2</v>
      </c>
      <c r="Y17" s="17">
        <f>IFERROR(tblRevenus2[[#This Row],[m8]]/tblRevenus2[[#Totals],[m8]],"-")</f>
        <v>2.9702970297029702E-2</v>
      </c>
      <c r="Z17" s="17">
        <f>IFERROR(tblRevenus2[[#This Row],[m9]]/tblRevenus2[[#Totals],[m9]],"-")</f>
        <v>2.4193548387096774E-2</v>
      </c>
      <c r="AA17" s="17">
        <f>IFERROR(tblRevenus2[[#This Row],[m10]]/tblRevenus2[[#Totals],[m10]],"-")</f>
        <v>2.3255813953488372E-2</v>
      </c>
      <c r="AB17" s="17">
        <f>IFERROR(tblRevenus2[[#This Row],[m11]]/tblRevenus2[[#Totals],[m11]],"-")</f>
        <v>3.5714285714285712E-2</v>
      </c>
      <c r="AC17" s="17">
        <f>IFERROR(tblRevenus2[[#This Row],[m12]]/tblRevenus2[[#Totals],[m12]],"-")</f>
        <v>3.5714285714285712E-2</v>
      </c>
      <c r="AD17" s="18">
        <f>IFERROR(tblRevenus2[[#This Row],[Annuel]]/tblRevenus2[[#Totals],[Annuel]],"-")</f>
        <v>4.8192771084337352E-2</v>
      </c>
    </row>
    <row r="18" spans="1:30" ht="18" customHeight="1" x14ac:dyDescent="0.25">
      <c r="A18" s="65"/>
      <c r="B18" s="35" t="s">
        <v>46</v>
      </c>
      <c r="C18" s="7"/>
      <c r="D18" s="20">
        <v>0</v>
      </c>
      <c r="E18" s="20">
        <v>0</v>
      </c>
      <c r="F18" s="29">
        <v>5000</v>
      </c>
      <c r="G18" s="20">
        <v>500</v>
      </c>
      <c r="H18" s="20">
        <v>500</v>
      </c>
      <c r="I18" s="20">
        <v>500</v>
      </c>
      <c r="J18" s="20">
        <v>500</v>
      </c>
      <c r="K18" s="20">
        <v>500</v>
      </c>
      <c r="L18" s="20">
        <v>500</v>
      </c>
      <c r="M18" s="20">
        <v>500</v>
      </c>
      <c r="N18" s="20">
        <v>500</v>
      </c>
      <c r="O18" s="20">
        <v>500</v>
      </c>
      <c r="P18" s="21">
        <f>SUM(tblRevenus2[[#This Row],[m1]:[m12]])</f>
        <v>9500</v>
      </c>
      <c r="Q18" s="6">
        <v>0.1</v>
      </c>
      <c r="R18" s="22">
        <f>IFERROR(tblRevenus2[[#This Row],[m1]]/tblRevenus2[[#Totals],[m1]],"-")</f>
        <v>0</v>
      </c>
      <c r="S18" s="17">
        <f>IFERROR(tblRevenus2[[#This Row],[m2]]/tblRevenus2[[#Totals],[m2]],"-")</f>
        <v>0</v>
      </c>
      <c r="T18" s="17">
        <f>IFERROR(tblRevenus2[[#This Row],[m3]]/tblRevenus2[[#Totals],[m3]],"-")</f>
        <v>0.50505050505050508</v>
      </c>
      <c r="U18" s="17">
        <f>IFERROR(tblRevenus2[[#This Row],[m4]]/tblRevenus2[[#Totals],[m4]],"-")</f>
        <v>9.2592592592592587E-2</v>
      </c>
      <c r="V18" s="17">
        <f>IFERROR(tblRevenus2[[#This Row],[m5]]/tblRevenus2[[#Totals],[m5]],"-")</f>
        <v>4.0322580645161289E-2</v>
      </c>
      <c r="W18" s="17">
        <f>IFERROR(tblRevenus2[[#This Row],[m6]]/tblRevenus2[[#Totals],[m6]],"-")</f>
        <v>3.0674846625766871E-2</v>
      </c>
      <c r="X18" s="17">
        <f>IFERROR(tblRevenus2[[#This Row],[m7]]/tblRevenus2[[#Totals],[m7]],"-")</f>
        <v>4.3103448275862072E-2</v>
      </c>
      <c r="Y18" s="17">
        <f>IFERROR(tblRevenus2[[#This Row],[m8]]/tblRevenus2[[#Totals],[m8]],"-")</f>
        <v>4.9504950495049507E-2</v>
      </c>
      <c r="Z18" s="17">
        <f>IFERROR(tblRevenus2[[#This Row],[m9]]/tblRevenus2[[#Totals],[m9]],"-")</f>
        <v>4.0322580645161289E-2</v>
      </c>
      <c r="AA18" s="17">
        <f>IFERROR(tblRevenus2[[#This Row],[m10]]/tblRevenus2[[#Totals],[m10]],"-")</f>
        <v>3.875968992248062E-2</v>
      </c>
      <c r="AB18" s="17">
        <f>IFERROR(tblRevenus2[[#This Row],[m11]]/tblRevenus2[[#Totals],[m11]],"-")</f>
        <v>5.9523809523809521E-2</v>
      </c>
      <c r="AC18" s="17">
        <f>IFERROR(tblRevenus2[[#This Row],[m12]]/tblRevenus2[[#Totals],[m12]],"-")</f>
        <v>5.9523809523809521E-2</v>
      </c>
      <c r="AD18" s="18">
        <f>IFERROR(tblRevenus2[[#This Row],[Annuel]]/tblRevenus2[[#Totals],[Annuel]],"-")</f>
        <v>7.6305220883534142E-2</v>
      </c>
    </row>
    <row r="19" spans="1:30" ht="18" customHeight="1" x14ac:dyDescent="0.25">
      <c r="A19" s="65"/>
      <c r="B19" s="36" t="s">
        <v>47</v>
      </c>
      <c r="C19" s="7"/>
      <c r="D19" s="20">
        <v>0</v>
      </c>
      <c r="E19" s="20">
        <v>0</v>
      </c>
      <c r="F19" s="20">
        <v>0</v>
      </c>
      <c r="G19" s="29">
        <v>0</v>
      </c>
      <c r="H19" s="29">
        <v>7000</v>
      </c>
      <c r="I19" s="40">
        <v>7900</v>
      </c>
      <c r="J19" s="20">
        <v>900</v>
      </c>
      <c r="K19" s="20">
        <v>900</v>
      </c>
      <c r="L19" s="20">
        <v>900</v>
      </c>
      <c r="M19" s="20">
        <v>900</v>
      </c>
      <c r="N19" s="20">
        <v>900</v>
      </c>
      <c r="O19" s="20">
        <v>900</v>
      </c>
      <c r="P19" s="21">
        <f>SUM(tblRevenus2[[#This Row],[m1]:[m12]])</f>
        <v>20300</v>
      </c>
      <c r="Q19" s="6">
        <v>0.1</v>
      </c>
      <c r="R19" s="22">
        <f>IFERROR(tblRevenus2[[#This Row],[m1]]/tblRevenus2[[#Totals],[m1]],"-")</f>
        <v>0</v>
      </c>
      <c r="S19" s="17">
        <f>IFERROR(tblRevenus2[[#This Row],[m2]]/tblRevenus2[[#Totals],[m2]],"-")</f>
        <v>0</v>
      </c>
      <c r="T19" s="17">
        <f>IFERROR(tblRevenus2[[#This Row],[m3]]/tblRevenus2[[#Totals],[m3]],"-")</f>
        <v>0</v>
      </c>
      <c r="U19" s="17">
        <f>IFERROR(tblRevenus2[[#This Row],[m4]]/tblRevenus2[[#Totals],[m4]],"-")</f>
        <v>0</v>
      </c>
      <c r="V19" s="17">
        <f>IFERROR(tblRevenus2[[#This Row],[m5]]/tblRevenus2[[#Totals],[m5]],"-")</f>
        <v>0.56451612903225812</v>
      </c>
      <c r="W19" s="17">
        <f>IFERROR(tblRevenus2[[#This Row],[m6]]/tblRevenus2[[#Totals],[m6]],"-")</f>
        <v>0.48466257668711654</v>
      </c>
      <c r="X19" s="17">
        <f>IFERROR(tblRevenus2[[#This Row],[m7]]/tblRevenus2[[#Totals],[m7]],"-")</f>
        <v>7.7586206896551727E-2</v>
      </c>
      <c r="Y19" s="17">
        <f>IFERROR(tblRevenus2[[#This Row],[m8]]/tblRevenus2[[#Totals],[m8]],"-")</f>
        <v>8.9108910891089105E-2</v>
      </c>
      <c r="Z19" s="17">
        <f>IFERROR(tblRevenus2[[#This Row],[m9]]/tblRevenus2[[#Totals],[m9]],"-")</f>
        <v>7.2580645161290328E-2</v>
      </c>
      <c r="AA19" s="17">
        <f>IFERROR(tblRevenus2[[#This Row],[m10]]/tblRevenus2[[#Totals],[m10]],"-")</f>
        <v>6.9767441860465115E-2</v>
      </c>
      <c r="AB19" s="17">
        <f>IFERROR(tblRevenus2[[#This Row],[m11]]/tblRevenus2[[#Totals],[m11]],"-")</f>
        <v>0.10714285714285714</v>
      </c>
      <c r="AC19" s="17">
        <f>IFERROR(tblRevenus2[[#This Row],[m12]]/tblRevenus2[[#Totals],[m12]],"-")</f>
        <v>0.10714285714285714</v>
      </c>
      <c r="AD19" s="18">
        <f>IFERROR(tblRevenus2[[#This Row],[Annuel]]/tblRevenus2[[#Totals],[Annuel]],"-")</f>
        <v>0.16305220883534136</v>
      </c>
    </row>
    <row r="20" spans="1:30" ht="18" customHeight="1" x14ac:dyDescent="0.25">
      <c r="A20" s="65"/>
      <c r="B20" s="34" t="s">
        <v>48</v>
      </c>
      <c r="C20" s="7"/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9">
        <v>3000</v>
      </c>
      <c r="J20" s="20">
        <v>300</v>
      </c>
      <c r="K20" s="20">
        <v>300</v>
      </c>
      <c r="L20" s="20">
        <v>300</v>
      </c>
      <c r="M20" s="20">
        <v>300</v>
      </c>
      <c r="N20" s="20">
        <v>300</v>
      </c>
      <c r="O20" s="20">
        <v>300</v>
      </c>
      <c r="P20" s="21">
        <f>SUM(tblRevenus2[[#This Row],[m1]:[m12]])</f>
        <v>4800</v>
      </c>
      <c r="Q20" s="6">
        <v>0.1</v>
      </c>
      <c r="R20" s="22">
        <f>IFERROR(tblRevenus2[[#This Row],[m1]]/tblRevenus2[[#Totals],[m1]],"-")</f>
        <v>0</v>
      </c>
      <c r="S20" s="17">
        <f>IFERROR(tblRevenus2[[#This Row],[m2]]/tblRevenus2[[#Totals],[m2]],"-")</f>
        <v>0</v>
      </c>
      <c r="T20" s="17">
        <f>IFERROR(tblRevenus2[[#This Row],[m3]]/tblRevenus2[[#Totals],[m3]],"-")</f>
        <v>0</v>
      </c>
      <c r="U20" s="17">
        <f>IFERROR(tblRevenus2[[#This Row],[m4]]/tblRevenus2[[#Totals],[m4]],"-")</f>
        <v>0</v>
      </c>
      <c r="V20" s="17">
        <f>IFERROR(tblRevenus2[[#This Row],[m5]]/tblRevenus2[[#Totals],[m5]],"-")</f>
        <v>0</v>
      </c>
      <c r="W20" s="17">
        <f>IFERROR(tblRevenus2[[#This Row],[m6]]/tblRevenus2[[#Totals],[m6]],"-")</f>
        <v>0.18404907975460122</v>
      </c>
      <c r="X20" s="17">
        <f>IFERROR(tblRevenus2[[#This Row],[m7]]/tblRevenus2[[#Totals],[m7]],"-")</f>
        <v>2.5862068965517241E-2</v>
      </c>
      <c r="Y20" s="17">
        <f>IFERROR(tblRevenus2[[#This Row],[m8]]/tblRevenus2[[#Totals],[m8]],"-")</f>
        <v>2.9702970297029702E-2</v>
      </c>
      <c r="Z20" s="17">
        <f>IFERROR(tblRevenus2[[#This Row],[m9]]/tblRevenus2[[#Totals],[m9]],"-")</f>
        <v>2.4193548387096774E-2</v>
      </c>
      <c r="AA20" s="17">
        <f>IFERROR(tblRevenus2[[#This Row],[m10]]/tblRevenus2[[#Totals],[m10]],"-")</f>
        <v>2.3255813953488372E-2</v>
      </c>
      <c r="AB20" s="17">
        <f>IFERROR(tblRevenus2[[#This Row],[m11]]/tblRevenus2[[#Totals],[m11]],"-")</f>
        <v>3.5714285714285712E-2</v>
      </c>
      <c r="AC20" s="17">
        <f>IFERROR(tblRevenus2[[#This Row],[m12]]/tblRevenus2[[#Totals],[m12]],"-")</f>
        <v>3.5714285714285712E-2</v>
      </c>
      <c r="AD20" s="18">
        <f>IFERROR(tblRevenus2[[#This Row],[Annuel]]/tblRevenus2[[#Totals],[Annuel]],"-")</f>
        <v>3.8554216867469883E-2</v>
      </c>
    </row>
    <row r="21" spans="1:30" ht="18" customHeight="1" x14ac:dyDescent="0.25">
      <c r="A21" s="65"/>
      <c r="B21" s="35" t="s">
        <v>49</v>
      </c>
      <c r="C21" s="7"/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9">
        <v>5000</v>
      </c>
      <c r="K21" s="20">
        <v>500</v>
      </c>
      <c r="L21" s="20">
        <v>500</v>
      </c>
      <c r="M21" s="20">
        <v>500</v>
      </c>
      <c r="N21" s="20">
        <v>500</v>
      </c>
      <c r="O21" s="20">
        <v>500</v>
      </c>
      <c r="P21" s="21">
        <f>SUM(tblRevenus2[[#This Row],[m1]:[m12]])</f>
        <v>7500</v>
      </c>
      <c r="Q21" s="6">
        <v>0.1</v>
      </c>
      <c r="R21" s="22">
        <f>IFERROR(tblRevenus2[[#This Row],[m1]]/tblRevenus2[[#Totals],[m1]],"-")</f>
        <v>0</v>
      </c>
      <c r="S21" s="17">
        <f>IFERROR(tblRevenus2[[#This Row],[m2]]/tblRevenus2[[#Totals],[m2]],"-")</f>
        <v>0</v>
      </c>
      <c r="T21" s="17">
        <f>IFERROR(tblRevenus2[[#This Row],[m3]]/tblRevenus2[[#Totals],[m3]],"-")</f>
        <v>0</v>
      </c>
      <c r="U21" s="17">
        <f>IFERROR(tblRevenus2[[#This Row],[m4]]/tblRevenus2[[#Totals],[m4]],"-")</f>
        <v>0</v>
      </c>
      <c r="V21" s="17">
        <f>IFERROR(tblRevenus2[[#This Row],[m5]]/tblRevenus2[[#Totals],[m5]],"-")</f>
        <v>0</v>
      </c>
      <c r="W21" s="17">
        <f>IFERROR(tblRevenus2[[#This Row],[m6]]/tblRevenus2[[#Totals],[m6]],"-")</f>
        <v>0</v>
      </c>
      <c r="X21" s="17">
        <f>IFERROR(tblRevenus2[[#This Row],[m7]]/tblRevenus2[[#Totals],[m7]],"-")</f>
        <v>0.43103448275862066</v>
      </c>
      <c r="Y21" s="17">
        <f>IFERROR(tblRevenus2[[#This Row],[m8]]/tblRevenus2[[#Totals],[m8]],"-")</f>
        <v>4.9504950495049507E-2</v>
      </c>
      <c r="Z21" s="17">
        <f>IFERROR(tblRevenus2[[#This Row],[m9]]/tblRevenus2[[#Totals],[m9]],"-")</f>
        <v>4.0322580645161289E-2</v>
      </c>
      <c r="AA21" s="17">
        <f>IFERROR(tblRevenus2[[#This Row],[m10]]/tblRevenus2[[#Totals],[m10]],"-")</f>
        <v>3.875968992248062E-2</v>
      </c>
      <c r="AB21" s="17">
        <f>IFERROR(tblRevenus2[[#This Row],[m11]]/tblRevenus2[[#Totals],[m11]],"-")</f>
        <v>5.9523809523809521E-2</v>
      </c>
      <c r="AC21" s="17">
        <f>IFERROR(tblRevenus2[[#This Row],[m12]]/tblRevenus2[[#Totals],[m12]],"-")</f>
        <v>5.9523809523809521E-2</v>
      </c>
      <c r="AD21" s="18">
        <f>IFERROR(tblRevenus2[[#This Row],[Annuel]]/tblRevenus2[[#Totals],[Annuel]],"-")</f>
        <v>6.0240963855421686E-2</v>
      </c>
    </row>
    <row r="22" spans="1:30" ht="18" customHeight="1" x14ac:dyDescent="0.25">
      <c r="A22" s="65"/>
      <c r="B22" s="34" t="s">
        <v>50</v>
      </c>
      <c r="C22" s="7"/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9">
        <v>3000</v>
      </c>
      <c r="L22" s="20">
        <v>300</v>
      </c>
      <c r="M22" s="20">
        <v>300</v>
      </c>
      <c r="N22" s="20">
        <v>300</v>
      </c>
      <c r="O22" s="20">
        <v>300</v>
      </c>
      <c r="P22" s="21">
        <f>SUM(tblRevenus2[[#This Row],[m1]:[m12]])</f>
        <v>4200</v>
      </c>
      <c r="Q22" s="6">
        <v>0.1</v>
      </c>
      <c r="R22" s="22">
        <f>IFERROR(tblRevenus2[[#This Row],[m1]]/tblRevenus2[[#Totals],[m1]],"-")</f>
        <v>0</v>
      </c>
      <c r="S22" s="17">
        <f>IFERROR(tblRevenus2[[#This Row],[m2]]/tblRevenus2[[#Totals],[m2]],"-")</f>
        <v>0</v>
      </c>
      <c r="T22" s="17">
        <f>IFERROR(tblRevenus2[[#This Row],[m3]]/tblRevenus2[[#Totals],[m3]],"-")</f>
        <v>0</v>
      </c>
      <c r="U22" s="17">
        <f>IFERROR(tblRevenus2[[#This Row],[m4]]/tblRevenus2[[#Totals],[m4]],"-")</f>
        <v>0</v>
      </c>
      <c r="V22" s="17">
        <f>IFERROR(tblRevenus2[[#This Row],[m5]]/tblRevenus2[[#Totals],[m5]],"-")</f>
        <v>0</v>
      </c>
      <c r="W22" s="17">
        <f>IFERROR(tblRevenus2[[#This Row],[m6]]/tblRevenus2[[#Totals],[m6]],"-")</f>
        <v>0</v>
      </c>
      <c r="X22" s="17">
        <f>IFERROR(tblRevenus2[[#This Row],[m7]]/tblRevenus2[[#Totals],[m7]],"-")</f>
        <v>0</v>
      </c>
      <c r="Y22" s="17">
        <f>IFERROR(tblRevenus2[[#This Row],[m8]]/tblRevenus2[[#Totals],[m8]],"-")</f>
        <v>0.29702970297029702</v>
      </c>
      <c r="Z22" s="17">
        <f>IFERROR(tblRevenus2[[#This Row],[m9]]/tblRevenus2[[#Totals],[m9]],"-")</f>
        <v>2.4193548387096774E-2</v>
      </c>
      <c r="AA22" s="17">
        <f>IFERROR(tblRevenus2[[#This Row],[m10]]/tblRevenus2[[#Totals],[m10]],"-")</f>
        <v>2.3255813953488372E-2</v>
      </c>
      <c r="AB22" s="17">
        <f>IFERROR(tblRevenus2[[#This Row],[m11]]/tblRevenus2[[#Totals],[m11]],"-")</f>
        <v>3.5714285714285712E-2</v>
      </c>
      <c r="AC22" s="17">
        <f>IFERROR(tblRevenus2[[#This Row],[m12]]/tblRevenus2[[#Totals],[m12]],"-")</f>
        <v>3.5714285714285712E-2</v>
      </c>
      <c r="AD22" s="18">
        <f>IFERROR(tblRevenus2[[#This Row],[Annuel]]/tblRevenus2[[#Totals],[Annuel]],"-")</f>
        <v>3.3734939759036145E-2</v>
      </c>
    </row>
    <row r="23" spans="1:30" ht="18" customHeight="1" x14ac:dyDescent="0.25">
      <c r="A23" s="65"/>
      <c r="B23" s="35" t="s">
        <v>51</v>
      </c>
      <c r="C23" s="7"/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9">
        <v>5000</v>
      </c>
      <c r="M23" s="20">
        <v>500</v>
      </c>
      <c r="N23" s="20">
        <v>500</v>
      </c>
      <c r="O23" s="20">
        <v>500</v>
      </c>
      <c r="P23" s="21">
        <f>SUM(tblRevenus2[[#This Row],[m1]:[m12]])</f>
        <v>6500</v>
      </c>
      <c r="Q23" s="6">
        <v>0.1</v>
      </c>
      <c r="R23" s="22">
        <f>IFERROR(tblRevenus2[[#This Row],[m1]]/tblRevenus2[[#Totals],[m1]],"-")</f>
        <v>0</v>
      </c>
      <c r="S23" s="17">
        <f>IFERROR(tblRevenus2[[#This Row],[m2]]/tblRevenus2[[#Totals],[m2]],"-")</f>
        <v>0</v>
      </c>
      <c r="T23" s="17">
        <f>IFERROR(tblRevenus2[[#This Row],[m3]]/tblRevenus2[[#Totals],[m3]],"-")</f>
        <v>0</v>
      </c>
      <c r="U23" s="17">
        <f>IFERROR(tblRevenus2[[#This Row],[m4]]/tblRevenus2[[#Totals],[m4]],"-")</f>
        <v>0</v>
      </c>
      <c r="V23" s="17">
        <f>IFERROR(tblRevenus2[[#This Row],[m5]]/tblRevenus2[[#Totals],[m5]],"-")</f>
        <v>0</v>
      </c>
      <c r="W23" s="17">
        <f>IFERROR(tblRevenus2[[#This Row],[m6]]/tblRevenus2[[#Totals],[m6]],"-")</f>
        <v>0</v>
      </c>
      <c r="X23" s="17">
        <f>IFERROR(tblRevenus2[[#This Row],[m7]]/tblRevenus2[[#Totals],[m7]],"-")</f>
        <v>0</v>
      </c>
      <c r="Y23" s="17">
        <f>IFERROR(tblRevenus2[[#This Row],[m8]]/tblRevenus2[[#Totals],[m8]],"-")</f>
        <v>0</v>
      </c>
      <c r="Z23" s="17">
        <f>IFERROR(tblRevenus2[[#This Row],[m9]]/tblRevenus2[[#Totals],[m9]],"-")</f>
        <v>0.40322580645161288</v>
      </c>
      <c r="AA23" s="17">
        <f>IFERROR(tblRevenus2[[#This Row],[m10]]/tblRevenus2[[#Totals],[m10]],"-")</f>
        <v>3.875968992248062E-2</v>
      </c>
      <c r="AB23" s="17">
        <f>IFERROR(tblRevenus2[[#This Row],[m11]]/tblRevenus2[[#Totals],[m11]],"-")</f>
        <v>5.9523809523809521E-2</v>
      </c>
      <c r="AC23" s="17">
        <f>IFERROR(tblRevenus2[[#This Row],[m12]]/tblRevenus2[[#Totals],[m12]],"-")</f>
        <v>5.9523809523809521E-2</v>
      </c>
      <c r="AD23" s="18">
        <f>IFERROR(tblRevenus2[[#This Row],[Annuel]]/tblRevenus2[[#Totals],[Annuel]],"-")</f>
        <v>5.2208835341365459E-2</v>
      </c>
    </row>
    <row r="24" spans="1:30" ht="18" customHeight="1" x14ac:dyDescent="0.25">
      <c r="A24" s="66"/>
      <c r="B24" s="35" t="s">
        <v>52</v>
      </c>
      <c r="C24" s="7"/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9">
        <v>5000</v>
      </c>
      <c r="N24" s="20">
        <v>500</v>
      </c>
      <c r="O24" s="20">
        <v>500</v>
      </c>
      <c r="P24" s="21">
        <f>SUM(tblRevenus2[[#This Row],[m1]:[m12]])</f>
        <v>6000</v>
      </c>
      <c r="Q24" s="6">
        <v>0.1</v>
      </c>
      <c r="R24" s="22">
        <f>IFERROR(tblRevenus2[[#This Row],[m1]]/tblRevenus2[[#Totals],[m1]],"-")</f>
        <v>0</v>
      </c>
      <c r="S24" s="17">
        <f>IFERROR(tblRevenus2[[#This Row],[m2]]/tblRevenus2[[#Totals],[m2]],"-")</f>
        <v>0</v>
      </c>
      <c r="T24" s="17">
        <f>IFERROR(tblRevenus2[[#This Row],[m3]]/tblRevenus2[[#Totals],[m3]],"-")</f>
        <v>0</v>
      </c>
      <c r="U24" s="17">
        <f>IFERROR(tblRevenus2[[#This Row],[m4]]/tblRevenus2[[#Totals],[m4]],"-")</f>
        <v>0</v>
      </c>
      <c r="V24" s="17">
        <f>IFERROR(tblRevenus2[[#This Row],[m5]]/tblRevenus2[[#Totals],[m5]],"-")</f>
        <v>0</v>
      </c>
      <c r="W24" s="17">
        <f>IFERROR(tblRevenus2[[#This Row],[m6]]/tblRevenus2[[#Totals],[m6]],"-")</f>
        <v>0</v>
      </c>
      <c r="X24" s="17">
        <f>IFERROR(tblRevenus2[[#This Row],[m7]]/tblRevenus2[[#Totals],[m7]],"-")</f>
        <v>0</v>
      </c>
      <c r="Y24" s="17">
        <f>IFERROR(tblRevenus2[[#This Row],[m8]]/tblRevenus2[[#Totals],[m8]],"-")</f>
        <v>0</v>
      </c>
      <c r="Z24" s="17">
        <f>IFERROR(tblRevenus2[[#This Row],[m9]]/tblRevenus2[[#Totals],[m9]],"-")</f>
        <v>0</v>
      </c>
      <c r="AA24" s="17">
        <f>IFERROR(tblRevenus2[[#This Row],[m10]]/tblRevenus2[[#Totals],[m10]],"-")</f>
        <v>0.38759689922480622</v>
      </c>
      <c r="AB24" s="17">
        <f>IFERROR(tblRevenus2[[#This Row],[m11]]/tblRevenus2[[#Totals],[m11]],"-")</f>
        <v>5.9523809523809521E-2</v>
      </c>
      <c r="AC24" s="17">
        <f>IFERROR(tblRevenus2[[#This Row],[m12]]/tblRevenus2[[#Totals],[m12]],"-")</f>
        <v>5.9523809523809521E-2</v>
      </c>
      <c r="AD24" s="18">
        <f>IFERROR(tblRevenus2[[#This Row],[Annuel]]/tblRevenus2[[#Totals],[Annuel]],"-")</f>
        <v>4.8192771084337352E-2</v>
      </c>
    </row>
    <row r="25" spans="1:30" ht="18" customHeight="1" x14ac:dyDescent="0.25">
      <c r="B25" s="37" t="s">
        <v>28</v>
      </c>
      <c r="C25" s="23"/>
      <c r="D25" s="24">
        <f>SUBTOTAL(109,tblRevenus2[m1])</f>
        <v>9100</v>
      </c>
      <c r="E25" s="24">
        <f>SUBTOTAL(109,tblRevenus2[m2])</f>
        <v>7600</v>
      </c>
      <c r="F25" s="24">
        <f>SUBTOTAL(109,tblRevenus2[m3])</f>
        <v>9900</v>
      </c>
      <c r="G25" s="24">
        <f>SUBTOTAL(109,tblRevenus2[m4])</f>
        <v>5400</v>
      </c>
      <c r="H25" s="24">
        <f>SUBTOTAL(109,tblRevenus2[m5])</f>
        <v>12400</v>
      </c>
      <c r="I25" s="24">
        <f>SUBTOTAL(109,tblRevenus2[m6])</f>
        <v>16300</v>
      </c>
      <c r="J25" s="24">
        <f>SUBTOTAL(109,tblRevenus2[m7])</f>
        <v>11600</v>
      </c>
      <c r="K25" s="24">
        <f>SUBTOTAL(109,tblRevenus2[m8])</f>
        <v>10100</v>
      </c>
      <c r="L25" s="24">
        <f>SUBTOTAL(109,tblRevenus2[m9])</f>
        <v>12400</v>
      </c>
      <c r="M25" s="24">
        <f>SUBTOTAL(109,tblRevenus2[m10])</f>
        <v>12900</v>
      </c>
      <c r="N25" s="24">
        <f>SUBTOTAL(109,tblRevenus2[m11])</f>
        <v>8400</v>
      </c>
      <c r="O25" s="24">
        <f>SUBTOTAL(109,tblRevenus2[m12])</f>
        <v>8400</v>
      </c>
      <c r="P25" s="24">
        <f>SUBTOTAL(109,tblRevenus2[Annuel])</f>
        <v>124500</v>
      </c>
      <c r="Q25" s="25">
        <f>SUBTOTAL(109,tblRevenus2[Ind %])</f>
        <v>2.100000000000001</v>
      </c>
      <c r="R25" s="25">
        <f>SUBTOTAL(109,tblRevenus2[% m1])</f>
        <v>1</v>
      </c>
      <c r="S25" s="25">
        <f>SUBTOTAL(109,tblRevenus2[% m2])</f>
        <v>1</v>
      </c>
      <c r="T25" s="25">
        <f>SUBTOTAL(109,tblRevenus2[% m3])</f>
        <v>1</v>
      </c>
      <c r="U25" s="25">
        <f>SUBTOTAL(109,tblRevenus2[% m4])</f>
        <v>0.99999999999999989</v>
      </c>
      <c r="V25" s="25">
        <f>SUBTOTAL(109,tblRevenus2[% m5])</f>
        <v>1</v>
      </c>
      <c r="W25" s="25">
        <f>SUBTOTAL(109,tblRevenus2[% m6])</f>
        <v>1</v>
      </c>
      <c r="X25" s="25">
        <f>SUBTOTAL(109,tblRevenus2[% m1])</f>
        <v>1</v>
      </c>
      <c r="Y25" s="25">
        <f>SUBTOTAL(109,tblRevenus2[% m2])</f>
        <v>1</v>
      </c>
      <c r="Z25" s="25">
        <f>SUBTOTAL(109,tblRevenus2[% m3])</f>
        <v>1</v>
      </c>
      <c r="AA25" s="25">
        <f>SUBTOTAL(109,tblRevenus2[% m4])</f>
        <v>0.99999999999999989</v>
      </c>
      <c r="AB25" s="25">
        <f>SUBTOTAL(109,tblRevenus2[% m5])</f>
        <v>1</v>
      </c>
      <c r="AC25" s="25">
        <f>SUBTOTAL(109,tblRevenus2[% m6])</f>
        <v>1</v>
      </c>
      <c r="AD25" s="26">
        <f>SUBTOTAL(109,tblRevenus2[% y])</f>
        <v>0.99999999999999989</v>
      </c>
    </row>
    <row r="26" spans="1:30" ht="18" customHeight="1" x14ac:dyDescent="0.25">
      <c r="B26" s="3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</row>
    <row r="27" spans="1:30" ht="18" customHeight="1" x14ac:dyDescent="0.25">
      <c r="B27"/>
    </row>
    <row r="28" spans="1:30" ht="18" customHeight="1" x14ac:dyDescent="0.25">
      <c r="B28"/>
      <c r="D28" s="56"/>
    </row>
    <row r="29" spans="1:30" ht="18" customHeight="1" x14ac:dyDescent="0.25">
      <c r="B29"/>
    </row>
    <row r="30" spans="1:30" ht="18" customHeight="1" x14ac:dyDescent="0.25">
      <c r="B30"/>
    </row>
    <row r="31" spans="1:30" ht="18" customHeight="1" x14ac:dyDescent="0.25">
      <c r="B31"/>
    </row>
    <row r="32" spans="1:30" ht="18" customHeight="1" x14ac:dyDescent="0.25">
      <c r="B32"/>
    </row>
    <row r="33" spans="2:2" ht="18" customHeight="1" x14ac:dyDescent="0.25">
      <c r="B33"/>
    </row>
    <row r="34" spans="2:2" ht="18" customHeight="1" x14ac:dyDescent="0.25">
      <c r="B34"/>
    </row>
    <row r="35" spans="2:2" ht="18" customHeight="1" x14ac:dyDescent="0.25">
      <c r="B35"/>
    </row>
    <row r="36" spans="2:2" ht="18" customHeight="1" x14ac:dyDescent="0.25">
      <c r="B36"/>
    </row>
    <row r="37" spans="2:2" ht="18" customHeight="1" x14ac:dyDescent="0.25">
      <c r="B37"/>
    </row>
    <row r="38" spans="2:2" ht="18" customHeight="1" x14ac:dyDescent="0.25">
      <c r="B38"/>
    </row>
    <row r="39" spans="2:2" ht="18" customHeight="1" x14ac:dyDescent="0.25">
      <c r="B39"/>
    </row>
    <row r="40" spans="2:2" ht="18" customHeight="1" x14ac:dyDescent="0.25">
      <c r="B40"/>
    </row>
    <row r="41" spans="2:2" ht="18" customHeight="1" x14ac:dyDescent="0.25">
      <c r="B41"/>
    </row>
    <row r="42" spans="2:2" ht="18" customHeight="1" x14ac:dyDescent="0.25">
      <c r="B42"/>
    </row>
    <row r="43" spans="2:2" ht="18" customHeight="1" x14ac:dyDescent="0.25">
      <c r="B43"/>
    </row>
    <row r="44" spans="2:2" ht="18" customHeight="1" x14ac:dyDescent="0.25">
      <c r="B44"/>
    </row>
    <row r="45" spans="2:2" ht="18" customHeight="1" x14ac:dyDescent="0.25">
      <c r="B45"/>
    </row>
    <row r="46" spans="2:2" s="19" customFormat="1" ht="18" customHeight="1" x14ac:dyDescent="0.2"/>
    <row r="47" spans="2:2" ht="18" customHeight="1" x14ac:dyDescent="0.25">
      <c r="B47"/>
    </row>
    <row r="48" spans="2:2" ht="18" customHeight="1" x14ac:dyDescent="0.25">
      <c r="B48"/>
    </row>
    <row r="49" spans="2:2" ht="18" customHeight="1" x14ac:dyDescent="0.25">
      <c r="B49"/>
    </row>
    <row r="50" spans="2:2" ht="18" customHeight="1" x14ac:dyDescent="0.25">
      <c r="B50"/>
    </row>
    <row r="51" spans="2:2" ht="18" customHeight="1" x14ac:dyDescent="0.25">
      <c r="B51"/>
    </row>
    <row r="52" spans="2:2" ht="18" customHeight="1" x14ac:dyDescent="0.25">
      <c r="B52"/>
    </row>
    <row r="53" spans="2:2" ht="18" customHeight="1" x14ac:dyDescent="0.25">
      <c r="B53"/>
    </row>
    <row r="54" spans="2:2" ht="18" customHeight="1" x14ac:dyDescent="0.25">
      <c r="B54"/>
    </row>
    <row r="55" spans="2:2" ht="18" customHeight="1" x14ac:dyDescent="0.25">
      <c r="B55"/>
    </row>
    <row r="56" spans="2:2" ht="18" customHeight="1" x14ac:dyDescent="0.25">
      <c r="B56"/>
    </row>
    <row r="57" spans="2:2" ht="28.5" customHeight="1" x14ac:dyDescent="0.25">
      <c r="B57"/>
    </row>
    <row r="58" spans="2:2" ht="21" customHeight="1" x14ac:dyDescent="0.25">
      <c r="B58"/>
    </row>
    <row r="59" spans="2:2" ht="18" customHeight="1" x14ac:dyDescent="0.25">
      <c r="B59"/>
    </row>
    <row r="60" spans="2:2" ht="18" customHeight="1" x14ac:dyDescent="0.25">
      <c r="B60"/>
    </row>
    <row r="61" spans="2:2" ht="18" customHeight="1" x14ac:dyDescent="0.25">
      <c r="B61"/>
    </row>
    <row r="62" spans="2:2" ht="18" customHeight="1" x14ac:dyDescent="0.25">
      <c r="B62"/>
    </row>
    <row r="63" spans="2:2" ht="18" customHeight="1" x14ac:dyDescent="0.25">
      <c r="B63"/>
    </row>
    <row r="64" spans="2:2" ht="18" customHeight="1" x14ac:dyDescent="0.25">
      <c r="B64"/>
    </row>
    <row r="65" spans="2:2" ht="18" customHeight="1" x14ac:dyDescent="0.25">
      <c r="B65"/>
    </row>
    <row r="66" spans="2:2" ht="18" customHeight="1" x14ac:dyDescent="0.25">
      <c r="B66"/>
    </row>
    <row r="67" spans="2:2" ht="18" customHeight="1" x14ac:dyDescent="0.25">
      <c r="B67"/>
    </row>
    <row r="68" spans="2:2" ht="18" customHeight="1" x14ac:dyDescent="0.25">
      <c r="B68"/>
    </row>
    <row r="69" spans="2:2" ht="18" customHeight="1" x14ac:dyDescent="0.25">
      <c r="B69"/>
    </row>
    <row r="70" spans="2:2" ht="18" customHeight="1" x14ac:dyDescent="0.25">
      <c r="B70"/>
    </row>
    <row r="71" spans="2:2" ht="18" customHeight="1" x14ac:dyDescent="0.25">
      <c r="B71"/>
    </row>
    <row r="72" spans="2:2" ht="18" customHeight="1" x14ac:dyDescent="0.25">
      <c r="B72"/>
    </row>
    <row r="73" spans="2:2" ht="18" customHeight="1" x14ac:dyDescent="0.25">
      <c r="B73"/>
    </row>
    <row r="74" spans="2:2" ht="18" customHeight="1" x14ac:dyDescent="0.25">
      <c r="B74"/>
    </row>
    <row r="75" spans="2:2" ht="18" customHeight="1" x14ac:dyDescent="0.25">
      <c r="B75"/>
    </row>
    <row r="76" spans="2:2" ht="18" customHeight="1" x14ac:dyDescent="0.25">
      <c r="B76"/>
    </row>
    <row r="77" spans="2:2" ht="32.25" customHeight="1" x14ac:dyDescent="0.25">
      <c r="B77"/>
    </row>
    <row r="78" spans="2:2" ht="32.25" customHeight="1" x14ac:dyDescent="0.25">
      <c r="B78"/>
    </row>
    <row r="79" spans="2:2" ht="39.75" customHeight="1" x14ac:dyDescent="0.25">
      <c r="B79"/>
    </row>
    <row r="80" spans="2:2" ht="32.25" customHeight="1" x14ac:dyDescent="0.25">
      <c r="B80"/>
    </row>
    <row r="81" spans="2:2" s="19" customFormat="1" ht="18" customHeight="1" x14ac:dyDescent="0.2"/>
    <row r="82" spans="2:2" ht="18" customHeight="1" x14ac:dyDescent="0.25">
      <c r="B82"/>
    </row>
    <row r="83" spans="2:2" ht="18" customHeight="1" x14ac:dyDescent="0.25">
      <c r="B83"/>
    </row>
  </sheetData>
  <mergeCells count="2">
    <mergeCell ref="A7:A15"/>
    <mergeCell ref="A16:A24"/>
  </mergeCells>
  <dataValidations disablePrompts="1" count="2">
    <dataValidation type="list" errorStyle="information" allowBlank="1" showInputMessage="1" errorTitle="Unknown Year" error="Please select a year from the drop down list. To add or remove a year from the list, on the Data tab, in the Data Tools group, click Data Validation." sqref="AD2">
      <formula1>"2010,2011,2012,2013,2014,2015,2016,2017,2018,2019,2020"</formula1>
    </dataValidation>
    <dataValidation type="list" errorStyle="information" allowBlank="1" showInputMessage="1" showErrorMessage="1" errorTitle="Mois inconnu" error="Veuillez sélectionner un mois dans la liste déroulante." sqref="AC2">
      <formula1>"JANV,FÉVR,MARS,AVR,MAI,JUIN,JUIL,AOÛT,SEPT,OCT,NOV,DÉC"</formula1>
    </dataValidation>
  </dataValidations>
  <printOptions horizontalCentered="1"/>
  <pageMargins left="0.25" right="0.25" top="0.75" bottom="0.75" header="0.3" footer="0.3"/>
  <pageSetup scale="42" fitToHeight="0" orientation="landscape" r:id="rId1"/>
  <tableParts count="1"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2014-2015'!$D$9:$O$9</xm:f>
              <xm:sqref>C17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2014-2015'!$D$8:$O$8</xm:f>
              <xm:sqref>C8</xm:sqref>
            </x14:sparkline>
            <x14:sparkline>
              <xm:f>'Prévisions 2014-2015'!$D$8:$O$8</xm:f>
              <xm:sqref>C9</xm:sqref>
            </x14:sparkline>
            <x14:sparkline>
              <xm:f>'Prévisions 2014-2015'!$D$8:$O$8</xm:f>
              <xm:sqref>C10</xm:sqref>
            </x14:sparkline>
            <x14:sparkline>
              <xm:f>'Prévisions 2014-2015'!$D$8:$O$8</xm:f>
              <xm:sqref>C11</xm:sqref>
            </x14:sparkline>
            <x14:sparkline>
              <xm:f>'Prévisions 2014-2015'!$D$8:$O$8</xm:f>
              <xm:sqref>C12</xm:sqref>
            </x14:sparkline>
            <x14:sparkline>
              <xm:f>'Prévisions 2014-2015'!$D$8:$O$8</xm:f>
              <xm:sqref>C13</xm:sqref>
            </x14:sparkline>
            <x14:sparkline>
              <xm:f>'Prévisions 2014-2015'!$D$8:$O$8</xm:f>
              <xm:sqref>C14</xm:sqref>
            </x14:sparkline>
            <x14:sparkline>
              <xm:f>'Prévisions 2014-2015'!$D$8:$O$8</xm:f>
              <xm:sqref>C15</xm:sqref>
            </x14:sparkline>
          </x14:sparklines>
        </x14:sparklineGroup>
        <x14:sparklineGroup manualMax="0" manualMin="0" displayEmptyCellsAs="gap" high="1" low="1">
          <x14:colorSeries theme="1"/>
          <x14:colorNegative theme="9"/>
          <x14:colorAxis rgb="FF000000"/>
          <x14:colorMarkers theme="8" tint="-0.499984740745262"/>
          <x14:colorFirst theme="8" tint="0.39997558519241921"/>
          <x14:colorLast theme="8" tint="0.39997558519241921"/>
          <x14:colorHigh theme="8"/>
          <x14:colorLow theme="8"/>
          <x14:sparklines>
            <x14:sparkline>
              <xm:f>'Prévisions 2014-2015'!D25:O25</xm:f>
              <xm:sqref>C25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2014-2015'!$D$9:$O$9</xm:f>
              <xm:sqref>C18</xm:sqref>
            </x14:sparkline>
            <x14:sparkline>
              <xm:f>'Prévisions 2014-2015'!$D$9:$O$9</xm:f>
              <xm:sqref>C19</xm:sqref>
            </x14:sparkline>
            <x14:sparkline>
              <xm:f>'Prévisions 2014-2015'!$D$9:$O$9</xm:f>
              <xm:sqref>C20</xm:sqref>
            </x14:sparkline>
            <x14:sparkline>
              <xm:f>'Prévisions 2014-2015'!$D$9:$O$9</xm:f>
              <xm:sqref>C21</xm:sqref>
            </x14:sparkline>
            <x14:sparkline>
              <xm:f>'Prévisions 2014-2015'!$D$9:$O$9</xm:f>
              <xm:sqref>C24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2014-2015'!$D$9:$O$9</xm:f>
              <xm:sqref>C22</xm:sqref>
            </x14:sparkline>
            <x14:sparkline>
              <xm:f>'Prévisions 2014-2015'!$D$9:$O$9</xm:f>
              <xm:sqref>C23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2014-2015'!$D$7:$O$7</xm:f>
              <xm:sqref>C7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2014-2015'!$D$7:$O$7</xm:f>
              <xm:sqref>C16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autoPageBreaks="0" fitToPage="1"/>
  </sheetPr>
  <dimension ref="A1:AD83"/>
  <sheetViews>
    <sheetView showGridLines="0" topLeftCell="C1" zoomScale="85" zoomScaleNormal="85" workbookViewId="0">
      <pane ySplit="4" topLeftCell="A5" activePane="bottomLeft" state="frozen"/>
      <selection pane="bottomLeft" activeCell="P7" sqref="P7"/>
    </sheetView>
  </sheetViews>
  <sheetFormatPr baseColWidth="10" defaultColWidth="9.140625" defaultRowHeight="18" customHeight="1" x14ac:dyDescent="0.25"/>
  <cols>
    <col min="1" max="1" width="5" customWidth="1"/>
    <col min="2" max="2" width="37.140625" style="31" customWidth="1"/>
    <col min="3" max="3" width="12.5703125" customWidth="1"/>
    <col min="4" max="4" width="11.85546875" customWidth="1"/>
    <col min="5" max="5" width="11.28515625" customWidth="1"/>
    <col min="6" max="6" width="11.85546875" customWidth="1"/>
    <col min="7" max="7" width="10.42578125" customWidth="1"/>
    <col min="8" max="8" width="11" customWidth="1"/>
    <col min="9" max="9" width="10.140625" customWidth="1"/>
    <col min="10" max="10" width="11" customWidth="1"/>
    <col min="11" max="11" width="10.7109375" customWidth="1"/>
    <col min="12" max="13" width="10.42578125" customWidth="1"/>
    <col min="14" max="14" width="10.28515625" customWidth="1"/>
    <col min="15" max="15" width="10.85546875" customWidth="1"/>
    <col min="16" max="16" width="10" customWidth="1"/>
    <col min="17" max="28" width="7.85546875" customWidth="1"/>
    <col min="29" max="29" width="9" customWidth="1"/>
    <col min="30" max="30" width="12" customWidth="1"/>
  </cols>
  <sheetData>
    <row r="1" spans="1:30" ht="33.75" customHeight="1" x14ac:dyDescent="0.25">
      <c r="A1" s="15"/>
      <c r="B1" s="30"/>
      <c r="C1" s="12"/>
      <c r="J1" s="28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ht="49.5" customHeight="1" x14ac:dyDescent="0.25">
      <c r="B2" s="39" t="s">
        <v>90</v>
      </c>
      <c r="E2" s="8"/>
      <c r="G2" s="8"/>
      <c r="K2" s="8"/>
      <c r="L2" s="8"/>
      <c r="M2" s="8"/>
      <c r="N2" s="8"/>
      <c r="O2" s="8"/>
      <c r="X2" s="11"/>
      <c r="Y2" s="11"/>
      <c r="Z2" s="11"/>
      <c r="AA2" s="11"/>
      <c r="AB2" s="13" t="s">
        <v>29</v>
      </c>
      <c r="AC2" s="13" t="s">
        <v>44</v>
      </c>
      <c r="AD2" s="14">
        <v>2014</v>
      </c>
    </row>
    <row r="3" spans="1:30" ht="6.75" customHeight="1" x14ac:dyDescent="0.25"/>
    <row r="4" spans="1:30" ht="11.25" customHeight="1" x14ac:dyDescent="0.25">
      <c r="D4" s="10" t="str">
        <f>UPPER(TEXT(DATE(AnnéeDébutAnnéeFiscale,FYMonthNo,1),"[$-40C]mmm-yy"))</f>
        <v>SEPT.-YY</v>
      </c>
      <c r="E4" s="10" t="str">
        <f>UPPER(TEXT(DATE(AnnéeDébutAnnéeFiscale,FYMonthNo+1,1),"[$-40C]mmm-yy"))</f>
        <v>OCT.-YY</v>
      </c>
      <c r="F4" s="10" t="str">
        <f>UPPER(TEXT(DATE(AnnéeDébutAnnéeFiscale,FYMonthNo+2,1),"[$-40C]mmm-yy"))</f>
        <v>NOV.-YY</v>
      </c>
      <c r="G4" s="10" t="str">
        <f>UPPER(TEXT(DATE(AnnéeDébutAnnéeFiscale,FYMonthNo+3,1),"[$-40C]mmm-yy"))</f>
        <v>DÉC.-YY</v>
      </c>
      <c r="H4" s="10" t="str">
        <f>UPPER(TEXT(DATE(AnnéeDébutAnnéeFiscale,FYMonthNo+4,1),"[$-40C]mmm-yy"))</f>
        <v>JANV.-YY</v>
      </c>
      <c r="I4" s="10" t="str">
        <f>UPPER(TEXT(DATE(AnnéeDébutAnnéeFiscale,FYMonthNo+5,1),"[$-40C]mmm-yy"))</f>
        <v>FÉVR.-YY</v>
      </c>
      <c r="J4" s="10" t="str">
        <f>UPPER(TEXT(DATE(AnnéeDébutAnnéeFiscale,FYMonthNo+6,1),"[$-40C]mmm-yy"))</f>
        <v>MARS-YY</v>
      </c>
      <c r="K4" s="10" t="str">
        <f>UPPER(TEXT(DATE(AnnéeDébutAnnéeFiscale,FYMonthNo+7,1),"[$-40C]mmm-yy"))</f>
        <v>AVR.-YY</v>
      </c>
      <c r="L4" s="10" t="str">
        <f>UPPER(TEXT(DATE(AnnéeDébutAnnéeFiscale,FYMonthNo+8,1),"[$-40C]mmm-yy"))</f>
        <v>MAI-YY</v>
      </c>
      <c r="M4" s="10" t="str">
        <f>UPPER(TEXT(DATE(AnnéeDébutAnnéeFiscale,FYMonthNo+9,1),"[$-40C]mmm-yy"))</f>
        <v>JUIN-YY</v>
      </c>
      <c r="N4" s="10" t="str">
        <f>UPPER(TEXT(DATE(AnnéeDébutAnnéeFiscale,FYMonthNo+10,1),"[$-40C]mmm-yy"))</f>
        <v>JUIL.-YY</v>
      </c>
      <c r="O4" s="10" t="str">
        <f>UPPER(TEXT(DATE(AnnéeDébutAnnéeFiscale,FYMonthNo+11,1),"[$-40C]mmm-yy"))</f>
        <v>AOÛT-YY</v>
      </c>
      <c r="P4" s="5" t="s">
        <v>31</v>
      </c>
      <c r="Q4" s="5" t="s">
        <v>30</v>
      </c>
      <c r="R4" s="5" t="str">
        <f>LEFT(D4,1)&amp;" %"</f>
        <v>S %</v>
      </c>
      <c r="S4" s="5" t="str">
        <f t="shared" ref="S4:AC4" si="0">LEFT(E4,1)&amp;" %"</f>
        <v>O %</v>
      </c>
      <c r="T4" s="5" t="str">
        <f t="shared" si="0"/>
        <v>N %</v>
      </c>
      <c r="U4" s="5" t="str">
        <f t="shared" si="0"/>
        <v>D %</v>
      </c>
      <c r="V4" s="5" t="str">
        <f t="shared" si="0"/>
        <v>J %</v>
      </c>
      <c r="W4" s="5" t="str">
        <f t="shared" si="0"/>
        <v>F %</v>
      </c>
      <c r="X4" s="5" t="str">
        <f t="shared" si="0"/>
        <v>M %</v>
      </c>
      <c r="Y4" s="5" t="str">
        <f t="shared" si="0"/>
        <v>A %</v>
      </c>
      <c r="Z4" s="5" t="str">
        <f t="shared" si="0"/>
        <v>M %</v>
      </c>
      <c r="AA4" s="5" t="str">
        <f t="shared" si="0"/>
        <v>J %</v>
      </c>
      <c r="AB4" s="5" t="str">
        <f t="shared" si="0"/>
        <v>J %</v>
      </c>
      <c r="AC4" s="5" t="str">
        <f t="shared" si="0"/>
        <v>A %</v>
      </c>
      <c r="AD4" s="5" t="s">
        <v>32</v>
      </c>
    </row>
    <row r="5" spans="1:30" ht="6" customHeight="1" x14ac:dyDescent="0.25">
      <c r="B5" s="32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ht="18" customHeight="1" x14ac:dyDescent="0.3">
      <c r="B6" s="67" t="s">
        <v>45</v>
      </c>
      <c r="C6" s="68" t="s">
        <v>27</v>
      </c>
      <c r="D6" s="69" t="s">
        <v>0</v>
      </c>
      <c r="E6" s="69" t="s">
        <v>1</v>
      </c>
      <c r="F6" s="69" t="s">
        <v>2</v>
      </c>
      <c r="G6" s="69" t="s">
        <v>3</v>
      </c>
      <c r="H6" s="69" t="s">
        <v>4</v>
      </c>
      <c r="I6" s="69" t="s">
        <v>5</v>
      </c>
      <c r="J6" s="69" t="s">
        <v>6</v>
      </c>
      <c r="K6" s="69" t="s">
        <v>7</v>
      </c>
      <c r="L6" s="69" t="s">
        <v>8</v>
      </c>
      <c r="M6" s="69" t="s">
        <v>9</v>
      </c>
      <c r="N6" s="69" t="s">
        <v>10</v>
      </c>
      <c r="O6" s="69" t="s">
        <v>11</v>
      </c>
      <c r="P6" s="69" t="s">
        <v>26</v>
      </c>
      <c r="Q6" s="70" t="s">
        <v>24</v>
      </c>
      <c r="R6" s="70" t="s">
        <v>12</v>
      </c>
      <c r="S6" s="70" t="s">
        <v>13</v>
      </c>
      <c r="T6" s="70" t="s">
        <v>14</v>
      </c>
      <c r="U6" s="70" t="s">
        <v>15</v>
      </c>
      <c r="V6" s="70" t="s">
        <v>16</v>
      </c>
      <c r="W6" s="70" t="s">
        <v>17</v>
      </c>
      <c r="X6" s="70" t="s">
        <v>18</v>
      </c>
      <c r="Y6" s="70" t="s">
        <v>19</v>
      </c>
      <c r="Z6" s="70" t="s">
        <v>20</v>
      </c>
      <c r="AA6" s="70" t="s">
        <v>21</v>
      </c>
      <c r="AB6" s="70" t="s">
        <v>22</v>
      </c>
      <c r="AC6" s="70" t="s">
        <v>23</v>
      </c>
      <c r="AD6" s="69" t="s">
        <v>25</v>
      </c>
    </row>
    <row r="7" spans="1:30" ht="18" customHeight="1" x14ac:dyDescent="0.25">
      <c r="A7" s="62" t="s">
        <v>53</v>
      </c>
      <c r="B7" s="71" t="s">
        <v>33</v>
      </c>
      <c r="C7" s="72"/>
      <c r="D7" s="73">
        <v>300</v>
      </c>
      <c r="E7" s="74">
        <v>300</v>
      </c>
      <c r="F7" s="75">
        <v>300</v>
      </c>
      <c r="G7" s="75">
        <v>300</v>
      </c>
      <c r="H7" s="75">
        <v>300</v>
      </c>
      <c r="I7" s="75">
        <v>300</v>
      </c>
      <c r="J7" s="75">
        <v>300</v>
      </c>
      <c r="K7" s="75">
        <v>300</v>
      </c>
      <c r="L7" s="75">
        <v>300</v>
      </c>
      <c r="M7" s="75">
        <v>300</v>
      </c>
      <c r="N7" s="75">
        <v>300</v>
      </c>
      <c r="O7" s="75">
        <v>300</v>
      </c>
      <c r="P7" s="76">
        <f>SUM('Prévisions 2014-2015 (2)'!$D7:$O7)</f>
        <v>3600</v>
      </c>
      <c r="Q7" s="77">
        <v>0.12</v>
      </c>
      <c r="R7" s="78">
        <f>IFERROR('Prévisions 2014-2015 (2)'!$D7/'Prévisions 2014-2015 (2)'!$D$25,"-")</f>
        <v>3.2967032967032968E-2</v>
      </c>
      <c r="S7" s="79">
        <f>IFERROR('Prévisions 2014-2015 (2)'!$E7/'Prévisions 2014-2015 (2)'!$E$25,"-")</f>
        <v>3.9473684210526314E-2</v>
      </c>
      <c r="T7" s="79">
        <f>IFERROR('Prévisions 2014-2015 (2)'!$F7/'Prévisions 2014-2015 (2)'!$F$25,"-")</f>
        <v>3.0303030303030304E-2</v>
      </c>
      <c r="U7" s="79">
        <f>IFERROR('Prévisions 2014-2015 (2)'!$G7/'Prévisions 2014-2015 (2)'!$G$25,"-")</f>
        <v>5.5555555555555552E-2</v>
      </c>
      <c r="V7" s="79">
        <f>IFERROR('Prévisions 2014-2015 (2)'!$H7/'Prévisions 2014-2015 (2)'!$H$25,"-")</f>
        <v>2.4193548387096774E-2</v>
      </c>
      <c r="W7" s="79">
        <f>IFERROR('Prévisions 2014-2015 (2)'!$I7/'Prévisions 2014-2015 (2)'!$I$25,"-")</f>
        <v>1.8404907975460124E-2</v>
      </c>
      <c r="X7" s="79">
        <f>IFERROR('Prévisions 2014-2015 (2)'!$J7/'Prévisions 2014-2015 (2)'!$J$25,"-")</f>
        <v>2.5862068965517241E-2</v>
      </c>
      <c r="Y7" s="79">
        <f>IFERROR('Prévisions 2014-2015 (2)'!$K7/'Prévisions 2014-2015 (2)'!$K$25,"-")</f>
        <v>2.9702970297029702E-2</v>
      </c>
      <c r="Z7" s="79">
        <f>IFERROR('Prévisions 2014-2015 (2)'!$L7/'Prévisions 2014-2015 (2)'!$L$25,"-")</f>
        <v>2.4193548387096774E-2</v>
      </c>
      <c r="AA7" s="79">
        <f>IFERROR('Prévisions 2014-2015 (2)'!$M7/'Prévisions 2014-2015 (2)'!$M$25,"-")</f>
        <v>2.3255813953488372E-2</v>
      </c>
      <c r="AB7" s="79">
        <f>IFERROR('Prévisions 2014-2015 (2)'!$N7/'Prévisions 2014-2015 (2)'!$N$25,"-")</f>
        <v>3.5714285714285712E-2</v>
      </c>
      <c r="AC7" s="79">
        <f>IFERROR('Prévisions 2014-2015 (2)'!$O7/'Prévisions 2014-2015 (2)'!$O$25,"-")</f>
        <v>3.5714285714285712E-2</v>
      </c>
      <c r="AD7" s="80">
        <f>IFERROR('Prévisions 2014-2015 (2)'!$P7/'Prévisions 2014-2015 (2)'!$P$25,"-")</f>
        <v>2.891566265060241E-2</v>
      </c>
    </row>
    <row r="8" spans="1:30" ht="18" customHeight="1" x14ac:dyDescent="0.25">
      <c r="A8" s="63"/>
      <c r="B8" s="81" t="s">
        <v>34</v>
      </c>
      <c r="C8" s="72"/>
      <c r="D8" s="82">
        <v>500</v>
      </c>
      <c r="E8" s="83">
        <v>500</v>
      </c>
      <c r="F8" s="84">
        <v>500</v>
      </c>
      <c r="G8" s="83">
        <v>500</v>
      </c>
      <c r="H8" s="83">
        <v>500</v>
      </c>
      <c r="I8" s="83">
        <v>500</v>
      </c>
      <c r="J8" s="83">
        <v>500</v>
      </c>
      <c r="K8" s="83">
        <v>500</v>
      </c>
      <c r="L8" s="83">
        <v>500</v>
      </c>
      <c r="M8" s="83">
        <v>500</v>
      </c>
      <c r="N8" s="83">
        <v>500</v>
      </c>
      <c r="O8" s="83">
        <v>500</v>
      </c>
      <c r="P8" s="76">
        <f>SUM('Prévisions 2014-2015 (2)'!$D8:$O8)</f>
        <v>6000</v>
      </c>
      <c r="Q8" s="85">
        <v>0.18</v>
      </c>
      <c r="R8" s="78">
        <f>IFERROR('Prévisions 2014-2015 (2)'!$D8/'Prévisions 2014-2015 (2)'!$D$25,"-")</f>
        <v>5.4945054945054944E-2</v>
      </c>
      <c r="S8" s="86">
        <f>IFERROR('Prévisions 2014-2015 (2)'!$E8/'Prévisions 2014-2015 (2)'!$E$25,"-")</f>
        <v>6.5789473684210523E-2</v>
      </c>
      <c r="T8" s="86">
        <f>IFERROR('Prévisions 2014-2015 (2)'!$F8/'Prévisions 2014-2015 (2)'!$F$25,"-")</f>
        <v>5.0505050505050504E-2</v>
      </c>
      <c r="U8" s="86">
        <f>IFERROR('Prévisions 2014-2015 (2)'!$G8/'Prévisions 2014-2015 (2)'!$G$25,"-")</f>
        <v>9.2592592592592587E-2</v>
      </c>
      <c r="V8" s="86">
        <f>IFERROR('Prévisions 2014-2015 (2)'!$H8/'Prévisions 2014-2015 (2)'!$H$25,"-")</f>
        <v>4.0322580645161289E-2</v>
      </c>
      <c r="W8" s="86">
        <f>IFERROR('Prévisions 2014-2015 (2)'!$I8/'Prévisions 2014-2015 (2)'!$I$25,"-")</f>
        <v>3.0674846625766871E-2</v>
      </c>
      <c r="X8" s="86">
        <f>IFERROR('Prévisions 2014-2015 (2)'!$J8/'Prévisions 2014-2015 (2)'!$J$25,"-")</f>
        <v>4.3103448275862072E-2</v>
      </c>
      <c r="Y8" s="86">
        <f>IFERROR('Prévisions 2014-2015 (2)'!$K8/'Prévisions 2014-2015 (2)'!$K$25,"-")</f>
        <v>4.9504950495049507E-2</v>
      </c>
      <c r="Z8" s="86">
        <f>IFERROR('Prévisions 2014-2015 (2)'!$L8/'Prévisions 2014-2015 (2)'!$L$25,"-")</f>
        <v>4.0322580645161289E-2</v>
      </c>
      <c r="AA8" s="86">
        <f>IFERROR('Prévisions 2014-2015 (2)'!$M8/'Prévisions 2014-2015 (2)'!$M$25,"-")</f>
        <v>3.875968992248062E-2</v>
      </c>
      <c r="AB8" s="86">
        <f>IFERROR('Prévisions 2014-2015 (2)'!$N8/'Prévisions 2014-2015 (2)'!$N$25,"-")</f>
        <v>5.9523809523809521E-2</v>
      </c>
      <c r="AC8" s="86">
        <f>IFERROR('Prévisions 2014-2015 (2)'!$O8/'Prévisions 2014-2015 (2)'!$O$25,"-")</f>
        <v>5.9523809523809521E-2</v>
      </c>
      <c r="AD8" s="87">
        <f>IFERROR('Prévisions 2014-2015 (2)'!$P8/'Prévisions 2014-2015 (2)'!$P$25,"-")</f>
        <v>4.8192771084337352E-2</v>
      </c>
    </row>
    <row r="9" spans="1:30" ht="18" customHeight="1" x14ac:dyDescent="0.25">
      <c r="A9" s="63"/>
      <c r="B9" s="88" t="s">
        <v>35</v>
      </c>
      <c r="C9" s="72"/>
      <c r="D9" s="82">
        <v>300</v>
      </c>
      <c r="E9" s="89">
        <v>300</v>
      </c>
      <c r="F9" s="89">
        <v>300</v>
      </c>
      <c r="G9" s="90">
        <v>300</v>
      </c>
      <c r="H9" s="89">
        <v>300</v>
      </c>
      <c r="I9" s="89">
        <v>300</v>
      </c>
      <c r="J9" s="89">
        <v>300</v>
      </c>
      <c r="K9" s="89">
        <v>300</v>
      </c>
      <c r="L9" s="89">
        <v>300</v>
      </c>
      <c r="M9" s="89">
        <v>300</v>
      </c>
      <c r="N9" s="89">
        <v>300</v>
      </c>
      <c r="O9" s="89">
        <v>300</v>
      </c>
      <c r="P9" s="76">
        <f>SUM('Prévisions 2014-2015 (2)'!$D9:$O9)</f>
        <v>3600</v>
      </c>
      <c r="Q9" s="85">
        <v>0.19</v>
      </c>
      <c r="R9" s="78">
        <f>IFERROR('Prévisions 2014-2015 (2)'!$D9/'Prévisions 2014-2015 (2)'!$D$25,"-")</f>
        <v>3.2967032967032968E-2</v>
      </c>
      <c r="S9" s="79">
        <f>IFERROR('Prévisions 2014-2015 (2)'!$E9/'Prévisions 2014-2015 (2)'!$E$25,"-")</f>
        <v>3.9473684210526314E-2</v>
      </c>
      <c r="T9" s="79">
        <f>IFERROR('Prévisions 2014-2015 (2)'!$F9/'Prévisions 2014-2015 (2)'!$F$25,"-")</f>
        <v>3.0303030303030304E-2</v>
      </c>
      <c r="U9" s="79">
        <f>IFERROR('Prévisions 2014-2015 (2)'!$G9/'Prévisions 2014-2015 (2)'!$G$25,"-")</f>
        <v>5.5555555555555552E-2</v>
      </c>
      <c r="V9" s="79">
        <f>IFERROR('Prévisions 2014-2015 (2)'!$H9/'Prévisions 2014-2015 (2)'!$H$25,"-")</f>
        <v>2.4193548387096774E-2</v>
      </c>
      <c r="W9" s="79">
        <f>IFERROR('Prévisions 2014-2015 (2)'!$I9/'Prévisions 2014-2015 (2)'!$I$25,"-")</f>
        <v>1.8404907975460124E-2</v>
      </c>
      <c r="X9" s="79">
        <f>IFERROR('Prévisions 2014-2015 (2)'!$J9/'Prévisions 2014-2015 (2)'!$J$25,"-")</f>
        <v>2.5862068965517241E-2</v>
      </c>
      <c r="Y9" s="79">
        <f>IFERROR('Prévisions 2014-2015 (2)'!$K9/'Prévisions 2014-2015 (2)'!$K$25,"-")</f>
        <v>2.9702970297029702E-2</v>
      </c>
      <c r="Z9" s="79">
        <f>IFERROR('Prévisions 2014-2015 (2)'!$L9/'Prévisions 2014-2015 (2)'!$L$25,"-")</f>
        <v>2.4193548387096774E-2</v>
      </c>
      <c r="AA9" s="79">
        <f>IFERROR('Prévisions 2014-2015 (2)'!$M9/'Prévisions 2014-2015 (2)'!$M$25,"-")</f>
        <v>2.3255813953488372E-2</v>
      </c>
      <c r="AB9" s="79">
        <f>IFERROR('Prévisions 2014-2015 (2)'!$N9/'Prévisions 2014-2015 (2)'!$N$25,"-")</f>
        <v>3.5714285714285712E-2</v>
      </c>
      <c r="AC9" s="79">
        <f>IFERROR('Prévisions 2014-2015 (2)'!$O9/'Prévisions 2014-2015 (2)'!$O$25,"-")</f>
        <v>3.5714285714285712E-2</v>
      </c>
      <c r="AD9" s="80">
        <f>IFERROR('Prévisions 2014-2015 (2)'!$P9/'Prévisions 2014-2015 (2)'!$P$25,"-")</f>
        <v>2.891566265060241E-2</v>
      </c>
    </row>
    <row r="10" spans="1:30" ht="18" customHeight="1" x14ac:dyDescent="0.25">
      <c r="A10" s="63"/>
      <c r="B10" s="81" t="s">
        <v>36</v>
      </c>
      <c r="C10" s="72"/>
      <c r="D10" s="82">
        <v>500</v>
      </c>
      <c r="E10" s="83">
        <v>500</v>
      </c>
      <c r="F10" s="83">
        <v>500</v>
      </c>
      <c r="G10" s="83">
        <v>500</v>
      </c>
      <c r="H10" s="84">
        <v>500</v>
      </c>
      <c r="I10" s="83">
        <v>500</v>
      </c>
      <c r="J10" s="83">
        <v>500</v>
      </c>
      <c r="K10" s="83">
        <v>500</v>
      </c>
      <c r="L10" s="83">
        <v>500</v>
      </c>
      <c r="M10" s="83">
        <v>500</v>
      </c>
      <c r="N10" s="83">
        <v>500</v>
      </c>
      <c r="O10" s="83">
        <v>500</v>
      </c>
      <c r="P10" s="76">
        <f>SUM('Prévisions 2014-2015 (2)'!$D10:$O10)</f>
        <v>6000</v>
      </c>
      <c r="Q10" s="85">
        <v>0.11</v>
      </c>
      <c r="R10" s="78">
        <f>IFERROR('Prévisions 2014-2015 (2)'!$D10/'Prévisions 2014-2015 (2)'!$D$25,"-")</f>
        <v>5.4945054945054944E-2</v>
      </c>
      <c r="S10" s="86">
        <f>IFERROR('Prévisions 2014-2015 (2)'!$E10/'Prévisions 2014-2015 (2)'!$E$25,"-")</f>
        <v>6.5789473684210523E-2</v>
      </c>
      <c r="T10" s="86">
        <f>IFERROR('Prévisions 2014-2015 (2)'!$F10/'Prévisions 2014-2015 (2)'!$F$25,"-")</f>
        <v>5.0505050505050504E-2</v>
      </c>
      <c r="U10" s="86">
        <f>IFERROR('Prévisions 2014-2015 (2)'!$G10/'Prévisions 2014-2015 (2)'!$G$25,"-")</f>
        <v>9.2592592592592587E-2</v>
      </c>
      <c r="V10" s="86">
        <f>IFERROR('Prévisions 2014-2015 (2)'!$H10/'Prévisions 2014-2015 (2)'!$H$25,"-")</f>
        <v>4.0322580645161289E-2</v>
      </c>
      <c r="W10" s="86">
        <f>IFERROR('Prévisions 2014-2015 (2)'!$I10/'Prévisions 2014-2015 (2)'!$I$25,"-")</f>
        <v>3.0674846625766871E-2</v>
      </c>
      <c r="X10" s="86">
        <f>IFERROR('Prévisions 2014-2015 (2)'!$J10/'Prévisions 2014-2015 (2)'!$J$25,"-")</f>
        <v>4.3103448275862072E-2</v>
      </c>
      <c r="Y10" s="86">
        <f>IFERROR('Prévisions 2014-2015 (2)'!$K10/'Prévisions 2014-2015 (2)'!$K$25,"-")</f>
        <v>4.9504950495049507E-2</v>
      </c>
      <c r="Z10" s="86">
        <f>IFERROR('Prévisions 2014-2015 (2)'!$L10/'Prévisions 2014-2015 (2)'!$L$25,"-")</f>
        <v>4.0322580645161289E-2</v>
      </c>
      <c r="AA10" s="86">
        <f>IFERROR('Prévisions 2014-2015 (2)'!$M10/'Prévisions 2014-2015 (2)'!$M$25,"-")</f>
        <v>3.875968992248062E-2</v>
      </c>
      <c r="AB10" s="86">
        <f>IFERROR('Prévisions 2014-2015 (2)'!$N10/'Prévisions 2014-2015 (2)'!$N$25,"-")</f>
        <v>5.9523809523809521E-2</v>
      </c>
      <c r="AC10" s="86">
        <f>IFERROR('Prévisions 2014-2015 (2)'!$O10/'Prévisions 2014-2015 (2)'!$O$25,"-")</f>
        <v>5.9523809523809521E-2</v>
      </c>
      <c r="AD10" s="87">
        <f>IFERROR('Prévisions 2014-2015 (2)'!$P10/'Prévisions 2014-2015 (2)'!$P$25,"-")</f>
        <v>4.8192771084337352E-2</v>
      </c>
    </row>
    <row r="11" spans="1:30" ht="18" customHeight="1" x14ac:dyDescent="0.25">
      <c r="A11" s="63"/>
      <c r="B11" s="88" t="s">
        <v>37</v>
      </c>
      <c r="C11" s="72"/>
      <c r="D11" s="82">
        <v>300</v>
      </c>
      <c r="E11" s="89">
        <v>300</v>
      </c>
      <c r="F11" s="89">
        <v>300</v>
      </c>
      <c r="G11" s="89">
        <v>300</v>
      </c>
      <c r="H11" s="89">
        <v>300</v>
      </c>
      <c r="I11" s="90">
        <v>300</v>
      </c>
      <c r="J11" s="89">
        <v>300</v>
      </c>
      <c r="K11" s="89">
        <v>300</v>
      </c>
      <c r="L11" s="89">
        <v>300</v>
      </c>
      <c r="M11" s="89">
        <v>300</v>
      </c>
      <c r="N11" s="89">
        <v>300</v>
      </c>
      <c r="O11" s="89">
        <v>300</v>
      </c>
      <c r="P11" s="76">
        <f>SUM('Prévisions 2014-2015 (2)'!$D11:$O11)</f>
        <v>3600</v>
      </c>
      <c r="Q11" s="85">
        <v>0.2</v>
      </c>
      <c r="R11" s="78">
        <f>IFERROR('Prévisions 2014-2015 (2)'!$D11/'Prévisions 2014-2015 (2)'!$D$25,"-")</f>
        <v>3.2967032967032968E-2</v>
      </c>
      <c r="S11" s="79">
        <f>IFERROR('Prévisions 2014-2015 (2)'!$E11/'Prévisions 2014-2015 (2)'!$E$25,"-")</f>
        <v>3.9473684210526314E-2</v>
      </c>
      <c r="T11" s="79">
        <f>IFERROR('Prévisions 2014-2015 (2)'!$F11/'Prévisions 2014-2015 (2)'!$F$25,"-")</f>
        <v>3.0303030303030304E-2</v>
      </c>
      <c r="U11" s="79">
        <f>IFERROR('Prévisions 2014-2015 (2)'!$G11/'Prévisions 2014-2015 (2)'!$G$25,"-")</f>
        <v>5.5555555555555552E-2</v>
      </c>
      <c r="V11" s="79">
        <f>IFERROR('Prévisions 2014-2015 (2)'!$H11/'Prévisions 2014-2015 (2)'!$H$25,"-")</f>
        <v>2.4193548387096774E-2</v>
      </c>
      <c r="W11" s="79">
        <f>IFERROR('Prévisions 2014-2015 (2)'!$I11/'Prévisions 2014-2015 (2)'!$I$25,"-")</f>
        <v>1.8404907975460124E-2</v>
      </c>
      <c r="X11" s="79">
        <f>IFERROR('Prévisions 2014-2015 (2)'!$J11/'Prévisions 2014-2015 (2)'!$J$25,"-")</f>
        <v>2.5862068965517241E-2</v>
      </c>
      <c r="Y11" s="79">
        <f>IFERROR('Prévisions 2014-2015 (2)'!$K11/'Prévisions 2014-2015 (2)'!$K$25,"-")</f>
        <v>2.9702970297029702E-2</v>
      </c>
      <c r="Z11" s="79">
        <f>IFERROR('Prévisions 2014-2015 (2)'!$L11/'Prévisions 2014-2015 (2)'!$L$25,"-")</f>
        <v>2.4193548387096774E-2</v>
      </c>
      <c r="AA11" s="79">
        <f>IFERROR('Prévisions 2014-2015 (2)'!$M11/'Prévisions 2014-2015 (2)'!$M$25,"-")</f>
        <v>2.3255813953488372E-2</v>
      </c>
      <c r="AB11" s="79">
        <f>IFERROR('Prévisions 2014-2015 (2)'!$N11/'Prévisions 2014-2015 (2)'!$N$25,"-")</f>
        <v>3.5714285714285712E-2</v>
      </c>
      <c r="AC11" s="79">
        <f>IFERROR('Prévisions 2014-2015 (2)'!$O11/'Prévisions 2014-2015 (2)'!$O$25,"-")</f>
        <v>3.5714285714285712E-2</v>
      </c>
      <c r="AD11" s="80">
        <f>IFERROR('Prévisions 2014-2015 (2)'!$P11/'Prévisions 2014-2015 (2)'!$P$25,"-")</f>
        <v>2.891566265060241E-2</v>
      </c>
    </row>
    <row r="12" spans="1:30" ht="18" customHeight="1" x14ac:dyDescent="0.25">
      <c r="A12" s="63"/>
      <c r="B12" s="81" t="s">
        <v>38</v>
      </c>
      <c r="C12" s="72"/>
      <c r="D12" s="82">
        <v>500</v>
      </c>
      <c r="E12" s="83">
        <v>500</v>
      </c>
      <c r="F12" s="83">
        <v>500</v>
      </c>
      <c r="G12" s="83">
        <v>500</v>
      </c>
      <c r="H12" s="83">
        <v>500</v>
      </c>
      <c r="I12" s="83">
        <v>500</v>
      </c>
      <c r="J12" s="84">
        <v>500</v>
      </c>
      <c r="K12" s="83">
        <v>500</v>
      </c>
      <c r="L12" s="83">
        <v>500</v>
      </c>
      <c r="M12" s="83">
        <v>500</v>
      </c>
      <c r="N12" s="83">
        <v>500</v>
      </c>
      <c r="O12" s="83">
        <v>500</v>
      </c>
      <c r="P12" s="76">
        <f>SUM('Prévisions 2014-2015 (2)'!$D12:$O12)</f>
        <v>6000</v>
      </c>
      <c r="Q12" s="85">
        <v>0.1</v>
      </c>
      <c r="R12" s="78">
        <f>IFERROR('Prévisions 2014-2015 (2)'!$D12/'Prévisions 2014-2015 (2)'!$D$25,"-")</f>
        <v>5.4945054945054944E-2</v>
      </c>
      <c r="S12" s="86">
        <f>IFERROR('Prévisions 2014-2015 (2)'!$E12/'Prévisions 2014-2015 (2)'!$E$25,"-")</f>
        <v>6.5789473684210523E-2</v>
      </c>
      <c r="T12" s="86">
        <f>IFERROR('Prévisions 2014-2015 (2)'!$F12/'Prévisions 2014-2015 (2)'!$F$25,"-")</f>
        <v>5.0505050505050504E-2</v>
      </c>
      <c r="U12" s="86">
        <f>IFERROR('Prévisions 2014-2015 (2)'!$G12/'Prévisions 2014-2015 (2)'!$G$25,"-")</f>
        <v>9.2592592592592587E-2</v>
      </c>
      <c r="V12" s="86">
        <f>IFERROR('Prévisions 2014-2015 (2)'!$H12/'Prévisions 2014-2015 (2)'!$H$25,"-")</f>
        <v>4.0322580645161289E-2</v>
      </c>
      <c r="W12" s="86">
        <f>IFERROR('Prévisions 2014-2015 (2)'!$I12/'Prévisions 2014-2015 (2)'!$I$25,"-")</f>
        <v>3.0674846625766871E-2</v>
      </c>
      <c r="X12" s="86">
        <f>IFERROR('Prévisions 2014-2015 (2)'!$J12/'Prévisions 2014-2015 (2)'!$J$25,"-")</f>
        <v>4.3103448275862072E-2</v>
      </c>
      <c r="Y12" s="86">
        <f>IFERROR('Prévisions 2014-2015 (2)'!$K12/'Prévisions 2014-2015 (2)'!$K$25,"-")</f>
        <v>4.9504950495049507E-2</v>
      </c>
      <c r="Z12" s="86">
        <f>IFERROR('Prévisions 2014-2015 (2)'!$L12/'Prévisions 2014-2015 (2)'!$L$25,"-")</f>
        <v>4.0322580645161289E-2</v>
      </c>
      <c r="AA12" s="86">
        <f>IFERROR('Prévisions 2014-2015 (2)'!$M12/'Prévisions 2014-2015 (2)'!$M$25,"-")</f>
        <v>3.875968992248062E-2</v>
      </c>
      <c r="AB12" s="86">
        <f>IFERROR('Prévisions 2014-2015 (2)'!$N12/'Prévisions 2014-2015 (2)'!$N$25,"-")</f>
        <v>5.9523809523809521E-2</v>
      </c>
      <c r="AC12" s="86">
        <f>IFERROR('Prévisions 2014-2015 (2)'!$O12/'Prévisions 2014-2015 (2)'!$O$25,"-")</f>
        <v>5.9523809523809521E-2</v>
      </c>
      <c r="AD12" s="87">
        <f>IFERROR('Prévisions 2014-2015 (2)'!$P12/'Prévisions 2014-2015 (2)'!$P$25,"-")</f>
        <v>4.8192771084337352E-2</v>
      </c>
    </row>
    <row r="13" spans="1:30" ht="18" customHeight="1" x14ac:dyDescent="0.25">
      <c r="A13" s="63"/>
      <c r="B13" s="91" t="s">
        <v>39</v>
      </c>
      <c r="C13" s="72"/>
      <c r="D13" s="82">
        <v>700</v>
      </c>
      <c r="E13" s="89">
        <v>700</v>
      </c>
      <c r="F13" s="89">
        <v>700</v>
      </c>
      <c r="G13" s="89">
        <v>700</v>
      </c>
      <c r="H13" s="89">
        <v>700</v>
      </c>
      <c r="I13" s="89">
        <v>700</v>
      </c>
      <c r="J13" s="89">
        <v>700</v>
      </c>
      <c r="K13" s="90">
        <v>700</v>
      </c>
      <c r="L13" s="90">
        <v>700</v>
      </c>
      <c r="M13" s="89">
        <v>700</v>
      </c>
      <c r="N13" s="89">
        <v>700</v>
      </c>
      <c r="O13" s="89">
        <v>700</v>
      </c>
      <c r="P13" s="76">
        <f>SUM('Prévisions 2014-2015 (2)'!$D13:$O13)</f>
        <v>8400</v>
      </c>
      <c r="Q13" s="85">
        <v>0.1</v>
      </c>
      <c r="R13" s="92">
        <f>IFERROR('Prévisions 2014-2015 (2)'!$D13/'Prévisions 2014-2015 (2)'!$D$25,"-")</f>
        <v>7.6923076923076927E-2</v>
      </c>
      <c r="S13" s="79">
        <f>IFERROR('Prévisions 2014-2015 (2)'!$E13/'Prévisions 2014-2015 (2)'!$E$25,"-")</f>
        <v>9.2105263157894732E-2</v>
      </c>
      <c r="T13" s="79">
        <f>IFERROR('Prévisions 2014-2015 (2)'!$F13/'Prévisions 2014-2015 (2)'!$F$25,"-")</f>
        <v>7.0707070707070704E-2</v>
      </c>
      <c r="U13" s="79">
        <f>IFERROR('Prévisions 2014-2015 (2)'!$G13/'Prévisions 2014-2015 (2)'!$G$25,"-")</f>
        <v>0.12962962962962962</v>
      </c>
      <c r="V13" s="79">
        <f>IFERROR('Prévisions 2014-2015 (2)'!$H13/'Prévisions 2014-2015 (2)'!$H$25,"-")</f>
        <v>5.6451612903225805E-2</v>
      </c>
      <c r="W13" s="79">
        <f>IFERROR('Prévisions 2014-2015 (2)'!$I13/'Prévisions 2014-2015 (2)'!$I$25,"-")</f>
        <v>4.2944785276073622E-2</v>
      </c>
      <c r="X13" s="79">
        <f>IFERROR('Prévisions 2014-2015 (2)'!$J13/'Prévisions 2014-2015 (2)'!$J$25,"-")</f>
        <v>6.0344827586206899E-2</v>
      </c>
      <c r="Y13" s="79">
        <f>IFERROR('Prévisions 2014-2015 (2)'!$K13/'Prévisions 2014-2015 (2)'!$K$25,"-")</f>
        <v>6.9306930693069313E-2</v>
      </c>
      <c r="Z13" s="79">
        <f>IFERROR('Prévisions 2014-2015 (2)'!$L13/'Prévisions 2014-2015 (2)'!$L$25,"-")</f>
        <v>5.6451612903225805E-2</v>
      </c>
      <c r="AA13" s="79">
        <f>IFERROR('Prévisions 2014-2015 (2)'!$M13/'Prévisions 2014-2015 (2)'!$M$25,"-")</f>
        <v>5.4263565891472867E-2</v>
      </c>
      <c r="AB13" s="79">
        <f>IFERROR('Prévisions 2014-2015 (2)'!$N13/'Prévisions 2014-2015 (2)'!$N$25,"-")</f>
        <v>8.3333333333333329E-2</v>
      </c>
      <c r="AC13" s="79">
        <f>IFERROR('Prévisions 2014-2015 (2)'!$O13/'Prévisions 2014-2015 (2)'!$O$25,"-")</f>
        <v>8.3333333333333329E-2</v>
      </c>
      <c r="AD13" s="80">
        <f>IFERROR('Prévisions 2014-2015 (2)'!$P13/'Prévisions 2014-2015 (2)'!$P$25,"-")</f>
        <v>6.746987951807229E-2</v>
      </c>
    </row>
    <row r="14" spans="1:30" ht="18" customHeight="1" x14ac:dyDescent="0.25">
      <c r="A14" s="63"/>
      <c r="B14" s="81" t="s">
        <v>40</v>
      </c>
      <c r="C14" s="72"/>
      <c r="D14" s="82">
        <v>500</v>
      </c>
      <c r="E14" s="83">
        <v>500</v>
      </c>
      <c r="F14" s="83">
        <v>500</v>
      </c>
      <c r="G14" s="83">
        <v>500</v>
      </c>
      <c r="H14" s="83">
        <v>500</v>
      </c>
      <c r="I14" s="83">
        <v>500</v>
      </c>
      <c r="J14" s="83">
        <v>500</v>
      </c>
      <c r="K14" s="83">
        <v>500</v>
      </c>
      <c r="L14" s="83">
        <v>500</v>
      </c>
      <c r="M14" s="84">
        <v>500</v>
      </c>
      <c r="N14" s="83">
        <v>500</v>
      </c>
      <c r="O14" s="83">
        <v>500</v>
      </c>
      <c r="P14" s="76">
        <f>SUM('Prévisions 2014-2015 (2)'!$D14:$O14)</f>
        <v>6000</v>
      </c>
      <c r="Q14" s="85">
        <v>0.1</v>
      </c>
      <c r="R14" s="92">
        <f>IFERROR('Prévisions 2014-2015 (2)'!$D14/'Prévisions 2014-2015 (2)'!$D$25,"-")</f>
        <v>5.4945054945054944E-2</v>
      </c>
      <c r="S14" s="86">
        <f>IFERROR('Prévisions 2014-2015 (2)'!$E14/'Prévisions 2014-2015 (2)'!$E$25,"-")</f>
        <v>6.5789473684210523E-2</v>
      </c>
      <c r="T14" s="86">
        <f>IFERROR('Prévisions 2014-2015 (2)'!$F14/'Prévisions 2014-2015 (2)'!$F$25,"-")</f>
        <v>5.0505050505050504E-2</v>
      </c>
      <c r="U14" s="86">
        <f>IFERROR('Prévisions 2014-2015 (2)'!$G14/'Prévisions 2014-2015 (2)'!$G$25,"-")</f>
        <v>9.2592592592592587E-2</v>
      </c>
      <c r="V14" s="86">
        <f>IFERROR('Prévisions 2014-2015 (2)'!$H14/'Prévisions 2014-2015 (2)'!$H$25,"-")</f>
        <v>4.0322580645161289E-2</v>
      </c>
      <c r="W14" s="86">
        <f>IFERROR('Prévisions 2014-2015 (2)'!$I14/'Prévisions 2014-2015 (2)'!$I$25,"-")</f>
        <v>3.0674846625766871E-2</v>
      </c>
      <c r="X14" s="86">
        <f>IFERROR('Prévisions 2014-2015 (2)'!$J14/'Prévisions 2014-2015 (2)'!$J$25,"-")</f>
        <v>4.3103448275862072E-2</v>
      </c>
      <c r="Y14" s="86">
        <f>IFERROR('Prévisions 2014-2015 (2)'!$K14/'Prévisions 2014-2015 (2)'!$K$25,"-")</f>
        <v>4.9504950495049507E-2</v>
      </c>
      <c r="Z14" s="86">
        <f>IFERROR('Prévisions 2014-2015 (2)'!$L14/'Prévisions 2014-2015 (2)'!$L$25,"-")</f>
        <v>4.0322580645161289E-2</v>
      </c>
      <c r="AA14" s="86">
        <f>IFERROR('Prévisions 2014-2015 (2)'!$M14/'Prévisions 2014-2015 (2)'!$M$25,"-")</f>
        <v>3.875968992248062E-2</v>
      </c>
      <c r="AB14" s="86">
        <f>IFERROR('Prévisions 2014-2015 (2)'!$N14/'Prévisions 2014-2015 (2)'!$N$25,"-")</f>
        <v>5.9523809523809521E-2</v>
      </c>
      <c r="AC14" s="86">
        <f>IFERROR('Prévisions 2014-2015 (2)'!$O14/'Prévisions 2014-2015 (2)'!$O$25,"-")</f>
        <v>5.9523809523809521E-2</v>
      </c>
      <c r="AD14" s="87">
        <f>IFERROR('Prévisions 2014-2015 (2)'!$P14/'Prévisions 2014-2015 (2)'!$P$25,"-")</f>
        <v>4.8192771084337352E-2</v>
      </c>
    </row>
    <row r="15" spans="1:30" ht="18" customHeight="1" x14ac:dyDescent="0.25">
      <c r="A15" s="64"/>
      <c r="B15" s="81" t="s">
        <v>41</v>
      </c>
      <c r="C15" s="72"/>
      <c r="D15" s="82">
        <v>500</v>
      </c>
      <c r="E15" s="89">
        <v>500</v>
      </c>
      <c r="F15" s="89">
        <v>500</v>
      </c>
      <c r="G15" s="89">
        <v>500</v>
      </c>
      <c r="H15" s="89">
        <v>500</v>
      </c>
      <c r="I15" s="89">
        <v>500</v>
      </c>
      <c r="J15" s="89">
        <v>500</v>
      </c>
      <c r="K15" s="89">
        <v>500</v>
      </c>
      <c r="L15" s="89">
        <v>500</v>
      </c>
      <c r="M15" s="89">
        <v>500</v>
      </c>
      <c r="N15" s="90">
        <v>500</v>
      </c>
      <c r="O15" s="89">
        <v>500</v>
      </c>
      <c r="P15" s="76">
        <f>SUM('Prévisions 2014-2015 (2)'!$D15:$O15)</f>
        <v>6000</v>
      </c>
      <c r="Q15" s="85">
        <v>0.1</v>
      </c>
      <c r="R15" s="92">
        <f>IFERROR('Prévisions 2014-2015 (2)'!$D15/'Prévisions 2014-2015 (2)'!$D$25,"-")</f>
        <v>5.4945054945054944E-2</v>
      </c>
      <c r="S15" s="79">
        <f>IFERROR('Prévisions 2014-2015 (2)'!$E15/'Prévisions 2014-2015 (2)'!$E$25,"-")</f>
        <v>6.5789473684210523E-2</v>
      </c>
      <c r="T15" s="79">
        <f>IFERROR('Prévisions 2014-2015 (2)'!$F15/'Prévisions 2014-2015 (2)'!$F$25,"-")</f>
        <v>5.0505050505050504E-2</v>
      </c>
      <c r="U15" s="79">
        <f>IFERROR('Prévisions 2014-2015 (2)'!$G15/'Prévisions 2014-2015 (2)'!$G$25,"-")</f>
        <v>9.2592592592592587E-2</v>
      </c>
      <c r="V15" s="79">
        <f>IFERROR('Prévisions 2014-2015 (2)'!$H15/'Prévisions 2014-2015 (2)'!$H$25,"-")</f>
        <v>4.0322580645161289E-2</v>
      </c>
      <c r="W15" s="79">
        <f>IFERROR('Prévisions 2014-2015 (2)'!$I15/'Prévisions 2014-2015 (2)'!$I$25,"-")</f>
        <v>3.0674846625766871E-2</v>
      </c>
      <c r="X15" s="79">
        <f>IFERROR('Prévisions 2014-2015 (2)'!$J15/'Prévisions 2014-2015 (2)'!$J$25,"-")</f>
        <v>4.3103448275862072E-2</v>
      </c>
      <c r="Y15" s="79">
        <f>IFERROR('Prévisions 2014-2015 (2)'!$K15/'Prévisions 2014-2015 (2)'!$K$25,"-")</f>
        <v>4.9504950495049507E-2</v>
      </c>
      <c r="Z15" s="79">
        <f>IFERROR('Prévisions 2014-2015 (2)'!$L15/'Prévisions 2014-2015 (2)'!$L$25,"-")</f>
        <v>4.0322580645161289E-2</v>
      </c>
      <c r="AA15" s="79">
        <f>IFERROR('Prévisions 2014-2015 (2)'!$M15/'Prévisions 2014-2015 (2)'!$M$25,"-")</f>
        <v>3.875968992248062E-2</v>
      </c>
      <c r="AB15" s="79">
        <f>IFERROR('Prévisions 2014-2015 (2)'!$N15/'Prévisions 2014-2015 (2)'!$N$25,"-")</f>
        <v>5.9523809523809521E-2</v>
      </c>
      <c r="AC15" s="79">
        <f>IFERROR('Prévisions 2014-2015 (2)'!$O15/'Prévisions 2014-2015 (2)'!$O$25,"-")</f>
        <v>5.9523809523809521E-2</v>
      </c>
      <c r="AD15" s="80">
        <f>IFERROR('Prévisions 2014-2015 (2)'!$P15/'Prévisions 2014-2015 (2)'!$P$25,"-")</f>
        <v>4.8192771084337352E-2</v>
      </c>
    </row>
    <row r="16" spans="1:30" ht="18" customHeight="1" x14ac:dyDescent="0.25">
      <c r="A16" s="62" t="s">
        <v>54</v>
      </c>
      <c r="B16" s="81" t="s">
        <v>42</v>
      </c>
      <c r="C16" s="72"/>
      <c r="D16" s="93">
        <v>5000</v>
      </c>
      <c r="E16" s="83">
        <v>500</v>
      </c>
      <c r="F16" s="83">
        <v>500</v>
      </c>
      <c r="G16" s="83">
        <v>500</v>
      </c>
      <c r="H16" s="83">
        <v>500</v>
      </c>
      <c r="I16" s="83">
        <v>500</v>
      </c>
      <c r="J16" s="83">
        <v>500</v>
      </c>
      <c r="K16" s="83">
        <v>500</v>
      </c>
      <c r="L16" s="83">
        <v>500</v>
      </c>
      <c r="M16" s="83">
        <v>500</v>
      </c>
      <c r="N16" s="83">
        <v>500</v>
      </c>
      <c r="O16" s="83">
        <v>500</v>
      </c>
      <c r="P16" s="76">
        <f>SUM('Prévisions 2014-2015 (2)'!$D16:$O16)</f>
        <v>10500</v>
      </c>
      <c r="Q16" s="85">
        <v>0.1</v>
      </c>
      <c r="R16" s="92">
        <f>IFERROR('Prévisions 2014-2015 (2)'!$D16/'Prévisions 2014-2015 (2)'!$D$25,"-")</f>
        <v>0.5494505494505495</v>
      </c>
      <c r="S16" s="86">
        <f>IFERROR('Prévisions 2014-2015 (2)'!$E16/'Prévisions 2014-2015 (2)'!$E$25,"-")</f>
        <v>6.5789473684210523E-2</v>
      </c>
      <c r="T16" s="86">
        <f>IFERROR('Prévisions 2014-2015 (2)'!$F16/'Prévisions 2014-2015 (2)'!$F$25,"-")</f>
        <v>5.0505050505050504E-2</v>
      </c>
      <c r="U16" s="86">
        <f>IFERROR('Prévisions 2014-2015 (2)'!$G16/'Prévisions 2014-2015 (2)'!$G$25,"-")</f>
        <v>9.2592592592592587E-2</v>
      </c>
      <c r="V16" s="86">
        <f>IFERROR('Prévisions 2014-2015 (2)'!$H16/'Prévisions 2014-2015 (2)'!$H$25,"-")</f>
        <v>4.0322580645161289E-2</v>
      </c>
      <c r="W16" s="86">
        <f>IFERROR('Prévisions 2014-2015 (2)'!$I16/'Prévisions 2014-2015 (2)'!$I$25,"-")</f>
        <v>3.0674846625766871E-2</v>
      </c>
      <c r="X16" s="86">
        <f>IFERROR('Prévisions 2014-2015 (2)'!$J16/'Prévisions 2014-2015 (2)'!$J$25,"-")</f>
        <v>4.3103448275862072E-2</v>
      </c>
      <c r="Y16" s="86">
        <f>IFERROR('Prévisions 2014-2015 (2)'!$K16/'Prévisions 2014-2015 (2)'!$K$25,"-")</f>
        <v>4.9504950495049507E-2</v>
      </c>
      <c r="Z16" s="86">
        <f>IFERROR('Prévisions 2014-2015 (2)'!$L16/'Prévisions 2014-2015 (2)'!$L$25,"-")</f>
        <v>4.0322580645161289E-2</v>
      </c>
      <c r="AA16" s="86">
        <f>IFERROR('Prévisions 2014-2015 (2)'!$M16/'Prévisions 2014-2015 (2)'!$M$25,"-")</f>
        <v>3.875968992248062E-2</v>
      </c>
      <c r="AB16" s="86">
        <f>IFERROR('Prévisions 2014-2015 (2)'!$N16/'Prévisions 2014-2015 (2)'!$N$25,"-")</f>
        <v>5.9523809523809521E-2</v>
      </c>
      <c r="AC16" s="86">
        <f>IFERROR('Prévisions 2014-2015 (2)'!$O16/'Prévisions 2014-2015 (2)'!$O$25,"-")</f>
        <v>5.9523809523809521E-2</v>
      </c>
      <c r="AD16" s="87">
        <f>IFERROR('Prévisions 2014-2015 (2)'!$P16/'Prévisions 2014-2015 (2)'!$P$25,"-")</f>
        <v>8.4337349397590355E-2</v>
      </c>
    </row>
    <row r="17" spans="1:30" ht="18" customHeight="1" x14ac:dyDescent="0.25">
      <c r="A17" s="65"/>
      <c r="B17" s="88" t="s">
        <v>43</v>
      </c>
      <c r="C17" s="72"/>
      <c r="D17" s="82">
        <v>0</v>
      </c>
      <c r="E17" s="90">
        <v>3000</v>
      </c>
      <c r="F17" s="89">
        <v>300</v>
      </c>
      <c r="G17" s="89">
        <v>300</v>
      </c>
      <c r="H17" s="89">
        <v>300</v>
      </c>
      <c r="I17" s="89">
        <v>300</v>
      </c>
      <c r="J17" s="89">
        <v>300</v>
      </c>
      <c r="K17" s="89">
        <v>300</v>
      </c>
      <c r="L17" s="89">
        <v>300</v>
      </c>
      <c r="M17" s="89">
        <v>300</v>
      </c>
      <c r="N17" s="89">
        <v>300</v>
      </c>
      <c r="O17" s="89">
        <v>300</v>
      </c>
      <c r="P17" s="76">
        <f>SUM('Prévisions 2014-2015 (2)'!$D17:$O17)</f>
        <v>6000</v>
      </c>
      <c r="Q17" s="85">
        <v>0.1</v>
      </c>
      <c r="R17" s="92">
        <f>IFERROR('Prévisions 2014-2015 (2)'!$D17/'Prévisions 2014-2015 (2)'!$D$25,"-")</f>
        <v>0</v>
      </c>
      <c r="S17" s="79">
        <f>IFERROR('Prévisions 2014-2015 (2)'!$E17/'Prévisions 2014-2015 (2)'!$E$25,"-")</f>
        <v>0.39473684210526316</v>
      </c>
      <c r="T17" s="79">
        <f>IFERROR('Prévisions 2014-2015 (2)'!$F17/'Prévisions 2014-2015 (2)'!$F$25,"-")</f>
        <v>3.0303030303030304E-2</v>
      </c>
      <c r="U17" s="79">
        <f>IFERROR('Prévisions 2014-2015 (2)'!$G17/'Prévisions 2014-2015 (2)'!$G$25,"-")</f>
        <v>5.5555555555555552E-2</v>
      </c>
      <c r="V17" s="79">
        <f>IFERROR('Prévisions 2014-2015 (2)'!$H17/'Prévisions 2014-2015 (2)'!$H$25,"-")</f>
        <v>2.4193548387096774E-2</v>
      </c>
      <c r="W17" s="79">
        <f>IFERROR('Prévisions 2014-2015 (2)'!$I17/'Prévisions 2014-2015 (2)'!$I$25,"-")</f>
        <v>1.8404907975460124E-2</v>
      </c>
      <c r="X17" s="79">
        <f>IFERROR('Prévisions 2014-2015 (2)'!$J17/'Prévisions 2014-2015 (2)'!$J$25,"-")</f>
        <v>2.5862068965517241E-2</v>
      </c>
      <c r="Y17" s="79">
        <f>IFERROR('Prévisions 2014-2015 (2)'!$K17/'Prévisions 2014-2015 (2)'!$K$25,"-")</f>
        <v>2.9702970297029702E-2</v>
      </c>
      <c r="Z17" s="79">
        <f>IFERROR('Prévisions 2014-2015 (2)'!$L17/'Prévisions 2014-2015 (2)'!$L$25,"-")</f>
        <v>2.4193548387096774E-2</v>
      </c>
      <c r="AA17" s="79">
        <f>IFERROR('Prévisions 2014-2015 (2)'!$M17/'Prévisions 2014-2015 (2)'!$M$25,"-")</f>
        <v>2.3255813953488372E-2</v>
      </c>
      <c r="AB17" s="79">
        <f>IFERROR('Prévisions 2014-2015 (2)'!$N17/'Prévisions 2014-2015 (2)'!$N$25,"-")</f>
        <v>3.5714285714285712E-2</v>
      </c>
      <c r="AC17" s="79">
        <f>IFERROR('Prévisions 2014-2015 (2)'!$O17/'Prévisions 2014-2015 (2)'!$O$25,"-")</f>
        <v>3.5714285714285712E-2</v>
      </c>
      <c r="AD17" s="80">
        <f>IFERROR('Prévisions 2014-2015 (2)'!$P17/'Prévisions 2014-2015 (2)'!$P$25,"-")</f>
        <v>4.8192771084337352E-2</v>
      </c>
    </row>
    <row r="18" spans="1:30" ht="18" customHeight="1" x14ac:dyDescent="0.25">
      <c r="A18" s="65"/>
      <c r="B18" s="81" t="s">
        <v>46</v>
      </c>
      <c r="C18" s="72"/>
      <c r="D18" s="82">
        <v>0</v>
      </c>
      <c r="E18" s="83">
        <v>0</v>
      </c>
      <c r="F18" s="84">
        <v>5000</v>
      </c>
      <c r="G18" s="83">
        <v>500</v>
      </c>
      <c r="H18" s="83">
        <v>500</v>
      </c>
      <c r="I18" s="83">
        <v>500</v>
      </c>
      <c r="J18" s="83">
        <v>500</v>
      </c>
      <c r="K18" s="83">
        <v>500</v>
      </c>
      <c r="L18" s="83">
        <v>500</v>
      </c>
      <c r="M18" s="83">
        <v>500</v>
      </c>
      <c r="N18" s="83">
        <v>500</v>
      </c>
      <c r="O18" s="83">
        <v>500</v>
      </c>
      <c r="P18" s="76">
        <f>SUM('Prévisions 2014-2015 (2)'!$D18:$O18)</f>
        <v>9500</v>
      </c>
      <c r="Q18" s="85">
        <v>0.1</v>
      </c>
      <c r="R18" s="92">
        <f>IFERROR('Prévisions 2014-2015 (2)'!$D18/'Prévisions 2014-2015 (2)'!$D$25,"-")</f>
        <v>0</v>
      </c>
      <c r="S18" s="86">
        <f>IFERROR('Prévisions 2014-2015 (2)'!$E18/'Prévisions 2014-2015 (2)'!$E$25,"-")</f>
        <v>0</v>
      </c>
      <c r="T18" s="86">
        <f>IFERROR('Prévisions 2014-2015 (2)'!$F18/'Prévisions 2014-2015 (2)'!$F$25,"-")</f>
        <v>0.50505050505050508</v>
      </c>
      <c r="U18" s="86">
        <f>IFERROR('Prévisions 2014-2015 (2)'!$G18/'Prévisions 2014-2015 (2)'!$G$25,"-")</f>
        <v>9.2592592592592587E-2</v>
      </c>
      <c r="V18" s="86">
        <f>IFERROR('Prévisions 2014-2015 (2)'!$H18/'Prévisions 2014-2015 (2)'!$H$25,"-")</f>
        <v>4.0322580645161289E-2</v>
      </c>
      <c r="W18" s="86">
        <f>IFERROR('Prévisions 2014-2015 (2)'!$I18/'Prévisions 2014-2015 (2)'!$I$25,"-")</f>
        <v>3.0674846625766871E-2</v>
      </c>
      <c r="X18" s="86">
        <f>IFERROR('Prévisions 2014-2015 (2)'!$J18/'Prévisions 2014-2015 (2)'!$J$25,"-")</f>
        <v>4.3103448275862072E-2</v>
      </c>
      <c r="Y18" s="86">
        <f>IFERROR('Prévisions 2014-2015 (2)'!$K18/'Prévisions 2014-2015 (2)'!$K$25,"-")</f>
        <v>4.9504950495049507E-2</v>
      </c>
      <c r="Z18" s="86">
        <f>IFERROR('Prévisions 2014-2015 (2)'!$L18/'Prévisions 2014-2015 (2)'!$L$25,"-")</f>
        <v>4.0322580645161289E-2</v>
      </c>
      <c r="AA18" s="86">
        <f>IFERROR('Prévisions 2014-2015 (2)'!$M18/'Prévisions 2014-2015 (2)'!$M$25,"-")</f>
        <v>3.875968992248062E-2</v>
      </c>
      <c r="AB18" s="86">
        <f>IFERROR('Prévisions 2014-2015 (2)'!$N18/'Prévisions 2014-2015 (2)'!$N$25,"-")</f>
        <v>5.9523809523809521E-2</v>
      </c>
      <c r="AC18" s="86">
        <f>IFERROR('Prévisions 2014-2015 (2)'!$O18/'Prévisions 2014-2015 (2)'!$O$25,"-")</f>
        <v>5.9523809523809521E-2</v>
      </c>
      <c r="AD18" s="87">
        <f>IFERROR('Prévisions 2014-2015 (2)'!$P18/'Prévisions 2014-2015 (2)'!$P$25,"-")</f>
        <v>7.6305220883534142E-2</v>
      </c>
    </row>
    <row r="19" spans="1:30" ht="18" customHeight="1" x14ac:dyDescent="0.25">
      <c r="A19" s="65"/>
      <c r="B19" s="91" t="s">
        <v>47</v>
      </c>
      <c r="C19" s="72"/>
      <c r="D19" s="82">
        <v>0</v>
      </c>
      <c r="E19" s="89">
        <v>0</v>
      </c>
      <c r="F19" s="89">
        <v>0</v>
      </c>
      <c r="G19" s="90">
        <v>0</v>
      </c>
      <c r="H19" s="90">
        <v>7000</v>
      </c>
      <c r="I19" s="94">
        <v>7900</v>
      </c>
      <c r="J19" s="89">
        <v>900</v>
      </c>
      <c r="K19" s="89">
        <v>900</v>
      </c>
      <c r="L19" s="89">
        <v>900</v>
      </c>
      <c r="M19" s="89">
        <v>900</v>
      </c>
      <c r="N19" s="89">
        <v>900</v>
      </c>
      <c r="O19" s="89">
        <v>900</v>
      </c>
      <c r="P19" s="76">
        <f>SUM('Prévisions 2014-2015 (2)'!$D19:$O19)</f>
        <v>20300</v>
      </c>
      <c r="Q19" s="85">
        <v>0.1</v>
      </c>
      <c r="R19" s="92">
        <f>IFERROR('Prévisions 2014-2015 (2)'!$D19/'Prévisions 2014-2015 (2)'!$D$25,"-")</f>
        <v>0</v>
      </c>
      <c r="S19" s="79">
        <f>IFERROR('Prévisions 2014-2015 (2)'!$E19/'Prévisions 2014-2015 (2)'!$E$25,"-")</f>
        <v>0</v>
      </c>
      <c r="T19" s="79">
        <f>IFERROR('Prévisions 2014-2015 (2)'!$F19/'Prévisions 2014-2015 (2)'!$F$25,"-")</f>
        <v>0</v>
      </c>
      <c r="U19" s="79">
        <f>IFERROR('Prévisions 2014-2015 (2)'!$G19/'Prévisions 2014-2015 (2)'!$G$25,"-")</f>
        <v>0</v>
      </c>
      <c r="V19" s="79">
        <f>IFERROR('Prévisions 2014-2015 (2)'!$H19/'Prévisions 2014-2015 (2)'!$H$25,"-")</f>
        <v>0.56451612903225812</v>
      </c>
      <c r="W19" s="79">
        <f>IFERROR('Prévisions 2014-2015 (2)'!$I19/'Prévisions 2014-2015 (2)'!$I$25,"-")</f>
        <v>0.48466257668711654</v>
      </c>
      <c r="X19" s="79">
        <f>IFERROR('Prévisions 2014-2015 (2)'!$J19/'Prévisions 2014-2015 (2)'!$J$25,"-")</f>
        <v>7.7586206896551727E-2</v>
      </c>
      <c r="Y19" s="79">
        <f>IFERROR('Prévisions 2014-2015 (2)'!$K19/'Prévisions 2014-2015 (2)'!$K$25,"-")</f>
        <v>8.9108910891089105E-2</v>
      </c>
      <c r="Z19" s="79">
        <f>IFERROR('Prévisions 2014-2015 (2)'!$L19/'Prévisions 2014-2015 (2)'!$L$25,"-")</f>
        <v>7.2580645161290328E-2</v>
      </c>
      <c r="AA19" s="79">
        <f>IFERROR('Prévisions 2014-2015 (2)'!$M19/'Prévisions 2014-2015 (2)'!$M$25,"-")</f>
        <v>6.9767441860465115E-2</v>
      </c>
      <c r="AB19" s="79">
        <f>IFERROR('Prévisions 2014-2015 (2)'!$N19/'Prévisions 2014-2015 (2)'!$N$25,"-")</f>
        <v>0.10714285714285714</v>
      </c>
      <c r="AC19" s="79">
        <f>IFERROR('Prévisions 2014-2015 (2)'!$O19/'Prévisions 2014-2015 (2)'!$O$25,"-")</f>
        <v>0.10714285714285714</v>
      </c>
      <c r="AD19" s="80">
        <f>IFERROR('Prévisions 2014-2015 (2)'!$P19/'Prévisions 2014-2015 (2)'!$P$25,"-")</f>
        <v>0.16305220883534136</v>
      </c>
    </row>
    <row r="20" spans="1:30" ht="18" customHeight="1" x14ac:dyDescent="0.25">
      <c r="A20" s="65"/>
      <c r="B20" s="88" t="s">
        <v>48</v>
      </c>
      <c r="C20" s="72"/>
      <c r="D20" s="82">
        <v>0</v>
      </c>
      <c r="E20" s="83">
        <v>0</v>
      </c>
      <c r="F20" s="83">
        <v>0</v>
      </c>
      <c r="G20" s="83">
        <v>0</v>
      </c>
      <c r="H20" s="83">
        <v>0</v>
      </c>
      <c r="I20" s="84">
        <v>3000</v>
      </c>
      <c r="J20" s="83">
        <v>300</v>
      </c>
      <c r="K20" s="83">
        <v>300</v>
      </c>
      <c r="L20" s="83">
        <v>300</v>
      </c>
      <c r="M20" s="83">
        <v>300</v>
      </c>
      <c r="N20" s="83">
        <v>300</v>
      </c>
      <c r="O20" s="83">
        <v>300</v>
      </c>
      <c r="P20" s="76">
        <f>SUM('Prévisions 2014-2015 (2)'!$D20:$O20)</f>
        <v>4800</v>
      </c>
      <c r="Q20" s="85">
        <v>0.1</v>
      </c>
      <c r="R20" s="92">
        <f>IFERROR('Prévisions 2014-2015 (2)'!$D20/'Prévisions 2014-2015 (2)'!$D$25,"-")</f>
        <v>0</v>
      </c>
      <c r="S20" s="86">
        <f>IFERROR('Prévisions 2014-2015 (2)'!$E20/'Prévisions 2014-2015 (2)'!$E$25,"-")</f>
        <v>0</v>
      </c>
      <c r="T20" s="86">
        <f>IFERROR('Prévisions 2014-2015 (2)'!$F20/'Prévisions 2014-2015 (2)'!$F$25,"-")</f>
        <v>0</v>
      </c>
      <c r="U20" s="86">
        <f>IFERROR('Prévisions 2014-2015 (2)'!$G20/'Prévisions 2014-2015 (2)'!$G$25,"-")</f>
        <v>0</v>
      </c>
      <c r="V20" s="86">
        <f>IFERROR('Prévisions 2014-2015 (2)'!$H20/'Prévisions 2014-2015 (2)'!$H$25,"-")</f>
        <v>0</v>
      </c>
      <c r="W20" s="86">
        <f>IFERROR('Prévisions 2014-2015 (2)'!$I20/'Prévisions 2014-2015 (2)'!$I$25,"-")</f>
        <v>0.18404907975460122</v>
      </c>
      <c r="X20" s="86">
        <f>IFERROR('Prévisions 2014-2015 (2)'!$J20/'Prévisions 2014-2015 (2)'!$J$25,"-")</f>
        <v>2.5862068965517241E-2</v>
      </c>
      <c r="Y20" s="86">
        <f>IFERROR('Prévisions 2014-2015 (2)'!$K20/'Prévisions 2014-2015 (2)'!$K$25,"-")</f>
        <v>2.9702970297029702E-2</v>
      </c>
      <c r="Z20" s="86">
        <f>IFERROR('Prévisions 2014-2015 (2)'!$L20/'Prévisions 2014-2015 (2)'!$L$25,"-")</f>
        <v>2.4193548387096774E-2</v>
      </c>
      <c r="AA20" s="86">
        <f>IFERROR('Prévisions 2014-2015 (2)'!$M20/'Prévisions 2014-2015 (2)'!$M$25,"-")</f>
        <v>2.3255813953488372E-2</v>
      </c>
      <c r="AB20" s="86">
        <f>IFERROR('Prévisions 2014-2015 (2)'!$N20/'Prévisions 2014-2015 (2)'!$N$25,"-")</f>
        <v>3.5714285714285712E-2</v>
      </c>
      <c r="AC20" s="86">
        <f>IFERROR('Prévisions 2014-2015 (2)'!$O20/'Prévisions 2014-2015 (2)'!$O$25,"-")</f>
        <v>3.5714285714285712E-2</v>
      </c>
      <c r="AD20" s="87">
        <f>IFERROR('Prévisions 2014-2015 (2)'!$P20/'Prévisions 2014-2015 (2)'!$P$25,"-")</f>
        <v>3.8554216867469883E-2</v>
      </c>
    </row>
    <row r="21" spans="1:30" ht="18" customHeight="1" x14ac:dyDescent="0.25">
      <c r="A21" s="65"/>
      <c r="B21" s="81" t="s">
        <v>49</v>
      </c>
      <c r="C21" s="72"/>
      <c r="D21" s="82">
        <v>0</v>
      </c>
      <c r="E21" s="89">
        <v>0</v>
      </c>
      <c r="F21" s="89">
        <v>0</v>
      </c>
      <c r="G21" s="89">
        <v>0</v>
      </c>
      <c r="H21" s="89">
        <v>0</v>
      </c>
      <c r="I21" s="89">
        <v>0</v>
      </c>
      <c r="J21" s="90">
        <v>5000</v>
      </c>
      <c r="K21" s="89">
        <v>500</v>
      </c>
      <c r="L21" s="89">
        <v>500</v>
      </c>
      <c r="M21" s="89">
        <v>500</v>
      </c>
      <c r="N21" s="89">
        <v>500</v>
      </c>
      <c r="O21" s="89">
        <v>500</v>
      </c>
      <c r="P21" s="76">
        <f>SUM('Prévisions 2014-2015 (2)'!$D21:$O21)</f>
        <v>7500</v>
      </c>
      <c r="Q21" s="85">
        <v>0.1</v>
      </c>
      <c r="R21" s="92">
        <f>IFERROR('Prévisions 2014-2015 (2)'!$D21/'Prévisions 2014-2015 (2)'!$D$25,"-")</f>
        <v>0</v>
      </c>
      <c r="S21" s="79">
        <f>IFERROR('Prévisions 2014-2015 (2)'!$E21/'Prévisions 2014-2015 (2)'!$E$25,"-")</f>
        <v>0</v>
      </c>
      <c r="T21" s="79">
        <f>IFERROR('Prévisions 2014-2015 (2)'!$F21/'Prévisions 2014-2015 (2)'!$F$25,"-")</f>
        <v>0</v>
      </c>
      <c r="U21" s="79">
        <f>IFERROR('Prévisions 2014-2015 (2)'!$G21/'Prévisions 2014-2015 (2)'!$G$25,"-")</f>
        <v>0</v>
      </c>
      <c r="V21" s="79">
        <f>IFERROR('Prévisions 2014-2015 (2)'!$H21/'Prévisions 2014-2015 (2)'!$H$25,"-")</f>
        <v>0</v>
      </c>
      <c r="W21" s="79">
        <f>IFERROR('Prévisions 2014-2015 (2)'!$I21/'Prévisions 2014-2015 (2)'!$I$25,"-")</f>
        <v>0</v>
      </c>
      <c r="X21" s="79">
        <f>IFERROR('Prévisions 2014-2015 (2)'!$J21/'Prévisions 2014-2015 (2)'!$J$25,"-")</f>
        <v>0.43103448275862066</v>
      </c>
      <c r="Y21" s="79">
        <f>IFERROR('Prévisions 2014-2015 (2)'!$K21/'Prévisions 2014-2015 (2)'!$K$25,"-")</f>
        <v>4.9504950495049507E-2</v>
      </c>
      <c r="Z21" s="79">
        <f>IFERROR('Prévisions 2014-2015 (2)'!$L21/'Prévisions 2014-2015 (2)'!$L$25,"-")</f>
        <v>4.0322580645161289E-2</v>
      </c>
      <c r="AA21" s="79">
        <f>IFERROR('Prévisions 2014-2015 (2)'!$M21/'Prévisions 2014-2015 (2)'!$M$25,"-")</f>
        <v>3.875968992248062E-2</v>
      </c>
      <c r="AB21" s="79">
        <f>IFERROR('Prévisions 2014-2015 (2)'!$N21/'Prévisions 2014-2015 (2)'!$N$25,"-")</f>
        <v>5.9523809523809521E-2</v>
      </c>
      <c r="AC21" s="79">
        <f>IFERROR('Prévisions 2014-2015 (2)'!$O21/'Prévisions 2014-2015 (2)'!$O$25,"-")</f>
        <v>5.9523809523809521E-2</v>
      </c>
      <c r="AD21" s="80">
        <f>IFERROR('Prévisions 2014-2015 (2)'!$P21/'Prévisions 2014-2015 (2)'!$P$25,"-")</f>
        <v>6.0240963855421686E-2</v>
      </c>
    </row>
    <row r="22" spans="1:30" ht="18" customHeight="1" x14ac:dyDescent="0.25">
      <c r="A22" s="65"/>
      <c r="B22" s="88" t="s">
        <v>50</v>
      </c>
      <c r="C22" s="72"/>
      <c r="D22" s="82">
        <v>0</v>
      </c>
      <c r="E22" s="83">
        <v>0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4">
        <v>3000</v>
      </c>
      <c r="L22" s="83">
        <v>300</v>
      </c>
      <c r="M22" s="83">
        <v>300</v>
      </c>
      <c r="N22" s="83">
        <v>300</v>
      </c>
      <c r="O22" s="83">
        <v>300</v>
      </c>
      <c r="P22" s="76">
        <f>SUM('Prévisions 2014-2015 (2)'!$D22:$O22)</f>
        <v>4200</v>
      </c>
      <c r="Q22" s="85">
        <v>0.1</v>
      </c>
      <c r="R22" s="92">
        <f>IFERROR('Prévisions 2014-2015 (2)'!$D22/'Prévisions 2014-2015 (2)'!$D$25,"-")</f>
        <v>0</v>
      </c>
      <c r="S22" s="86">
        <f>IFERROR('Prévisions 2014-2015 (2)'!$E22/'Prévisions 2014-2015 (2)'!$E$25,"-")</f>
        <v>0</v>
      </c>
      <c r="T22" s="86">
        <f>IFERROR('Prévisions 2014-2015 (2)'!$F22/'Prévisions 2014-2015 (2)'!$F$25,"-")</f>
        <v>0</v>
      </c>
      <c r="U22" s="86">
        <f>IFERROR('Prévisions 2014-2015 (2)'!$G22/'Prévisions 2014-2015 (2)'!$G$25,"-")</f>
        <v>0</v>
      </c>
      <c r="V22" s="86">
        <f>IFERROR('Prévisions 2014-2015 (2)'!$H22/'Prévisions 2014-2015 (2)'!$H$25,"-")</f>
        <v>0</v>
      </c>
      <c r="W22" s="86">
        <f>IFERROR('Prévisions 2014-2015 (2)'!$I22/'Prévisions 2014-2015 (2)'!$I$25,"-")</f>
        <v>0</v>
      </c>
      <c r="X22" s="86">
        <f>IFERROR('Prévisions 2014-2015 (2)'!$J22/'Prévisions 2014-2015 (2)'!$J$25,"-")</f>
        <v>0</v>
      </c>
      <c r="Y22" s="86">
        <f>IFERROR('Prévisions 2014-2015 (2)'!$K22/'Prévisions 2014-2015 (2)'!$K$25,"-")</f>
        <v>0.29702970297029702</v>
      </c>
      <c r="Z22" s="86">
        <f>IFERROR('Prévisions 2014-2015 (2)'!$L22/'Prévisions 2014-2015 (2)'!$L$25,"-")</f>
        <v>2.4193548387096774E-2</v>
      </c>
      <c r="AA22" s="86">
        <f>IFERROR('Prévisions 2014-2015 (2)'!$M22/'Prévisions 2014-2015 (2)'!$M$25,"-")</f>
        <v>2.3255813953488372E-2</v>
      </c>
      <c r="AB22" s="86">
        <f>IFERROR('Prévisions 2014-2015 (2)'!$N22/'Prévisions 2014-2015 (2)'!$N$25,"-")</f>
        <v>3.5714285714285712E-2</v>
      </c>
      <c r="AC22" s="86">
        <f>IFERROR('Prévisions 2014-2015 (2)'!$O22/'Prévisions 2014-2015 (2)'!$O$25,"-")</f>
        <v>3.5714285714285712E-2</v>
      </c>
      <c r="AD22" s="87">
        <f>IFERROR('Prévisions 2014-2015 (2)'!$P22/'Prévisions 2014-2015 (2)'!$P$25,"-")</f>
        <v>3.3734939759036145E-2</v>
      </c>
    </row>
    <row r="23" spans="1:30" ht="18" customHeight="1" x14ac:dyDescent="0.25">
      <c r="A23" s="65"/>
      <c r="B23" s="81" t="s">
        <v>51</v>
      </c>
      <c r="C23" s="72"/>
      <c r="D23" s="82">
        <v>0</v>
      </c>
      <c r="E23" s="89">
        <v>0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90">
        <v>5000</v>
      </c>
      <c r="M23" s="89">
        <v>500</v>
      </c>
      <c r="N23" s="89">
        <v>500</v>
      </c>
      <c r="O23" s="89">
        <v>500</v>
      </c>
      <c r="P23" s="76">
        <f>SUM('Prévisions 2014-2015 (2)'!$D23:$O23)</f>
        <v>6500</v>
      </c>
      <c r="Q23" s="85">
        <v>0.1</v>
      </c>
      <c r="R23" s="92">
        <f>IFERROR('Prévisions 2014-2015 (2)'!$D23/'Prévisions 2014-2015 (2)'!$D$25,"-")</f>
        <v>0</v>
      </c>
      <c r="S23" s="79">
        <f>IFERROR('Prévisions 2014-2015 (2)'!$E23/'Prévisions 2014-2015 (2)'!$E$25,"-")</f>
        <v>0</v>
      </c>
      <c r="T23" s="79">
        <f>IFERROR('Prévisions 2014-2015 (2)'!$F23/'Prévisions 2014-2015 (2)'!$F$25,"-")</f>
        <v>0</v>
      </c>
      <c r="U23" s="79">
        <f>IFERROR('Prévisions 2014-2015 (2)'!$G23/'Prévisions 2014-2015 (2)'!$G$25,"-")</f>
        <v>0</v>
      </c>
      <c r="V23" s="79">
        <f>IFERROR('Prévisions 2014-2015 (2)'!$H23/'Prévisions 2014-2015 (2)'!$H$25,"-")</f>
        <v>0</v>
      </c>
      <c r="W23" s="79">
        <f>IFERROR('Prévisions 2014-2015 (2)'!$I23/'Prévisions 2014-2015 (2)'!$I$25,"-")</f>
        <v>0</v>
      </c>
      <c r="X23" s="79">
        <f>IFERROR('Prévisions 2014-2015 (2)'!$J23/'Prévisions 2014-2015 (2)'!$J$25,"-")</f>
        <v>0</v>
      </c>
      <c r="Y23" s="79">
        <f>IFERROR('Prévisions 2014-2015 (2)'!$K23/'Prévisions 2014-2015 (2)'!$K$25,"-")</f>
        <v>0</v>
      </c>
      <c r="Z23" s="79">
        <f>IFERROR('Prévisions 2014-2015 (2)'!$L23/'Prévisions 2014-2015 (2)'!$L$25,"-")</f>
        <v>0.40322580645161288</v>
      </c>
      <c r="AA23" s="79">
        <f>IFERROR('Prévisions 2014-2015 (2)'!$M23/'Prévisions 2014-2015 (2)'!$M$25,"-")</f>
        <v>3.875968992248062E-2</v>
      </c>
      <c r="AB23" s="79">
        <f>IFERROR('Prévisions 2014-2015 (2)'!$N23/'Prévisions 2014-2015 (2)'!$N$25,"-")</f>
        <v>5.9523809523809521E-2</v>
      </c>
      <c r="AC23" s="79">
        <f>IFERROR('Prévisions 2014-2015 (2)'!$O23/'Prévisions 2014-2015 (2)'!$O$25,"-")</f>
        <v>5.9523809523809521E-2</v>
      </c>
      <c r="AD23" s="80">
        <f>IFERROR('Prévisions 2014-2015 (2)'!$P23/'Prévisions 2014-2015 (2)'!$P$25,"-")</f>
        <v>5.2208835341365459E-2</v>
      </c>
    </row>
    <row r="24" spans="1:30" ht="18" customHeight="1" x14ac:dyDescent="0.25">
      <c r="A24" s="66"/>
      <c r="B24" s="81" t="s">
        <v>52</v>
      </c>
      <c r="C24" s="72"/>
      <c r="D24" s="82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4">
        <v>5000</v>
      </c>
      <c r="N24" s="83">
        <v>500</v>
      </c>
      <c r="O24" s="83">
        <v>500</v>
      </c>
      <c r="P24" s="76">
        <f>SUM('Prévisions 2014-2015 (2)'!$D24:$O24)</f>
        <v>6000</v>
      </c>
      <c r="Q24" s="85">
        <v>0.1</v>
      </c>
      <c r="R24" s="92">
        <f>IFERROR('Prévisions 2014-2015 (2)'!$D24/'Prévisions 2014-2015 (2)'!$D$25,"-")</f>
        <v>0</v>
      </c>
      <c r="S24" s="86">
        <f>IFERROR('Prévisions 2014-2015 (2)'!$E24/'Prévisions 2014-2015 (2)'!$E$25,"-")</f>
        <v>0</v>
      </c>
      <c r="T24" s="86">
        <f>IFERROR('Prévisions 2014-2015 (2)'!$F24/'Prévisions 2014-2015 (2)'!$F$25,"-")</f>
        <v>0</v>
      </c>
      <c r="U24" s="86">
        <f>IFERROR('Prévisions 2014-2015 (2)'!$G24/'Prévisions 2014-2015 (2)'!$G$25,"-")</f>
        <v>0</v>
      </c>
      <c r="V24" s="86">
        <f>IFERROR('Prévisions 2014-2015 (2)'!$H24/'Prévisions 2014-2015 (2)'!$H$25,"-")</f>
        <v>0</v>
      </c>
      <c r="W24" s="86">
        <f>IFERROR('Prévisions 2014-2015 (2)'!$I24/'Prévisions 2014-2015 (2)'!$I$25,"-")</f>
        <v>0</v>
      </c>
      <c r="X24" s="86">
        <f>IFERROR('Prévisions 2014-2015 (2)'!$J24/'Prévisions 2014-2015 (2)'!$J$25,"-")</f>
        <v>0</v>
      </c>
      <c r="Y24" s="86">
        <f>IFERROR('Prévisions 2014-2015 (2)'!$K24/'Prévisions 2014-2015 (2)'!$K$25,"-")</f>
        <v>0</v>
      </c>
      <c r="Z24" s="86">
        <f>IFERROR('Prévisions 2014-2015 (2)'!$L24/'Prévisions 2014-2015 (2)'!$L$25,"-")</f>
        <v>0</v>
      </c>
      <c r="AA24" s="86">
        <f>IFERROR('Prévisions 2014-2015 (2)'!$M24/'Prévisions 2014-2015 (2)'!$M$25,"-")</f>
        <v>0.38759689922480622</v>
      </c>
      <c r="AB24" s="86">
        <f>IFERROR('Prévisions 2014-2015 (2)'!$N24/'Prévisions 2014-2015 (2)'!$N$25,"-")</f>
        <v>5.9523809523809521E-2</v>
      </c>
      <c r="AC24" s="86">
        <f>IFERROR('Prévisions 2014-2015 (2)'!$O24/'Prévisions 2014-2015 (2)'!$O$25,"-")</f>
        <v>5.9523809523809521E-2</v>
      </c>
      <c r="AD24" s="87">
        <f>IFERROR('Prévisions 2014-2015 (2)'!$P24/'Prévisions 2014-2015 (2)'!$P$25,"-")</f>
        <v>4.8192771084337352E-2</v>
      </c>
    </row>
    <row r="25" spans="1:30" ht="18" customHeight="1" x14ac:dyDescent="0.25">
      <c r="B25" s="95" t="s">
        <v>28</v>
      </c>
      <c r="C25" s="96"/>
      <c r="D25" s="97">
        <f>SUBTOTAL(109,'Prévisions 2014-2015 (2)'!$D$7:$D$24)</f>
        <v>9100</v>
      </c>
      <c r="E25" s="97">
        <f>SUBTOTAL(109,'Prévisions 2014-2015 (2)'!$E$7:$E$24)</f>
        <v>7600</v>
      </c>
      <c r="F25" s="97">
        <f>SUBTOTAL(109,'Prévisions 2014-2015 (2)'!$F$7:$F$24)</f>
        <v>9900</v>
      </c>
      <c r="G25" s="97">
        <f>SUBTOTAL(109,'Prévisions 2014-2015 (2)'!$G$7:$G$24)</f>
        <v>5400</v>
      </c>
      <c r="H25" s="97">
        <f>SUBTOTAL(109,'Prévisions 2014-2015 (2)'!$H$7:$H$24)</f>
        <v>12400</v>
      </c>
      <c r="I25" s="97">
        <f>SUBTOTAL(109,'Prévisions 2014-2015 (2)'!$I$7:$I$24)</f>
        <v>16300</v>
      </c>
      <c r="J25" s="97">
        <f>SUBTOTAL(109,'Prévisions 2014-2015 (2)'!$J$7:$J$24)</f>
        <v>11600</v>
      </c>
      <c r="K25" s="97">
        <f>SUBTOTAL(109,'Prévisions 2014-2015 (2)'!$K$7:$K$24)</f>
        <v>10100</v>
      </c>
      <c r="L25" s="97">
        <f>SUBTOTAL(109,'Prévisions 2014-2015 (2)'!$L$7:$L$24)</f>
        <v>12400</v>
      </c>
      <c r="M25" s="97">
        <f>SUBTOTAL(109,'Prévisions 2014-2015 (2)'!$M$7:$M$24)</f>
        <v>12900</v>
      </c>
      <c r="N25" s="97">
        <f>SUBTOTAL(109,'Prévisions 2014-2015 (2)'!$N$7:$N$24)</f>
        <v>8400</v>
      </c>
      <c r="O25" s="97">
        <f>SUBTOTAL(109,'Prévisions 2014-2015 (2)'!$O$7:$O$24)</f>
        <v>8400</v>
      </c>
      <c r="P25" s="98">
        <f>SUBTOTAL(109,'Prévisions 2014-2015 (2)'!$P$7:$P$24)</f>
        <v>124500</v>
      </c>
      <c r="Q25" s="99">
        <f>SUBTOTAL(109,'Prévisions 2014-2015 (2)'!$Q$7:$Q$24)</f>
        <v>2.100000000000001</v>
      </c>
      <c r="R25" s="100">
        <f>SUBTOTAL(109,'Prévisions 2014-2015 (2)'!$R$7:$R$24)</f>
        <v>1</v>
      </c>
      <c r="S25" s="100">
        <f>SUBTOTAL(109,'Prévisions 2014-2015 (2)'!$S$7:$S$24)</f>
        <v>1</v>
      </c>
      <c r="T25" s="100">
        <f>SUBTOTAL(109,'Prévisions 2014-2015 (2)'!$T$7:$T$24)</f>
        <v>1</v>
      </c>
      <c r="U25" s="100">
        <f>SUBTOTAL(109,'Prévisions 2014-2015 (2)'!$U$7:$U$24)</f>
        <v>0.99999999999999989</v>
      </c>
      <c r="V25" s="100">
        <f>SUBTOTAL(109,'Prévisions 2014-2015 (2)'!$V$7:$V$24)</f>
        <v>1</v>
      </c>
      <c r="W25" s="100">
        <f>SUBTOTAL(109,'Prévisions 2014-2015 (2)'!$W$7:$W$24)</f>
        <v>1</v>
      </c>
      <c r="X25" s="100">
        <f>SUBTOTAL(109,'Prévisions 2014-2015 (2)'!$R$7:$R$24)</f>
        <v>1</v>
      </c>
      <c r="Y25" s="100">
        <f>SUBTOTAL(109,'Prévisions 2014-2015 (2)'!$S$7:$S$24)</f>
        <v>1</v>
      </c>
      <c r="Z25" s="100">
        <f>SUBTOTAL(109,'Prévisions 2014-2015 (2)'!$T$7:$T$24)</f>
        <v>1</v>
      </c>
      <c r="AA25" s="100">
        <f>SUBTOTAL(109,'Prévisions 2014-2015 (2)'!$U$7:$U$24)</f>
        <v>0.99999999999999989</v>
      </c>
      <c r="AB25" s="100">
        <f>SUBTOTAL(109,'Prévisions 2014-2015 (2)'!$V$7:$V$24)</f>
        <v>1</v>
      </c>
      <c r="AC25" s="100">
        <f>SUBTOTAL(109,'Prévisions 2014-2015 (2)'!$W$7:$W$24)</f>
        <v>1</v>
      </c>
      <c r="AD25" s="101">
        <f>SUBTOTAL(109,'Prévisions 2014-2015 (2)'!$AD$7:$AD$24)</f>
        <v>0.99999999999999989</v>
      </c>
    </row>
    <row r="26" spans="1:30" ht="18" customHeight="1" x14ac:dyDescent="0.25">
      <c r="B26" s="3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</row>
    <row r="27" spans="1:30" ht="18" customHeight="1" x14ac:dyDescent="0.25">
      <c r="B27"/>
    </row>
    <row r="28" spans="1:30" ht="18" customHeight="1" x14ac:dyDescent="0.25">
      <c r="B28"/>
      <c r="D28" s="56"/>
    </row>
    <row r="29" spans="1:30" ht="18" customHeight="1" x14ac:dyDescent="0.25">
      <c r="B29"/>
    </row>
    <row r="30" spans="1:30" ht="18" customHeight="1" x14ac:dyDescent="0.25">
      <c r="B30"/>
    </row>
    <row r="31" spans="1:30" ht="18" customHeight="1" x14ac:dyDescent="0.25">
      <c r="B31"/>
    </row>
    <row r="32" spans="1:30" ht="18" customHeight="1" x14ac:dyDescent="0.25">
      <c r="B32"/>
    </row>
    <row r="33" spans="2:2" ht="18" customHeight="1" x14ac:dyDescent="0.25">
      <c r="B33"/>
    </row>
    <row r="34" spans="2:2" ht="18" customHeight="1" x14ac:dyDescent="0.25">
      <c r="B34"/>
    </row>
    <row r="35" spans="2:2" ht="18" customHeight="1" x14ac:dyDescent="0.25">
      <c r="B35"/>
    </row>
    <row r="36" spans="2:2" ht="18" customHeight="1" x14ac:dyDescent="0.25">
      <c r="B36"/>
    </row>
    <row r="37" spans="2:2" ht="18" customHeight="1" x14ac:dyDescent="0.25">
      <c r="B37"/>
    </row>
    <row r="38" spans="2:2" ht="18" customHeight="1" x14ac:dyDescent="0.25">
      <c r="B38"/>
    </row>
    <row r="39" spans="2:2" ht="18" customHeight="1" x14ac:dyDescent="0.25">
      <c r="B39"/>
    </row>
    <row r="40" spans="2:2" ht="18" customHeight="1" x14ac:dyDescent="0.25">
      <c r="B40"/>
    </row>
    <row r="41" spans="2:2" ht="18" customHeight="1" x14ac:dyDescent="0.25">
      <c r="B41"/>
    </row>
    <row r="42" spans="2:2" ht="18" customHeight="1" x14ac:dyDescent="0.25">
      <c r="B42"/>
    </row>
    <row r="43" spans="2:2" ht="18" customHeight="1" x14ac:dyDescent="0.25">
      <c r="B43"/>
    </row>
    <row r="44" spans="2:2" ht="18" customHeight="1" x14ac:dyDescent="0.25">
      <c r="B44"/>
    </row>
    <row r="45" spans="2:2" ht="18" customHeight="1" x14ac:dyDescent="0.25">
      <c r="B45"/>
    </row>
    <row r="46" spans="2:2" s="19" customFormat="1" ht="18" customHeight="1" x14ac:dyDescent="0.2"/>
    <row r="47" spans="2:2" ht="18" customHeight="1" x14ac:dyDescent="0.25">
      <c r="B47"/>
    </row>
    <row r="48" spans="2:2" ht="18" customHeight="1" x14ac:dyDescent="0.25">
      <c r="B48"/>
    </row>
    <row r="49" spans="2:2" ht="18" customHeight="1" x14ac:dyDescent="0.25">
      <c r="B49"/>
    </row>
    <row r="50" spans="2:2" ht="18" customHeight="1" x14ac:dyDescent="0.25">
      <c r="B50"/>
    </row>
    <row r="51" spans="2:2" ht="18" customHeight="1" x14ac:dyDescent="0.25">
      <c r="B51"/>
    </row>
    <row r="52" spans="2:2" ht="18" customHeight="1" x14ac:dyDescent="0.25">
      <c r="B52"/>
    </row>
    <row r="53" spans="2:2" ht="18" customHeight="1" x14ac:dyDescent="0.25">
      <c r="B53"/>
    </row>
    <row r="54" spans="2:2" ht="18" customHeight="1" x14ac:dyDescent="0.25">
      <c r="B54"/>
    </row>
    <row r="55" spans="2:2" ht="18" customHeight="1" x14ac:dyDescent="0.25">
      <c r="B55"/>
    </row>
    <row r="56" spans="2:2" ht="18" customHeight="1" x14ac:dyDescent="0.25">
      <c r="B56"/>
    </row>
    <row r="57" spans="2:2" ht="28.5" customHeight="1" x14ac:dyDescent="0.25">
      <c r="B57"/>
    </row>
    <row r="58" spans="2:2" ht="21" customHeight="1" x14ac:dyDescent="0.25">
      <c r="B58"/>
    </row>
    <row r="59" spans="2:2" ht="18" customHeight="1" x14ac:dyDescent="0.25">
      <c r="B59"/>
    </row>
    <row r="60" spans="2:2" ht="18" customHeight="1" x14ac:dyDescent="0.25">
      <c r="B60"/>
    </row>
    <row r="61" spans="2:2" ht="18" customHeight="1" x14ac:dyDescent="0.25">
      <c r="B61"/>
    </row>
    <row r="62" spans="2:2" ht="18" customHeight="1" x14ac:dyDescent="0.25">
      <c r="B62"/>
    </row>
    <row r="63" spans="2:2" ht="18" customHeight="1" x14ac:dyDescent="0.25">
      <c r="B63"/>
    </row>
    <row r="64" spans="2:2" ht="18" customHeight="1" x14ac:dyDescent="0.25">
      <c r="B64"/>
    </row>
    <row r="65" spans="2:2" ht="18" customHeight="1" x14ac:dyDescent="0.25">
      <c r="B65"/>
    </row>
    <row r="66" spans="2:2" ht="18" customHeight="1" x14ac:dyDescent="0.25">
      <c r="B66"/>
    </row>
    <row r="67" spans="2:2" ht="18" customHeight="1" x14ac:dyDescent="0.25">
      <c r="B67"/>
    </row>
    <row r="68" spans="2:2" ht="18" customHeight="1" x14ac:dyDescent="0.25">
      <c r="B68"/>
    </row>
    <row r="69" spans="2:2" ht="18" customHeight="1" x14ac:dyDescent="0.25">
      <c r="B69"/>
    </row>
    <row r="70" spans="2:2" ht="18" customHeight="1" x14ac:dyDescent="0.25">
      <c r="B70"/>
    </row>
    <row r="71" spans="2:2" ht="18" customHeight="1" x14ac:dyDescent="0.25">
      <c r="B71"/>
    </row>
    <row r="72" spans="2:2" ht="18" customHeight="1" x14ac:dyDescent="0.25">
      <c r="B72"/>
    </row>
    <row r="73" spans="2:2" ht="18" customHeight="1" x14ac:dyDescent="0.25">
      <c r="B73"/>
    </row>
    <row r="74" spans="2:2" ht="18" customHeight="1" x14ac:dyDescent="0.25">
      <c r="B74"/>
    </row>
    <row r="75" spans="2:2" ht="18" customHeight="1" x14ac:dyDescent="0.25">
      <c r="B75"/>
    </row>
    <row r="76" spans="2:2" ht="18" customHeight="1" x14ac:dyDescent="0.25">
      <c r="B76"/>
    </row>
    <row r="77" spans="2:2" ht="32.25" customHeight="1" x14ac:dyDescent="0.25">
      <c r="B77"/>
    </row>
    <row r="78" spans="2:2" ht="32.25" customHeight="1" x14ac:dyDescent="0.25">
      <c r="B78"/>
    </row>
    <row r="79" spans="2:2" ht="39.75" customHeight="1" x14ac:dyDescent="0.25">
      <c r="B79"/>
    </row>
    <row r="80" spans="2:2" ht="32.25" customHeight="1" x14ac:dyDescent="0.25">
      <c r="B80"/>
    </row>
    <row r="81" spans="2:2" s="19" customFormat="1" ht="18" customHeight="1" x14ac:dyDescent="0.2"/>
    <row r="82" spans="2:2" ht="18" customHeight="1" x14ac:dyDescent="0.25">
      <c r="B82"/>
    </row>
    <row r="83" spans="2:2" ht="18" customHeight="1" x14ac:dyDescent="0.25">
      <c r="B83"/>
    </row>
  </sheetData>
  <mergeCells count="2">
    <mergeCell ref="A7:A15"/>
    <mergeCell ref="A16:A24"/>
  </mergeCells>
  <dataValidations count="2">
    <dataValidation type="list" errorStyle="information" allowBlank="1" showInputMessage="1" showErrorMessage="1" errorTitle="Mois inconnu" error="Veuillez sélectionner un mois dans la liste déroulante." sqref="AC2">
      <formula1>"JANV,FÉVR,MARS,AVR,MAI,JUIN,JUIL,AOÛT,SEPT,OCT,NOV,DÉC"</formula1>
    </dataValidation>
    <dataValidation type="list" errorStyle="information" allowBlank="1" showInputMessage="1" errorTitle="Unknown Year" error="Please select a year from the drop down list. To add or remove a year from the list, on the Data tab, in the Data Tools group, click Data Validation." sqref="AD2">
      <formula1>"2010,2011,2012,2013,2014,2015,2016,2017,2018,2019,2020"</formula1>
    </dataValidation>
  </dataValidations>
  <printOptions horizontalCentered="1"/>
  <pageMargins left="0.25" right="0.25" top="0.75" bottom="0.75" header="0.3" footer="0.3"/>
  <pageSetup scale="42" fitToHeight="0" orientation="landscape" r:id="rId1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 (2)'!$D$7:$O$7</xm:f>
              <xm:sqref>C16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 (2)'!$D$7:$O$7</xm:f>
              <xm:sqref>C7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 (2)'!$D$9:$O$9</xm:f>
              <xm:sqref>C22</xm:sqref>
            </x14:sparkline>
            <x14:sparkline>
              <xm:f>'Prévisions 2014-2015 (2)'!$D$9:$O$9</xm:f>
              <xm:sqref>C23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 (2)'!$D$9:$O$9</xm:f>
              <xm:sqref>C18</xm:sqref>
            </x14:sparkline>
            <x14:sparkline>
              <xm:f>'Prévisions 2014-2015 (2)'!$D$9:$O$9</xm:f>
              <xm:sqref>C19</xm:sqref>
            </x14:sparkline>
            <x14:sparkline>
              <xm:f>'Prévisions 2014-2015 (2)'!$D$9:$O$9</xm:f>
              <xm:sqref>C20</xm:sqref>
            </x14:sparkline>
            <x14:sparkline>
              <xm:f>'Prévisions 2014-2015 (2)'!$D$9:$O$9</xm:f>
              <xm:sqref>C21</xm:sqref>
            </x14:sparkline>
            <x14:sparkline>
              <xm:f>'Prévisions 2014-2015 (2)'!$D$9:$O$9</xm:f>
              <xm:sqref>C24</xm:sqref>
            </x14:sparkline>
          </x14:sparklines>
        </x14:sparklineGroup>
        <x14:sparklineGroup manualMax="0" manualMin="0" displayEmptyCellsAs="gap" high="1" low="1">
          <x14:colorSeries theme="1"/>
          <x14:colorNegative theme="9"/>
          <x14:colorAxis rgb="FF000000"/>
          <x14:colorMarkers theme="8" tint="-0.499984740745262"/>
          <x14:colorFirst theme="8" tint="0.39997558519241921"/>
          <x14:colorLast theme="8" tint="0.39997558519241921"/>
          <x14:colorHigh theme="8"/>
          <x14:colorLow theme="8"/>
          <x14:sparklines>
            <x14:sparkline>
              <xm:f>'Prévisions 2014-2015 (2)'!D25:O25</xm:f>
              <xm:sqref>C25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 (2)'!$D$8:$O$8</xm:f>
              <xm:sqref>C8</xm:sqref>
            </x14:sparkline>
            <x14:sparkline>
              <xm:f>'Prévisions 2014-2015 (2)'!$D$8:$O$8</xm:f>
              <xm:sqref>C9</xm:sqref>
            </x14:sparkline>
            <x14:sparkline>
              <xm:f>'Prévisions 2014-2015 (2)'!$D$8:$O$8</xm:f>
              <xm:sqref>C10</xm:sqref>
            </x14:sparkline>
            <x14:sparkline>
              <xm:f>'Prévisions 2014-2015 (2)'!$D$8:$O$8</xm:f>
              <xm:sqref>C11</xm:sqref>
            </x14:sparkline>
            <x14:sparkline>
              <xm:f>'Prévisions 2014-2015 (2)'!$D$8:$O$8</xm:f>
              <xm:sqref>C12</xm:sqref>
            </x14:sparkline>
            <x14:sparkline>
              <xm:f>'Prévisions 2014-2015 (2)'!$D$8:$O$8</xm:f>
              <xm:sqref>C13</xm:sqref>
            </x14:sparkline>
            <x14:sparkline>
              <xm:f>'Prévisions 2014-2015 (2)'!$D$8:$O$8</xm:f>
              <xm:sqref>C14</xm:sqref>
            </x14:sparkline>
            <x14:sparkline>
              <xm:f>'Prévisions 2014-2015 (2)'!$D$8:$O$8</xm:f>
              <xm:sqref>C15</xm:sqref>
            </x14:sparkline>
          </x14:sparklines>
        </x14:sparklineGroup>
        <x14:sparklineGroup manualMax="0" manualMin="0" lineWeight="1" displayEmptyCellsAs="gap" high="1" low="1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'Prévisions 2014-2015 (2)'!$D$9:$O$9</xm:f>
              <xm:sqref>C17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8FC6A1E-99CA-4475-9F25-9C086B5428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Determination CA et CV Prev.</vt:lpstr>
      <vt:lpstr>Prévisions 2014-2015</vt:lpstr>
      <vt:lpstr>Prévisions 2014-2015 (2)</vt:lpstr>
      <vt:lpstr>'Prévisions 2014-2015'!AnnéeDébutAnnéeFiscale</vt:lpstr>
      <vt:lpstr>'Prévisions 2014-2015 (2)'!AnnéeDébutAnnéeFiscale</vt:lpstr>
      <vt:lpstr>'Prévisions 2014-2015'!DébutMoisAnnéeFiscale</vt:lpstr>
      <vt:lpstr>'Prévisions 2014-2015 (2)'!DébutMoisAnnéeFiscale</vt:lpstr>
      <vt:lpstr>'Prévisions 2014-2015'!Titres_à_imprimer</vt:lpstr>
      <vt:lpstr>'Prévisions 2014-2015 (2)'!Titres_à_imprimer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2013-04-02T12:17:28Z</dcterms:created>
  <dcterms:modified xsi:type="dcterms:W3CDTF">2013-11-29T10:08:25Z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TC028023619991</vt:lpwstr>
  </property>
</Properties>
</file>