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4115" windowHeight="4185" activeTab="2"/>
  </bookViews>
  <sheets>
    <sheet name="liste CIRCUIT" sheetId="4" r:id="rId1"/>
    <sheet name="CIRCUIT" sheetId="7" r:id="rId2"/>
    <sheet name="Feuil1" sheetId="12" r:id="rId3"/>
  </sheets>
  <calcPr calcId="145621"/>
</workbook>
</file>

<file path=xl/calcChain.xml><?xml version="1.0" encoding="utf-8"?>
<calcChain xmlns="http://schemas.openxmlformats.org/spreadsheetml/2006/main">
  <c r="C17" i="12" l="1"/>
  <c r="D17" i="12"/>
  <c r="E17" i="12"/>
  <c r="F17" i="12"/>
  <c r="G17" i="12"/>
  <c r="H17" i="12"/>
  <c r="I17" i="12"/>
  <c r="J17" i="12"/>
  <c r="K17" i="12"/>
  <c r="L17" i="12"/>
  <c r="M17" i="12"/>
  <c r="N17" i="12"/>
  <c r="O17" i="12"/>
  <c r="O5" i="12"/>
  <c r="O6" i="12"/>
  <c r="O7" i="12"/>
  <c r="O8" i="12"/>
  <c r="O9" i="12"/>
  <c r="O10" i="12"/>
  <c r="O11" i="12"/>
  <c r="O12" i="12"/>
  <c r="O13" i="12"/>
  <c r="O14" i="12"/>
  <c r="O15" i="12"/>
  <c r="O16" i="12"/>
  <c r="D5" i="12"/>
  <c r="E5" i="12"/>
  <c r="F5" i="12"/>
  <c r="G5" i="12"/>
  <c r="H5" i="12"/>
  <c r="I5" i="12"/>
  <c r="J5" i="12"/>
  <c r="K5" i="12"/>
  <c r="L5" i="12"/>
  <c r="M5" i="12"/>
  <c r="N5" i="12"/>
  <c r="D6" i="12"/>
  <c r="E6" i="12"/>
  <c r="F6" i="12"/>
  <c r="G6" i="12"/>
  <c r="H6" i="12"/>
  <c r="I6" i="12"/>
  <c r="J6" i="12"/>
  <c r="K6" i="12"/>
  <c r="L6" i="12"/>
  <c r="M6" i="12"/>
  <c r="N6" i="12"/>
  <c r="D7" i="12"/>
  <c r="E7" i="12"/>
  <c r="F7" i="12"/>
  <c r="G7" i="12"/>
  <c r="H7" i="12"/>
  <c r="I7" i="12"/>
  <c r="J7" i="12"/>
  <c r="K7" i="12"/>
  <c r="L7" i="12"/>
  <c r="M7" i="12"/>
  <c r="N7" i="12"/>
  <c r="D8" i="12"/>
  <c r="E8" i="12"/>
  <c r="F8" i="12"/>
  <c r="G8" i="12"/>
  <c r="H8" i="12"/>
  <c r="I8" i="12"/>
  <c r="J8" i="12"/>
  <c r="K8" i="12"/>
  <c r="L8" i="12"/>
  <c r="M8" i="12"/>
  <c r="N8" i="12"/>
  <c r="D9" i="12"/>
  <c r="E9" i="12"/>
  <c r="F9" i="12"/>
  <c r="G9" i="12"/>
  <c r="H9" i="12"/>
  <c r="I9" i="12"/>
  <c r="J9" i="12"/>
  <c r="K9" i="12"/>
  <c r="L9" i="12"/>
  <c r="M9" i="12"/>
  <c r="N9" i="12"/>
  <c r="D10" i="12"/>
  <c r="E10" i="12"/>
  <c r="F10" i="12"/>
  <c r="G10" i="12"/>
  <c r="H10" i="12"/>
  <c r="I10" i="12"/>
  <c r="J10" i="12"/>
  <c r="K10" i="12"/>
  <c r="L10" i="12"/>
  <c r="M10" i="12"/>
  <c r="N10" i="12"/>
  <c r="D11" i="12"/>
  <c r="E11" i="12"/>
  <c r="F11" i="12"/>
  <c r="G11" i="12"/>
  <c r="I11" i="12"/>
  <c r="J11" i="12"/>
  <c r="K11" i="12"/>
  <c r="L11" i="12"/>
  <c r="M11" i="12"/>
  <c r="N11" i="12"/>
  <c r="D12" i="12"/>
  <c r="E12" i="12"/>
  <c r="F12" i="12"/>
  <c r="G12" i="12"/>
  <c r="H12" i="12"/>
  <c r="I12" i="12"/>
  <c r="J12" i="12"/>
  <c r="K12" i="12"/>
  <c r="L12" i="12"/>
  <c r="M12" i="12"/>
  <c r="N12" i="12"/>
  <c r="D13" i="12"/>
  <c r="E13" i="12"/>
  <c r="F13" i="12"/>
  <c r="G13" i="12"/>
  <c r="H13" i="12"/>
  <c r="I13" i="12"/>
  <c r="J13" i="12"/>
  <c r="K13" i="12"/>
  <c r="L13" i="12"/>
  <c r="M13" i="12"/>
  <c r="N13" i="12"/>
  <c r="D14" i="12"/>
  <c r="E14" i="12"/>
  <c r="F14" i="12"/>
  <c r="G14" i="12"/>
  <c r="H14" i="12"/>
  <c r="I14" i="12"/>
  <c r="J14" i="12"/>
  <c r="K14" i="12"/>
  <c r="L14" i="12"/>
  <c r="M14" i="12"/>
  <c r="N14" i="12"/>
  <c r="D15" i="12"/>
  <c r="E15" i="12"/>
  <c r="F15" i="12"/>
  <c r="G15" i="12"/>
  <c r="H15" i="12"/>
  <c r="I15" i="12"/>
  <c r="J15" i="12"/>
  <c r="K15" i="12"/>
  <c r="L15" i="12"/>
  <c r="M15" i="12"/>
  <c r="N15" i="12"/>
  <c r="D16" i="12"/>
  <c r="E16" i="12"/>
  <c r="F16" i="12"/>
  <c r="G16" i="12"/>
  <c r="H16" i="12"/>
  <c r="I16" i="12"/>
  <c r="J16" i="12"/>
  <c r="K16" i="12"/>
  <c r="L16" i="12"/>
  <c r="M16" i="12"/>
  <c r="N16" i="12"/>
  <c r="C6" i="12"/>
  <c r="C7" i="12"/>
  <c r="C8" i="12"/>
  <c r="C9" i="12"/>
  <c r="C10" i="12"/>
  <c r="C11" i="12"/>
  <c r="C12" i="12"/>
  <c r="C13" i="12"/>
  <c r="C14" i="12"/>
  <c r="C15" i="12"/>
  <c r="C16" i="12"/>
  <c r="C5" i="12"/>
  <c r="B1320" i="7" l="1"/>
  <c r="B1319" i="7"/>
  <c r="B1318" i="7"/>
  <c r="B1317" i="7"/>
  <c r="B1316" i="7"/>
  <c r="B1315" i="7"/>
  <c r="B1314" i="7"/>
  <c r="B1313" i="7"/>
  <c r="B1312" i="7"/>
  <c r="B1311" i="7"/>
  <c r="B1310" i="7"/>
  <c r="B1309" i="7"/>
  <c r="B1308" i="7"/>
  <c r="B1307" i="7"/>
  <c r="B1306" i="7"/>
  <c r="B1305" i="7"/>
  <c r="B1304" i="7"/>
  <c r="B1303" i="7"/>
  <c r="B1302" i="7"/>
  <c r="B1301" i="7"/>
  <c r="B1300" i="7"/>
  <c r="B1299" i="7"/>
  <c r="B1298" i="7"/>
  <c r="B1297" i="7"/>
  <c r="B1296" i="7"/>
  <c r="B1295" i="7"/>
  <c r="B1294" i="7"/>
  <c r="B1293" i="7"/>
  <c r="B1292" i="7"/>
  <c r="B1291" i="7"/>
  <c r="B1290" i="7"/>
  <c r="B1289" i="7"/>
  <c r="B1288" i="7"/>
  <c r="B1287" i="7"/>
  <c r="B1286" i="7"/>
  <c r="B1285" i="7"/>
  <c r="B1284" i="7"/>
  <c r="B1283" i="7"/>
  <c r="B1282" i="7"/>
  <c r="B1281" i="7"/>
  <c r="B1280" i="7"/>
  <c r="B1279" i="7"/>
  <c r="B1278" i="7"/>
  <c r="B1277" i="7"/>
  <c r="B1276" i="7"/>
  <c r="B1275" i="7"/>
  <c r="B1274" i="7"/>
  <c r="B1273" i="7"/>
  <c r="B1272" i="7"/>
  <c r="B1271" i="7"/>
  <c r="B1270" i="7"/>
  <c r="B1269" i="7"/>
  <c r="B1268" i="7"/>
  <c r="B1267" i="7"/>
  <c r="B1266" i="7"/>
  <c r="B1265" i="7"/>
  <c r="B1264" i="7"/>
  <c r="B1263" i="7"/>
  <c r="B1262" i="7"/>
  <c r="B1261" i="7"/>
  <c r="B1260" i="7"/>
  <c r="B1259" i="7"/>
  <c r="B1258" i="7"/>
  <c r="B1257" i="7"/>
  <c r="B1256" i="7"/>
  <c r="B1255" i="7"/>
  <c r="B1254" i="7"/>
  <c r="B1253" i="7"/>
  <c r="B1252" i="7"/>
  <c r="B1251" i="7"/>
  <c r="B1250" i="7"/>
  <c r="B1249" i="7"/>
  <c r="B1248" i="7"/>
  <c r="B1247" i="7"/>
  <c r="B1246" i="7"/>
  <c r="B1245" i="7"/>
  <c r="B1244" i="7"/>
  <c r="B1243" i="7"/>
  <c r="B1242" i="7"/>
  <c r="B1241" i="7"/>
  <c r="B1240" i="7"/>
  <c r="B1239" i="7"/>
  <c r="B1238" i="7"/>
  <c r="B1237" i="7"/>
  <c r="B1236" i="7"/>
  <c r="B1235" i="7"/>
  <c r="B1234" i="7"/>
  <c r="B1233" i="7"/>
  <c r="B1232" i="7"/>
  <c r="B1231" i="7"/>
  <c r="B1230" i="7"/>
  <c r="B1229" i="7"/>
  <c r="B1228" i="7"/>
  <c r="B1227" i="7"/>
  <c r="B1226" i="7"/>
  <c r="B1225" i="7"/>
  <c r="B1224" i="7"/>
  <c r="B1223" i="7"/>
  <c r="B1222" i="7"/>
  <c r="B1221" i="7"/>
  <c r="B1220" i="7"/>
  <c r="B1219" i="7"/>
  <c r="B1218" i="7"/>
  <c r="B1217" i="7"/>
  <c r="B1216" i="7"/>
  <c r="B1215" i="7"/>
  <c r="B1214" i="7"/>
  <c r="B1213" i="7"/>
  <c r="B1212" i="7"/>
  <c r="B1211" i="7"/>
  <c r="B1210" i="7"/>
  <c r="B1209" i="7"/>
  <c r="B1208" i="7"/>
  <c r="B1207" i="7"/>
  <c r="B1206" i="7"/>
  <c r="B1205" i="7"/>
  <c r="B1204" i="7"/>
  <c r="B1203" i="7"/>
  <c r="B1202" i="7"/>
  <c r="B1201" i="7"/>
  <c r="B1200" i="7"/>
  <c r="B1199" i="7"/>
  <c r="B1198" i="7"/>
  <c r="B1197" i="7"/>
  <c r="B1196" i="7"/>
  <c r="B1195" i="7"/>
  <c r="B1194" i="7"/>
  <c r="B1193" i="7"/>
  <c r="B1192" i="7"/>
  <c r="B1191" i="7"/>
  <c r="B1190" i="7"/>
  <c r="B1189" i="7"/>
  <c r="B1188" i="7"/>
  <c r="B1187" i="7"/>
  <c r="B1186" i="7"/>
  <c r="B1185" i="7"/>
  <c r="B1184" i="7"/>
  <c r="B1183" i="7"/>
  <c r="B1182" i="7"/>
  <c r="B1181" i="7"/>
  <c r="B1180" i="7"/>
  <c r="B1179" i="7"/>
  <c r="B1178" i="7"/>
  <c r="B1177" i="7"/>
  <c r="B1176" i="7"/>
  <c r="B1175" i="7"/>
  <c r="B1174" i="7"/>
  <c r="B1173" i="7"/>
  <c r="B1172" i="7"/>
  <c r="B1171" i="7"/>
  <c r="B1170" i="7"/>
  <c r="B1169" i="7"/>
  <c r="B1168" i="7"/>
  <c r="B1167" i="7"/>
  <c r="B1166" i="7"/>
  <c r="B1165" i="7"/>
  <c r="B1164" i="7"/>
  <c r="B1163" i="7"/>
  <c r="B1162" i="7"/>
  <c r="B1161" i="7"/>
  <c r="B1160" i="7"/>
  <c r="B1159" i="7"/>
  <c r="B1158" i="7"/>
  <c r="B1157" i="7"/>
  <c r="B1156" i="7"/>
  <c r="B1155" i="7"/>
  <c r="B1154" i="7"/>
  <c r="B1153" i="7"/>
  <c r="B1152" i="7"/>
  <c r="B1151" i="7"/>
  <c r="B1150" i="7"/>
  <c r="B1149" i="7"/>
  <c r="B1148" i="7"/>
  <c r="B1147" i="7"/>
  <c r="B1146" i="7"/>
  <c r="B1145" i="7"/>
  <c r="B1144" i="7"/>
  <c r="B1143" i="7"/>
  <c r="B1142" i="7"/>
  <c r="B1141" i="7"/>
  <c r="B1140" i="7"/>
  <c r="B1139" i="7"/>
  <c r="B1138" i="7"/>
  <c r="B1137" i="7"/>
  <c r="B1136" i="7"/>
  <c r="B1135" i="7"/>
  <c r="B1134" i="7"/>
  <c r="B1133" i="7"/>
  <c r="B1132" i="7"/>
  <c r="B1131" i="7"/>
  <c r="B1130" i="7"/>
  <c r="B1129" i="7"/>
  <c r="B1128" i="7"/>
  <c r="B1127" i="7"/>
  <c r="B1126" i="7"/>
  <c r="B1125" i="7"/>
  <c r="B1124" i="7"/>
  <c r="B1123" i="7"/>
  <c r="B1122" i="7"/>
  <c r="B1121" i="7"/>
  <c r="B1120" i="7"/>
  <c r="B1119" i="7"/>
  <c r="B1118" i="7"/>
  <c r="B1117" i="7"/>
  <c r="B1116" i="7"/>
  <c r="B1115" i="7"/>
  <c r="B1114" i="7"/>
  <c r="B1113" i="7"/>
  <c r="B1112" i="7"/>
  <c r="B1111" i="7"/>
  <c r="B1110" i="7"/>
  <c r="B1109" i="7"/>
  <c r="B1108" i="7"/>
  <c r="B1107" i="7"/>
  <c r="B1106" i="7"/>
  <c r="B1105" i="7"/>
  <c r="B1104" i="7"/>
  <c r="B1103" i="7"/>
  <c r="B1102" i="7"/>
  <c r="B1101" i="7"/>
  <c r="B1100" i="7"/>
  <c r="B1099" i="7"/>
  <c r="B1098" i="7"/>
  <c r="B1097" i="7"/>
  <c r="B1096" i="7"/>
  <c r="B1095" i="7"/>
  <c r="B1094" i="7"/>
  <c r="B1093" i="7"/>
  <c r="B1092" i="7"/>
  <c r="B1091" i="7"/>
  <c r="B1090" i="7"/>
  <c r="B1089" i="7"/>
  <c r="B1088" i="7"/>
  <c r="B1087" i="7"/>
  <c r="B1086" i="7"/>
  <c r="B1085" i="7"/>
  <c r="B1084" i="7"/>
  <c r="B1083" i="7"/>
  <c r="B1082" i="7"/>
  <c r="B1081" i="7"/>
  <c r="B1080" i="7"/>
  <c r="B1079" i="7"/>
  <c r="B1078" i="7"/>
  <c r="B1077" i="7"/>
  <c r="B1076" i="7"/>
  <c r="B1075" i="7"/>
  <c r="B1074" i="7"/>
  <c r="B1073" i="7"/>
  <c r="B1072" i="7"/>
  <c r="B1071" i="7"/>
  <c r="B1070" i="7"/>
  <c r="B1069" i="7"/>
  <c r="B1068" i="7"/>
  <c r="B1067" i="7"/>
  <c r="B1066" i="7"/>
  <c r="B1065" i="7"/>
  <c r="B1064" i="7"/>
  <c r="B1063" i="7"/>
  <c r="B1062" i="7"/>
  <c r="B1061" i="7"/>
  <c r="B1060" i="7"/>
  <c r="B1059" i="7"/>
  <c r="B1058" i="7"/>
  <c r="B1057" i="7"/>
  <c r="B1056" i="7"/>
  <c r="B1055" i="7"/>
  <c r="B1054" i="7"/>
  <c r="B1053" i="7"/>
  <c r="B1052" i="7"/>
  <c r="B1051" i="7"/>
  <c r="B1050" i="7"/>
  <c r="B1049" i="7"/>
  <c r="B1048" i="7"/>
  <c r="B1047" i="7"/>
  <c r="B1046" i="7"/>
  <c r="B1045" i="7"/>
  <c r="B1044" i="7"/>
  <c r="B1043" i="7"/>
  <c r="B1042" i="7"/>
  <c r="B1041" i="7"/>
  <c r="B1040" i="7"/>
  <c r="B1039" i="7"/>
  <c r="B1038" i="7"/>
  <c r="B1037" i="7"/>
  <c r="B1036" i="7"/>
  <c r="B1035" i="7"/>
  <c r="B1034" i="7"/>
  <c r="B1033" i="7"/>
  <c r="B1032" i="7"/>
  <c r="B1031" i="7"/>
  <c r="B1030" i="7"/>
  <c r="B1029" i="7"/>
  <c r="B1028" i="7"/>
  <c r="B1027" i="7"/>
  <c r="B1026" i="7"/>
  <c r="B1025" i="7"/>
  <c r="B1024" i="7"/>
  <c r="B1023" i="7"/>
  <c r="B1022" i="7"/>
  <c r="B1021" i="7"/>
  <c r="B1020" i="7"/>
  <c r="B1019" i="7"/>
  <c r="B1018" i="7"/>
  <c r="B1017" i="7"/>
  <c r="B1016" i="7"/>
  <c r="B1015" i="7"/>
  <c r="B1014" i="7"/>
  <c r="B1013" i="7"/>
  <c r="B1012" i="7"/>
  <c r="B1011" i="7"/>
  <c r="B1010" i="7"/>
  <c r="B1009" i="7"/>
  <c r="B1008" i="7"/>
  <c r="B1007" i="7"/>
  <c r="B1006" i="7"/>
  <c r="B1005" i="7"/>
  <c r="B1004" i="7"/>
  <c r="B1003" i="7"/>
  <c r="B1002" i="7"/>
  <c r="B1001" i="7"/>
  <c r="B1000" i="7"/>
  <c r="B999" i="7"/>
  <c r="B998" i="7"/>
  <c r="B997" i="7"/>
  <c r="B996" i="7"/>
  <c r="B995" i="7"/>
  <c r="B994" i="7"/>
  <c r="B993" i="7"/>
  <c r="B992" i="7"/>
  <c r="B991" i="7"/>
  <c r="B990" i="7"/>
  <c r="B989" i="7"/>
  <c r="B988" i="7"/>
  <c r="B987" i="7"/>
  <c r="B986" i="7"/>
  <c r="B985" i="7"/>
  <c r="B984" i="7"/>
  <c r="B983" i="7"/>
  <c r="B982" i="7"/>
  <c r="B981" i="7"/>
  <c r="B980" i="7"/>
  <c r="B979" i="7"/>
  <c r="B978" i="7"/>
  <c r="B977" i="7"/>
  <c r="B976" i="7"/>
  <c r="B975" i="7"/>
  <c r="B974" i="7"/>
  <c r="B973" i="7"/>
  <c r="B972" i="7"/>
  <c r="B971" i="7"/>
  <c r="B970" i="7"/>
  <c r="B969" i="7"/>
  <c r="B968" i="7"/>
  <c r="B967" i="7"/>
  <c r="B966" i="7"/>
  <c r="B965" i="7"/>
  <c r="B964" i="7"/>
  <c r="B963" i="7"/>
  <c r="B962" i="7"/>
  <c r="B961" i="7"/>
  <c r="B960" i="7"/>
  <c r="B959" i="7"/>
  <c r="B958" i="7"/>
  <c r="B957" i="7"/>
  <c r="B956" i="7"/>
  <c r="B955" i="7"/>
  <c r="B954" i="7"/>
  <c r="B953" i="7"/>
  <c r="B952" i="7"/>
  <c r="B951" i="7"/>
  <c r="B950" i="7"/>
  <c r="B949" i="7"/>
  <c r="B948" i="7"/>
  <c r="B947" i="7"/>
  <c r="B946" i="7"/>
  <c r="B945" i="7"/>
  <c r="B944" i="7"/>
  <c r="B943" i="7"/>
  <c r="B942" i="7"/>
  <c r="B941" i="7"/>
  <c r="B940" i="7"/>
  <c r="B939" i="7"/>
  <c r="B938" i="7"/>
  <c r="B937" i="7"/>
  <c r="B936" i="7"/>
  <c r="B935" i="7"/>
  <c r="B934" i="7"/>
  <c r="B933" i="7"/>
  <c r="B932" i="7"/>
  <c r="B931" i="7"/>
  <c r="B930" i="7"/>
  <c r="B929" i="7"/>
  <c r="B928" i="7"/>
  <c r="B927" i="7"/>
  <c r="B926" i="7"/>
  <c r="B925" i="7"/>
  <c r="B924" i="7"/>
  <c r="B923" i="7"/>
  <c r="B922" i="7"/>
  <c r="B921" i="7"/>
  <c r="B920" i="7"/>
  <c r="B919" i="7"/>
  <c r="B918" i="7"/>
  <c r="B917" i="7"/>
  <c r="B916" i="7"/>
  <c r="B915" i="7"/>
  <c r="B914" i="7"/>
  <c r="B913" i="7"/>
  <c r="B912" i="7"/>
  <c r="B911" i="7"/>
  <c r="B910" i="7"/>
  <c r="B909" i="7"/>
  <c r="B908" i="7"/>
  <c r="B907" i="7"/>
  <c r="B906" i="7"/>
  <c r="B905" i="7"/>
  <c r="B904" i="7"/>
  <c r="B903" i="7"/>
  <c r="B902" i="7"/>
  <c r="B901" i="7"/>
  <c r="B900" i="7"/>
  <c r="B899" i="7"/>
  <c r="B898" i="7"/>
  <c r="B897" i="7"/>
  <c r="B896" i="7"/>
  <c r="B895" i="7"/>
  <c r="B894" i="7"/>
  <c r="B893" i="7"/>
  <c r="B892" i="7"/>
  <c r="B891" i="7"/>
  <c r="B890" i="7"/>
  <c r="B889" i="7"/>
  <c r="B888" i="7"/>
  <c r="B887" i="7"/>
  <c r="B886" i="7"/>
  <c r="B885" i="7"/>
  <c r="B884" i="7"/>
  <c r="B883" i="7"/>
  <c r="B882" i="7"/>
  <c r="B881" i="7"/>
  <c r="B880" i="7"/>
  <c r="B879" i="7"/>
  <c r="B878" i="7"/>
  <c r="B877" i="7"/>
  <c r="B876" i="7"/>
  <c r="B875" i="7"/>
  <c r="B874" i="7"/>
  <c r="B873" i="7"/>
  <c r="B872" i="7"/>
  <c r="B871" i="7"/>
  <c r="B870" i="7"/>
  <c r="B869" i="7"/>
  <c r="B868" i="7"/>
  <c r="B867" i="7"/>
  <c r="B866" i="7"/>
  <c r="B865" i="7"/>
  <c r="B864" i="7"/>
  <c r="B863" i="7"/>
  <c r="B862" i="7"/>
  <c r="B861" i="7"/>
  <c r="B860" i="7"/>
  <c r="B859" i="7"/>
  <c r="B858" i="7"/>
  <c r="B857" i="7"/>
  <c r="B856" i="7"/>
  <c r="B855" i="7"/>
  <c r="B854" i="7"/>
  <c r="B853" i="7"/>
  <c r="B852" i="7"/>
  <c r="B851" i="7"/>
  <c r="B850" i="7"/>
  <c r="B849" i="7"/>
  <c r="B848" i="7"/>
  <c r="B847" i="7"/>
  <c r="B846" i="7"/>
  <c r="B845" i="7"/>
  <c r="B844" i="7"/>
  <c r="B843" i="7"/>
  <c r="B842" i="7"/>
  <c r="B841" i="7"/>
  <c r="B840" i="7"/>
  <c r="B839" i="7"/>
  <c r="B838" i="7"/>
  <c r="B837" i="7"/>
  <c r="B836" i="7"/>
  <c r="B835" i="7"/>
  <c r="B834" i="7"/>
  <c r="B833" i="7"/>
  <c r="B832" i="7"/>
  <c r="B831" i="7"/>
  <c r="B830" i="7"/>
  <c r="B829" i="7"/>
  <c r="B828" i="7"/>
  <c r="B827" i="7"/>
  <c r="B826" i="7"/>
  <c r="B825" i="7"/>
  <c r="B824" i="7"/>
  <c r="B823" i="7"/>
  <c r="B822" i="7"/>
  <c r="B821" i="7"/>
  <c r="B820" i="7"/>
  <c r="B819" i="7"/>
  <c r="B818" i="7"/>
  <c r="B817" i="7"/>
  <c r="B816" i="7"/>
  <c r="B815" i="7"/>
  <c r="B814" i="7"/>
  <c r="B813" i="7"/>
  <c r="B812" i="7"/>
  <c r="B811" i="7"/>
  <c r="B810" i="7"/>
  <c r="B809" i="7"/>
  <c r="B808" i="7"/>
  <c r="B807" i="7"/>
  <c r="B806" i="7"/>
  <c r="B805" i="7"/>
  <c r="B804" i="7"/>
  <c r="B803" i="7"/>
  <c r="B802" i="7"/>
  <c r="B801" i="7"/>
  <c r="B800" i="7"/>
  <c r="B799" i="7"/>
  <c r="B798" i="7"/>
  <c r="B797" i="7"/>
  <c r="B796" i="7"/>
  <c r="B795" i="7"/>
  <c r="B794" i="7"/>
  <c r="B793" i="7"/>
  <c r="B792" i="7"/>
  <c r="B791" i="7"/>
  <c r="B790" i="7"/>
  <c r="B789" i="7"/>
  <c r="B788" i="7"/>
  <c r="B787" i="7"/>
  <c r="B786" i="7"/>
  <c r="B785" i="7"/>
  <c r="B784" i="7"/>
  <c r="B783" i="7"/>
  <c r="B782" i="7"/>
  <c r="B781" i="7"/>
  <c r="B780" i="7"/>
  <c r="B779" i="7"/>
  <c r="B778" i="7"/>
  <c r="B777" i="7"/>
  <c r="B776" i="7"/>
  <c r="B775" i="7"/>
  <c r="B774" i="7"/>
  <c r="B773" i="7"/>
  <c r="B772" i="7"/>
  <c r="B771" i="7"/>
  <c r="B770" i="7"/>
  <c r="B769" i="7"/>
  <c r="B768" i="7"/>
  <c r="B767" i="7"/>
  <c r="B766" i="7"/>
  <c r="B765" i="7"/>
  <c r="B764" i="7"/>
  <c r="B763" i="7"/>
  <c r="B762" i="7"/>
  <c r="B761" i="7"/>
  <c r="B760" i="7"/>
  <c r="B759" i="7"/>
  <c r="B758" i="7"/>
  <c r="B757" i="7"/>
  <c r="B756" i="7"/>
  <c r="B755" i="7"/>
  <c r="B754" i="7"/>
  <c r="B753" i="7"/>
  <c r="B752" i="7"/>
  <c r="B751" i="7"/>
  <c r="B750" i="7"/>
  <c r="B749" i="7"/>
  <c r="B748" i="7"/>
  <c r="B747" i="7"/>
  <c r="B746" i="7"/>
  <c r="B745" i="7"/>
  <c r="B744" i="7"/>
  <c r="B743" i="7"/>
  <c r="B742" i="7"/>
  <c r="B741" i="7"/>
  <c r="B740" i="7"/>
  <c r="B739" i="7"/>
  <c r="B738" i="7"/>
  <c r="B737" i="7"/>
  <c r="B736" i="7"/>
  <c r="B735" i="7"/>
  <c r="B734" i="7"/>
  <c r="B733" i="7"/>
  <c r="B732" i="7"/>
  <c r="B731" i="7"/>
  <c r="B730" i="7"/>
  <c r="B729" i="7"/>
  <c r="B728" i="7"/>
  <c r="B727" i="7"/>
  <c r="B726" i="7"/>
  <c r="B725" i="7"/>
  <c r="B724" i="7"/>
  <c r="B723" i="7"/>
  <c r="B722" i="7"/>
  <c r="B721" i="7"/>
  <c r="B720" i="7"/>
  <c r="B719" i="7"/>
  <c r="B718" i="7"/>
  <c r="B717" i="7"/>
  <c r="B716" i="7"/>
  <c r="B715" i="7"/>
  <c r="B714" i="7"/>
  <c r="B713" i="7"/>
  <c r="B712" i="7"/>
  <c r="B711" i="7"/>
  <c r="B710" i="7"/>
  <c r="B709" i="7"/>
  <c r="B708" i="7"/>
  <c r="B707" i="7"/>
  <c r="B706" i="7"/>
  <c r="B705" i="7"/>
  <c r="B704" i="7"/>
  <c r="B703" i="7"/>
  <c r="B702" i="7"/>
  <c r="B701" i="7"/>
  <c r="B700" i="7"/>
  <c r="B699" i="7"/>
  <c r="B698" i="7"/>
  <c r="B697" i="7"/>
  <c r="B696" i="7"/>
  <c r="B695" i="7"/>
  <c r="B694" i="7"/>
  <c r="B693" i="7"/>
  <c r="B692" i="7"/>
  <c r="B691" i="7"/>
  <c r="B690" i="7"/>
  <c r="B689" i="7"/>
  <c r="B688" i="7"/>
  <c r="B687" i="7"/>
  <c r="B686" i="7"/>
  <c r="B685" i="7"/>
  <c r="B684" i="7"/>
  <c r="B683" i="7"/>
  <c r="B682" i="7"/>
  <c r="B681" i="7"/>
  <c r="B680" i="7"/>
  <c r="B679" i="7"/>
  <c r="B678" i="7"/>
  <c r="B677" i="7"/>
  <c r="B676" i="7"/>
  <c r="B675" i="7"/>
  <c r="B674" i="7"/>
  <c r="B673" i="7"/>
  <c r="B672" i="7"/>
  <c r="B671" i="7"/>
  <c r="B670" i="7"/>
  <c r="B669" i="7"/>
  <c r="B668" i="7"/>
  <c r="B667" i="7"/>
  <c r="B666" i="7"/>
  <c r="B665" i="7"/>
  <c r="B664" i="7"/>
  <c r="B663" i="7"/>
  <c r="B662" i="7"/>
  <c r="B661" i="7"/>
  <c r="B660" i="7"/>
  <c r="B659" i="7"/>
  <c r="B658" i="7"/>
  <c r="B657" i="7"/>
  <c r="B656" i="7"/>
  <c r="B655" i="7"/>
  <c r="B654" i="7"/>
  <c r="B653" i="7"/>
  <c r="B652" i="7"/>
  <c r="B651" i="7"/>
  <c r="B650" i="7"/>
  <c r="B649" i="7"/>
  <c r="B648" i="7"/>
  <c r="B647" i="7"/>
  <c r="B646" i="7"/>
  <c r="B645" i="7"/>
  <c r="B644" i="7"/>
  <c r="B643" i="7"/>
  <c r="B642" i="7"/>
  <c r="B641" i="7"/>
  <c r="B640" i="7"/>
  <c r="B639" i="7"/>
  <c r="B638" i="7"/>
  <c r="B637" i="7"/>
  <c r="B636" i="7"/>
  <c r="B635" i="7"/>
  <c r="B634" i="7"/>
  <c r="B633" i="7"/>
  <c r="B632" i="7"/>
  <c r="B631" i="7"/>
  <c r="B630" i="7"/>
  <c r="B629" i="7"/>
  <c r="B628" i="7"/>
  <c r="B627" i="7"/>
  <c r="B626" i="7"/>
  <c r="B625" i="7"/>
  <c r="B624" i="7"/>
  <c r="B623" i="7"/>
  <c r="B622" i="7"/>
  <c r="B621" i="7"/>
  <c r="B620" i="7"/>
  <c r="B619" i="7"/>
  <c r="B618" i="7"/>
  <c r="B617" i="7"/>
  <c r="B616" i="7"/>
  <c r="B615" i="7"/>
  <c r="B614" i="7"/>
  <c r="B613" i="7"/>
  <c r="B612" i="7"/>
  <c r="B611" i="7"/>
  <c r="B610" i="7"/>
  <c r="B609" i="7"/>
  <c r="B608" i="7"/>
  <c r="B607" i="7"/>
  <c r="B606" i="7"/>
  <c r="B605" i="7"/>
  <c r="B604" i="7"/>
  <c r="B603" i="7"/>
  <c r="B602" i="7"/>
  <c r="B601" i="7"/>
  <c r="B600" i="7"/>
  <c r="B599" i="7"/>
  <c r="B598" i="7"/>
  <c r="B597" i="7"/>
  <c r="B596" i="7"/>
  <c r="B595" i="7"/>
  <c r="B594" i="7"/>
  <c r="B593" i="7"/>
  <c r="B592" i="7"/>
  <c r="B591" i="7"/>
  <c r="B590" i="7"/>
  <c r="B589" i="7"/>
  <c r="B588" i="7"/>
  <c r="B587" i="7"/>
  <c r="B586" i="7"/>
  <c r="B585" i="7"/>
  <c r="B584" i="7"/>
  <c r="B583" i="7"/>
  <c r="B582" i="7"/>
  <c r="B581" i="7"/>
  <c r="B580" i="7"/>
  <c r="B579" i="7"/>
  <c r="B578" i="7"/>
  <c r="B577" i="7"/>
  <c r="B576" i="7"/>
  <c r="B575" i="7"/>
  <c r="B574" i="7"/>
  <c r="B573" i="7"/>
  <c r="B572" i="7"/>
  <c r="B571" i="7"/>
  <c r="B570" i="7"/>
  <c r="B569" i="7"/>
  <c r="B568" i="7"/>
  <c r="B567" i="7"/>
  <c r="B566" i="7"/>
  <c r="B565" i="7"/>
  <c r="B564" i="7"/>
  <c r="B563" i="7"/>
  <c r="B562" i="7"/>
  <c r="B561" i="7"/>
  <c r="B560" i="7"/>
  <c r="B559" i="7"/>
  <c r="B558" i="7"/>
  <c r="B557" i="7"/>
  <c r="B556" i="7"/>
  <c r="B555" i="7"/>
  <c r="B554" i="7"/>
  <c r="B553" i="7"/>
  <c r="B552" i="7"/>
  <c r="B551" i="7"/>
  <c r="B550" i="7"/>
  <c r="B549" i="7"/>
  <c r="B548" i="7"/>
  <c r="B547" i="7"/>
  <c r="B546" i="7"/>
  <c r="B545" i="7"/>
  <c r="B544" i="7"/>
  <c r="B543" i="7"/>
  <c r="B542" i="7"/>
  <c r="B541" i="7"/>
  <c r="B540" i="7"/>
  <c r="B539" i="7"/>
  <c r="B538" i="7"/>
  <c r="B537" i="7"/>
  <c r="B536" i="7"/>
  <c r="B535" i="7"/>
  <c r="B534" i="7"/>
  <c r="B533" i="7"/>
  <c r="B532" i="7"/>
  <c r="B531" i="7"/>
  <c r="B530" i="7"/>
  <c r="B529" i="7"/>
  <c r="B528" i="7"/>
  <c r="B527" i="7"/>
  <c r="B526" i="7"/>
  <c r="B525" i="7"/>
  <c r="B524" i="7"/>
  <c r="B523" i="7"/>
  <c r="B522" i="7"/>
  <c r="B521" i="7"/>
  <c r="B520" i="7"/>
  <c r="B519" i="7"/>
  <c r="B518" i="7"/>
  <c r="B517" i="7"/>
  <c r="B516" i="7"/>
  <c r="B515" i="7"/>
  <c r="B514" i="7"/>
  <c r="B513" i="7"/>
  <c r="B512" i="7"/>
  <c r="B511" i="7"/>
  <c r="B510" i="7"/>
  <c r="B509" i="7"/>
  <c r="B508" i="7"/>
  <c r="B507" i="7"/>
  <c r="B506" i="7"/>
  <c r="B505" i="7"/>
  <c r="B504" i="7"/>
  <c r="B503" i="7"/>
  <c r="B502" i="7"/>
  <c r="B501" i="7"/>
  <c r="B500" i="7"/>
  <c r="B499" i="7"/>
  <c r="B498" i="7"/>
  <c r="B497" i="7"/>
  <c r="B496" i="7"/>
  <c r="B495" i="7"/>
  <c r="B494" i="7"/>
  <c r="B493" i="7"/>
  <c r="B492" i="7"/>
  <c r="B491" i="7"/>
  <c r="B490" i="7"/>
  <c r="B489" i="7"/>
  <c r="B488" i="7"/>
  <c r="B487" i="7"/>
  <c r="B486" i="7"/>
  <c r="B485" i="7"/>
  <c r="B484" i="7"/>
  <c r="B483" i="7"/>
  <c r="B482" i="7"/>
  <c r="B481" i="7"/>
  <c r="B480" i="7"/>
  <c r="B479" i="7"/>
  <c r="B478" i="7"/>
  <c r="B477" i="7"/>
  <c r="B476" i="7"/>
  <c r="B475" i="7"/>
  <c r="B474" i="7"/>
  <c r="B473" i="7"/>
  <c r="B472" i="7"/>
  <c r="B471" i="7"/>
  <c r="B470" i="7"/>
  <c r="B469" i="7"/>
  <c r="B468" i="7"/>
  <c r="B467" i="7"/>
  <c r="B466" i="7"/>
  <c r="B465" i="7"/>
  <c r="B464" i="7"/>
  <c r="B463" i="7"/>
  <c r="B462" i="7"/>
  <c r="B461" i="7"/>
  <c r="B460" i="7"/>
  <c r="B459" i="7"/>
  <c r="B458" i="7"/>
  <c r="B457" i="7"/>
  <c r="B456" i="7"/>
  <c r="B455" i="7"/>
  <c r="B454" i="7"/>
  <c r="B453" i="7"/>
  <c r="B452" i="7"/>
  <c r="B451" i="7"/>
  <c r="B450" i="7"/>
  <c r="B449" i="7"/>
  <c r="B448" i="7"/>
  <c r="B447" i="7"/>
  <c r="B446" i="7"/>
  <c r="B445" i="7"/>
  <c r="B444" i="7"/>
  <c r="B443" i="7"/>
  <c r="B442" i="7"/>
  <c r="B441" i="7"/>
  <c r="B440" i="7"/>
  <c r="B439" i="7"/>
  <c r="B438" i="7"/>
  <c r="B437" i="7"/>
  <c r="B436" i="7"/>
  <c r="B435" i="7"/>
  <c r="B434" i="7"/>
  <c r="B433" i="7"/>
  <c r="B432" i="7"/>
  <c r="B431" i="7"/>
  <c r="B430" i="7"/>
  <c r="B429" i="7"/>
  <c r="B428" i="7"/>
  <c r="B427" i="7"/>
  <c r="B426" i="7"/>
  <c r="B425" i="7"/>
  <c r="B424" i="7"/>
  <c r="B423" i="7"/>
  <c r="B422" i="7"/>
  <c r="B421" i="7"/>
  <c r="B420" i="7"/>
  <c r="B419" i="7"/>
  <c r="B418" i="7"/>
  <c r="B417" i="7"/>
  <c r="B416" i="7"/>
  <c r="B415" i="7"/>
  <c r="B414" i="7"/>
  <c r="B413" i="7"/>
  <c r="B412" i="7"/>
  <c r="B411" i="7"/>
  <c r="B410" i="7"/>
  <c r="B409" i="7"/>
  <c r="B408" i="7"/>
  <c r="B407" i="7"/>
  <c r="B406" i="7"/>
  <c r="B405" i="7"/>
  <c r="B404" i="7"/>
  <c r="B403" i="7"/>
  <c r="B402" i="7"/>
  <c r="B401" i="7"/>
  <c r="B400" i="7"/>
  <c r="B399" i="7"/>
  <c r="B398" i="7"/>
  <c r="B397" i="7"/>
  <c r="B396" i="7"/>
  <c r="B395" i="7"/>
  <c r="B394" i="7"/>
  <c r="B393" i="7"/>
  <c r="B392" i="7"/>
  <c r="B391" i="7"/>
  <c r="B390" i="7"/>
  <c r="B389" i="7"/>
  <c r="B388" i="7"/>
  <c r="B387" i="7"/>
  <c r="B386" i="7"/>
  <c r="B385" i="7"/>
  <c r="B384" i="7"/>
  <c r="B383" i="7"/>
  <c r="B382" i="7"/>
  <c r="B381" i="7"/>
  <c r="B380" i="7"/>
  <c r="B379" i="7"/>
  <c r="B378" i="7"/>
  <c r="B377" i="7"/>
  <c r="B376" i="7"/>
  <c r="B375" i="7"/>
  <c r="B374" i="7"/>
  <c r="B373" i="7"/>
  <c r="B372" i="7"/>
  <c r="B371" i="7"/>
  <c r="B370" i="7"/>
  <c r="B369" i="7"/>
  <c r="B368" i="7"/>
  <c r="B367" i="7"/>
  <c r="B366" i="7"/>
  <c r="B365" i="7"/>
  <c r="B364" i="7"/>
  <c r="B363" i="7"/>
  <c r="B362" i="7"/>
  <c r="B361" i="7"/>
  <c r="B360" i="7"/>
  <c r="B359" i="7"/>
  <c r="B358" i="7"/>
  <c r="B357" i="7"/>
  <c r="B356" i="7"/>
  <c r="B355" i="7"/>
  <c r="B354" i="7"/>
  <c r="B353" i="7"/>
  <c r="B352" i="7"/>
  <c r="B351" i="7"/>
  <c r="B350" i="7"/>
  <c r="B349" i="7"/>
  <c r="B348" i="7"/>
  <c r="B347" i="7"/>
  <c r="B346" i="7"/>
  <c r="B345" i="7"/>
  <c r="B344" i="7"/>
  <c r="B343" i="7"/>
  <c r="B342" i="7"/>
  <c r="B341" i="7"/>
  <c r="B340" i="7"/>
  <c r="B339" i="7"/>
  <c r="B338" i="7"/>
  <c r="B337" i="7"/>
  <c r="B336" i="7"/>
  <c r="B335" i="7"/>
  <c r="B334" i="7"/>
  <c r="B333" i="7"/>
  <c r="B332" i="7"/>
  <c r="B331" i="7"/>
  <c r="B330" i="7"/>
  <c r="B329" i="7"/>
  <c r="B328" i="7"/>
  <c r="B327" i="7"/>
  <c r="B326" i="7"/>
  <c r="B325" i="7"/>
  <c r="B324" i="7"/>
  <c r="B323" i="7"/>
  <c r="B322" i="7"/>
  <c r="B321" i="7"/>
  <c r="B320" i="7"/>
  <c r="B319" i="7"/>
  <c r="B318" i="7"/>
  <c r="B317" i="7"/>
  <c r="B316" i="7"/>
  <c r="B315" i="7"/>
  <c r="B314" i="7"/>
  <c r="B313" i="7"/>
  <c r="B312" i="7"/>
  <c r="B311" i="7"/>
  <c r="B310" i="7"/>
  <c r="B309" i="7"/>
  <c r="B308" i="7"/>
  <c r="B307" i="7"/>
  <c r="B306" i="7"/>
  <c r="B305" i="7"/>
  <c r="B304" i="7"/>
  <c r="B303" i="7"/>
  <c r="B302" i="7"/>
  <c r="B301" i="7"/>
  <c r="B300" i="7"/>
  <c r="B299" i="7"/>
  <c r="B298" i="7"/>
  <c r="B297" i="7"/>
  <c r="B296" i="7"/>
  <c r="B295" i="7"/>
  <c r="B294" i="7"/>
  <c r="B293" i="7"/>
  <c r="B292" i="7"/>
  <c r="B291" i="7"/>
  <c r="B290" i="7"/>
  <c r="B289" i="7"/>
  <c r="B288" i="7"/>
  <c r="B287" i="7"/>
  <c r="B286" i="7"/>
  <c r="B285" i="7"/>
  <c r="B284" i="7"/>
  <c r="B283" i="7"/>
  <c r="B282" i="7"/>
  <c r="B281" i="7"/>
  <c r="B280" i="7"/>
  <c r="B279" i="7"/>
  <c r="B278" i="7"/>
  <c r="B277" i="7"/>
  <c r="B276" i="7"/>
  <c r="B275" i="7"/>
  <c r="B274" i="7"/>
  <c r="B273" i="7"/>
  <c r="B272" i="7"/>
  <c r="B271" i="7"/>
  <c r="B270" i="7"/>
  <c r="B269" i="7"/>
  <c r="B268" i="7"/>
  <c r="B267" i="7"/>
  <c r="B266" i="7"/>
  <c r="B265" i="7"/>
  <c r="B264" i="7"/>
  <c r="B263" i="7"/>
  <c r="B262" i="7"/>
  <c r="B261" i="7"/>
  <c r="B260" i="7"/>
  <c r="B259" i="7"/>
  <c r="B258" i="7"/>
  <c r="B257" i="7"/>
  <c r="B256" i="7"/>
  <c r="B255" i="7"/>
  <c r="B254" i="7"/>
  <c r="B253" i="7"/>
  <c r="B252" i="7"/>
  <c r="B251" i="7"/>
  <c r="B250" i="7"/>
  <c r="B249" i="7"/>
  <c r="B248" i="7"/>
  <c r="B247" i="7"/>
  <c r="B246" i="7"/>
  <c r="B245" i="7"/>
  <c r="B244" i="7"/>
  <c r="B243" i="7"/>
  <c r="B242" i="7"/>
  <c r="B241" i="7"/>
  <c r="B240" i="7"/>
  <c r="B239" i="7"/>
  <c r="B238" i="7"/>
  <c r="B237" i="7"/>
  <c r="B236" i="7"/>
  <c r="B235" i="7"/>
  <c r="B234" i="7"/>
  <c r="B233" i="7"/>
  <c r="B232" i="7"/>
  <c r="B231" i="7"/>
  <c r="B230" i="7"/>
  <c r="B229" i="7"/>
  <c r="B228" i="7"/>
  <c r="B227" i="7"/>
  <c r="B226" i="7"/>
  <c r="B225" i="7"/>
  <c r="B224" i="7"/>
  <c r="B223" i="7"/>
  <c r="B222" i="7"/>
  <c r="B221" i="7"/>
  <c r="B220" i="7"/>
  <c r="B219" i="7"/>
  <c r="B218" i="7"/>
  <c r="B217" i="7"/>
  <c r="B216" i="7"/>
  <c r="B215" i="7"/>
  <c r="B214" i="7"/>
  <c r="B213" i="7"/>
  <c r="B212" i="7"/>
  <c r="B211" i="7"/>
  <c r="B210" i="7"/>
  <c r="B209" i="7"/>
  <c r="B208" i="7"/>
  <c r="B207" i="7"/>
  <c r="B206" i="7"/>
  <c r="B205" i="7"/>
  <c r="B204" i="7"/>
  <c r="B203" i="7"/>
  <c r="B202" i="7"/>
  <c r="B201" i="7"/>
  <c r="B200" i="7"/>
  <c r="B199" i="7"/>
  <c r="B198" i="7"/>
  <c r="B197" i="7"/>
  <c r="B196" i="7"/>
  <c r="B195" i="7"/>
  <c r="B194" i="7"/>
  <c r="B193" i="7"/>
  <c r="B192" i="7"/>
  <c r="B191" i="7"/>
  <c r="B190" i="7"/>
  <c r="B189" i="7"/>
  <c r="B188" i="7"/>
  <c r="B187" i="7"/>
  <c r="B186" i="7"/>
  <c r="B185" i="7"/>
  <c r="B184" i="7"/>
  <c r="B183" i="7"/>
  <c r="B182" i="7"/>
  <c r="B181" i="7"/>
  <c r="B180" i="7"/>
  <c r="B179" i="7"/>
  <c r="B178" i="7"/>
  <c r="B177" i="7"/>
  <c r="B176" i="7"/>
  <c r="B175" i="7"/>
  <c r="B174" i="7"/>
  <c r="B173" i="7"/>
  <c r="B172" i="7"/>
  <c r="B171" i="7"/>
  <c r="B170" i="7"/>
  <c r="B169" i="7"/>
  <c r="B168" i="7"/>
  <c r="B167" i="7"/>
  <c r="B166" i="7"/>
  <c r="B165" i="7"/>
  <c r="B164" i="7"/>
  <c r="B163" i="7"/>
  <c r="B162" i="7"/>
  <c r="B161" i="7"/>
  <c r="B160" i="7"/>
  <c r="B159" i="7"/>
  <c r="B158" i="7"/>
  <c r="B157" i="7"/>
  <c r="B156" i="7"/>
  <c r="B155" i="7"/>
  <c r="B154" i="7"/>
  <c r="B153" i="7"/>
  <c r="B152" i="7"/>
  <c r="B151" i="7"/>
  <c r="B150" i="7"/>
  <c r="B149" i="7"/>
  <c r="B148" i="7"/>
  <c r="B147" i="7"/>
  <c r="B146" i="7"/>
  <c r="B145" i="7"/>
  <c r="B144" i="7"/>
  <c r="B143" i="7"/>
  <c r="B142" i="7"/>
  <c r="B141" i="7"/>
  <c r="B140" i="7"/>
  <c r="B139" i="7"/>
  <c r="B138" i="7"/>
  <c r="B137" i="7"/>
  <c r="B136" i="7"/>
  <c r="B135" i="7"/>
  <c r="B134" i="7"/>
  <c r="B133" i="7"/>
  <c r="B132" i="7"/>
  <c r="B131" i="7"/>
  <c r="B130" i="7"/>
  <c r="B129" i="7"/>
  <c r="B128" i="7"/>
  <c r="B127" i="7"/>
  <c r="B126" i="7"/>
  <c r="B125" i="7"/>
  <c r="B124" i="7"/>
  <c r="B123" i="7"/>
  <c r="B122" i="7"/>
  <c r="B121" i="7"/>
  <c r="B120" i="7"/>
  <c r="B119" i="7"/>
  <c r="B118" i="7"/>
  <c r="B117" i="7"/>
  <c r="B116" i="7"/>
  <c r="B115" i="7"/>
  <c r="B114" i="7"/>
  <c r="B113" i="7"/>
  <c r="B112" i="7"/>
  <c r="B111" i="7"/>
  <c r="B110" i="7"/>
  <c r="B109" i="7"/>
  <c r="B108" i="7"/>
  <c r="B107" i="7"/>
  <c r="B106" i="7"/>
  <c r="B105" i="7"/>
  <c r="B104" i="7"/>
  <c r="B103" i="7"/>
  <c r="B102" i="7"/>
  <c r="B101" i="7"/>
  <c r="B100" i="7"/>
  <c r="B99" i="7"/>
  <c r="B98" i="7"/>
  <c r="B97" i="7"/>
  <c r="B96" i="7"/>
  <c r="B95" i="7"/>
  <c r="B94" i="7"/>
  <c r="B93" i="7"/>
  <c r="B92" i="7"/>
  <c r="B91" i="7"/>
  <c r="B90" i="7"/>
  <c r="B89" i="7"/>
  <c r="B88" i="7"/>
  <c r="B87" i="7"/>
  <c r="B86" i="7"/>
  <c r="B85" i="7"/>
  <c r="B84" i="7"/>
  <c r="B83" i="7"/>
  <c r="B82" i="7"/>
  <c r="B81" i="7"/>
  <c r="B80" i="7"/>
  <c r="B79" i="7"/>
  <c r="B78" i="7"/>
  <c r="B77" i="7"/>
  <c r="B76" i="7"/>
  <c r="B75" i="7"/>
  <c r="B74" i="7"/>
  <c r="B73" i="7"/>
  <c r="B72" i="7"/>
  <c r="B71" i="7"/>
  <c r="B70" i="7"/>
  <c r="B69" i="7"/>
  <c r="B68" i="7"/>
  <c r="B67" i="7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B3" i="7"/>
  <c r="B2" i="7"/>
  <c r="A1320" i="7"/>
  <c r="A1319" i="7"/>
  <c r="A1318" i="7"/>
  <c r="A1317" i="7"/>
  <c r="A1316" i="7"/>
  <c r="A1315" i="7"/>
  <c r="A1314" i="7"/>
  <c r="A1313" i="7"/>
  <c r="A1312" i="7"/>
  <c r="A1311" i="7"/>
  <c r="A1310" i="7"/>
  <c r="A1309" i="7"/>
  <c r="A1308" i="7"/>
  <c r="A1307" i="7"/>
  <c r="A1306" i="7"/>
  <c r="A1305" i="7"/>
  <c r="A1304" i="7"/>
  <c r="A1303" i="7"/>
  <c r="A1302" i="7"/>
  <c r="A1301" i="7"/>
  <c r="A1300" i="7"/>
  <c r="A1299" i="7"/>
  <c r="A1298" i="7"/>
  <c r="A1297" i="7"/>
  <c r="A1296" i="7"/>
  <c r="A1295" i="7"/>
  <c r="A1294" i="7"/>
  <c r="A1293" i="7"/>
  <c r="A1292" i="7"/>
  <c r="A1291" i="7"/>
  <c r="A1290" i="7"/>
  <c r="A1289" i="7"/>
  <c r="A1288" i="7"/>
  <c r="A1287" i="7"/>
  <c r="A1286" i="7"/>
  <c r="A1285" i="7"/>
  <c r="A1284" i="7"/>
  <c r="A1283" i="7"/>
  <c r="A1282" i="7"/>
  <c r="A1281" i="7"/>
  <c r="A1280" i="7"/>
  <c r="A1279" i="7"/>
  <c r="A1278" i="7"/>
  <c r="A1277" i="7"/>
  <c r="A1276" i="7"/>
  <c r="A1275" i="7"/>
  <c r="A1274" i="7"/>
  <c r="A1273" i="7"/>
  <c r="A1272" i="7"/>
  <c r="A1271" i="7"/>
  <c r="A1270" i="7"/>
  <c r="A1269" i="7"/>
  <c r="A1268" i="7"/>
  <c r="A1267" i="7"/>
  <c r="A1266" i="7"/>
  <c r="A1265" i="7"/>
  <c r="A1264" i="7"/>
  <c r="A1263" i="7"/>
  <c r="A1262" i="7"/>
  <c r="A1261" i="7"/>
  <c r="A1260" i="7"/>
  <c r="A1259" i="7"/>
  <c r="A1258" i="7"/>
  <c r="A1257" i="7"/>
  <c r="A1256" i="7"/>
  <c r="A1255" i="7"/>
  <c r="A1254" i="7"/>
  <c r="A1253" i="7"/>
  <c r="A1252" i="7"/>
  <c r="A1251" i="7"/>
  <c r="A1250" i="7"/>
  <c r="A1249" i="7"/>
  <c r="A1248" i="7"/>
  <c r="A1247" i="7"/>
  <c r="A1246" i="7"/>
  <c r="A1245" i="7"/>
  <c r="A1244" i="7"/>
  <c r="A1243" i="7"/>
  <c r="A1242" i="7"/>
  <c r="A1241" i="7"/>
  <c r="A1240" i="7"/>
  <c r="A1239" i="7"/>
  <c r="A1238" i="7"/>
  <c r="A1237" i="7"/>
  <c r="A1236" i="7"/>
  <c r="A1235" i="7"/>
  <c r="A1234" i="7"/>
  <c r="A1233" i="7"/>
  <c r="A1232" i="7"/>
  <c r="A1231" i="7"/>
  <c r="A1230" i="7"/>
  <c r="A1229" i="7"/>
  <c r="A1228" i="7"/>
  <c r="A1227" i="7"/>
  <c r="A1226" i="7"/>
  <c r="A1225" i="7"/>
  <c r="A1224" i="7"/>
  <c r="A1223" i="7"/>
  <c r="A1222" i="7"/>
  <c r="A1221" i="7"/>
  <c r="A1220" i="7"/>
  <c r="A1219" i="7"/>
  <c r="A1218" i="7"/>
  <c r="A1217" i="7"/>
  <c r="A1216" i="7"/>
  <c r="A1215" i="7"/>
  <c r="A1214" i="7"/>
  <c r="A1213" i="7"/>
  <c r="A1212" i="7"/>
  <c r="A1211" i="7"/>
  <c r="A1210" i="7"/>
  <c r="A1209" i="7"/>
  <c r="A1208" i="7"/>
  <c r="A1207" i="7"/>
  <c r="A1206" i="7"/>
  <c r="A1205" i="7"/>
  <c r="A1204" i="7"/>
  <c r="A1203" i="7"/>
  <c r="A1202" i="7"/>
  <c r="A1201" i="7"/>
  <c r="A1200" i="7"/>
  <c r="A1199" i="7"/>
  <c r="A1198" i="7"/>
  <c r="A1197" i="7"/>
  <c r="A1196" i="7"/>
  <c r="A1195" i="7"/>
  <c r="A1194" i="7"/>
  <c r="A1193" i="7"/>
  <c r="A1192" i="7"/>
  <c r="A1191" i="7"/>
  <c r="A1190" i="7"/>
  <c r="A1189" i="7"/>
  <c r="A1188" i="7"/>
  <c r="A1187" i="7"/>
  <c r="A1186" i="7"/>
  <c r="A1185" i="7"/>
  <c r="A1184" i="7"/>
  <c r="A1183" i="7"/>
  <c r="A1182" i="7"/>
  <c r="A1181" i="7"/>
  <c r="A1180" i="7"/>
  <c r="A1179" i="7"/>
  <c r="A1178" i="7"/>
  <c r="A1177" i="7"/>
  <c r="A1176" i="7"/>
  <c r="A1175" i="7"/>
  <c r="A1174" i="7"/>
  <c r="A1173" i="7"/>
  <c r="A1172" i="7"/>
  <c r="A1171" i="7"/>
  <c r="A1170" i="7"/>
  <c r="A1169" i="7"/>
  <c r="A1168" i="7"/>
  <c r="A1167" i="7"/>
  <c r="A1166" i="7"/>
  <c r="A1165" i="7"/>
  <c r="A1164" i="7"/>
  <c r="A1163" i="7"/>
  <c r="A1162" i="7"/>
  <c r="A1161" i="7"/>
  <c r="A1160" i="7"/>
  <c r="A1159" i="7"/>
  <c r="A1158" i="7"/>
  <c r="A1157" i="7"/>
  <c r="A1156" i="7"/>
  <c r="A1155" i="7"/>
  <c r="A1154" i="7"/>
  <c r="A1153" i="7"/>
  <c r="A1152" i="7"/>
  <c r="A1151" i="7"/>
  <c r="A1150" i="7"/>
  <c r="A1149" i="7"/>
  <c r="A1148" i="7"/>
  <c r="A1147" i="7"/>
  <c r="A1146" i="7"/>
  <c r="A1145" i="7"/>
  <c r="A1144" i="7"/>
  <c r="A1143" i="7"/>
  <c r="A1142" i="7"/>
  <c r="A1141" i="7"/>
  <c r="A1140" i="7"/>
  <c r="A1139" i="7"/>
  <c r="A1138" i="7"/>
  <c r="A1137" i="7"/>
  <c r="A1136" i="7"/>
  <c r="A1135" i="7"/>
  <c r="A1134" i="7"/>
  <c r="A1133" i="7"/>
  <c r="A1132" i="7"/>
  <c r="A1131" i="7"/>
  <c r="A1130" i="7"/>
  <c r="A1129" i="7"/>
  <c r="A1128" i="7"/>
  <c r="A1127" i="7"/>
  <c r="A1126" i="7"/>
  <c r="A1125" i="7"/>
  <c r="A1124" i="7"/>
  <c r="A1123" i="7"/>
  <c r="A1122" i="7"/>
  <c r="A1121" i="7"/>
  <c r="A1120" i="7"/>
  <c r="A1119" i="7"/>
  <c r="A1118" i="7"/>
  <c r="A1117" i="7"/>
  <c r="A1116" i="7"/>
  <c r="A1115" i="7"/>
  <c r="A1114" i="7"/>
  <c r="A1113" i="7"/>
  <c r="A1112" i="7"/>
  <c r="A1111" i="7"/>
  <c r="A1110" i="7"/>
  <c r="A1109" i="7"/>
  <c r="A1108" i="7"/>
  <c r="A1107" i="7"/>
  <c r="A1106" i="7"/>
  <c r="A1105" i="7"/>
  <c r="A1104" i="7"/>
  <c r="A1103" i="7"/>
  <c r="A1102" i="7"/>
  <c r="A1101" i="7"/>
  <c r="A1100" i="7"/>
  <c r="A1099" i="7"/>
  <c r="A1098" i="7"/>
  <c r="A1097" i="7"/>
  <c r="A1096" i="7"/>
  <c r="A1095" i="7"/>
  <c r="A1094" i="7"/>
  <c r="A1093" i="7"/>
  <c r="A1092" i="7"/>
  <c r="A1091" i="7"/>
  <c r="A1090" i="7"/>
  <c r="A1089" i="7"/>
  <c r="A1088" i="7"/>
  <c r="A1087" i="7"/>
  <c r="A1086" i="7"/>
  <c r="A1085" i="7"/>
  <c r="A1084" i="7"/>
  <c r="A1083" i="7"/>
  <c r="A1082" i="7"/>
  <c r="A1081" i="7"/>
  <c r="A1080" i="7"/>
  <c r="A1079" i="7"/>
  <c r="A1078" i="7"/>
  <c r="A1077" i="7"/>
  <c r="A1076" i="7"/>
  <c r="A1075" i="7"/>
  <c r="A1074" i="7"/>
  <c r="A1073" i="7"/>
  <c r="A1072" i="7"/>
  <c r="A1071" i="7"/>
  <c r="A1070" i="7"/>
  <c r="A1069" i="7"/>
  <c r="A1068" i="7"/>
  <c r="A1067" i="7"/>
  <c r="A1066" i="7"/>
  <c r="A1065" i="7"/>
  <c r="A1064" i="7"/>
  <c r="A1063" i="7"/>
  <c r="A1062" i="7"/>
  <c r="A1061" i="7"/>
  <c r="A1060" i="7"/>
  <c r="A1059" i="7"/>
  <c r="A1058" i="7"/>
  <c r="A1057" i="7"/>
  <c r="A1056" i="7"/>
  <c r="A1055" i="7"/>
  <c r="A1054" i="7"/>
  <c r="A1053" i="7"/>
  <c r="A1052" i="7"/>
  <c r="A1051" i="7"/>
  <c r="A1050" i="7"/>
  <c r="A1049" i="7"/>
  <c r="A1048" i="7"/>
  <c r="A1047" i="7"/>
  <c r="A1046" i="7"/>
  <c r="A1045" i="7"/>
  <c r="A1044" i="7"/>
  <c r="A1043" i="7"/>
  <c r="A1042" i="7"/>
  <c r="A1041" i="7"/>
  <c r="A1040" i="7"/>
  <c r="A1039" i="7"/>
  <c r="A1038" i="7"/>
  <c r="A1037" i="7"/>
  <c r="A1036" i="7"/>
  <c r="A1035" i="7"/>
  <c r="A1034" i="7"/>
  <c r="A1033" i="7"/>
  <c r="A1032" i="7"/>
  <c r="A1031" i="7"/>
  <c r="A1030" i="7"/>
  <c r="A1029" i="7"/>
  <c r="A1028" i="7"/>
  <c r="A1027" i="7"/>
  <c r="A1026" i="7"/>
  <c r="A1025" i="7"/>
  <c r="A1024" i="7"/>
  <c r="A1023" i="7"/>
  <c r="A1022" i="7"/>
  <c r="A1021" i="7"/>
  <c r="A1020" i="7"/>
  <c r="A1019" i="7"/>
  <c r="A1018" i="7"/>
  <c r="A1017" i="7"/>
  <c r="A1016" i="7"/>
  <c r="A1015" i="7"/>
  <c r="A1014" i="7"/>
  <c r="A1013" i="7"/>
  <c r="A1012" i="7"/>
  <c r="A1011" i="7"/>
  <c r="A1010" i="7"/>
  <c r="A1009" i="7"/>
  <c r="A1008" i="7"/>
  <c r="A1007" i="7"/>
  <c r="A1006" i="7"/>
  <c r="A1005" i="7"/>
  <c r="A1004" i="7"/>
  <c r="A1003" i="7"/>
  <c r="A1002" i="7"/>
  <c r="A1001" i="7"/>
  <c r="A1000" i="7"/>
  <c r="A999" i="7"/>
  <c r="A998" i="7"/>
  <c r="A997" i="7"/>
  <c r="A996" i="7"/>
  <c r="A995" i="7"/>
  <c r="A994" i="7"/>
  <c r="A993" i="7"/>
  <c r="A992" i="7"/>
  <c r="A991" i="7"/>
  <c r="A990" i="7"/>
  <c r="A989" i="7"/>
  <c r="A988" i="7"/>
  <c r="A987" i="7"/>
  <c r="A986" i="7"/>
  <c r="A985" i="7"/>
  <c r="A984" i="7"/>
  <c r="A983" i="7"/>
  <c r="A982" i="7"/>
  <c r="A981" i="7"/>
  <c r="A980" i="7"/>
  <c r="A979" i="7"/>
  <c r="A978" i="7"/>
  <c r="A977" i="7"/>
  <c r="A976" i="7"/>
  <c r="A975" i="7"/>
  <c r="A974" i="7"/>
  <c r="A973" i="7"/>
  <c r="A972" i="7"/>
  <c r="A971" i="7"/>
  <c r="A970" i="7"/>
  <c r="A969" i="7"/>
  <c r="A968" i="7"/>
  <c r="A967" i="7"/>
  <c r="A966" i="7"/>
  <c r="A965" i="7"/>
  <c r="A964" i="7"/>
  <c r="A963" i="7"/>
  <c r="A962" i="7"/>
  <c r="A961" i="7"/>
  <c r="A960" i="7"/>
  <c r="A959" i="7"/>
  <c r="A958" i="7"/>
  <c r="A957" i="7"/>
  <c r="A956" i="7"/>
  <c r="A955" i="7"/>
  <c r="A954" i="7"/>
  <c r="A953" i="7"/>
  <c r="A952" i="7"/>
  <c r="A951" i="7"/>
  <c r="A950" i="7"/>
  <c r="A949" i="7"/>
  <c r="A948" i="7"/>
  <c r="A947" i="7"/>
  <c r="A946" i="7"/>
  <c r="A945" i="7"/>
  <c r="A944" i="7"/>
  <c r="A943" i="7"/>
  <c r="A942" i="7"/>
  <c r="A941" i="7"/>
  <c r="A940" i="7"/>
  <c r="A939" i="7"/>
  <c r="A938" i="7"/>
  <c r="A937" i="7"/>
  <c r="A936" i="7"/>
  <c r="A935" i="7"/>
  <c r="A934" i="7"/>
  <c r="A933" i="7"/>
  <c r="A932" i="7"/>
  <c r="A931" i="7"/>
  <c r="A930" i="7"/>
  <c r="A929" i="7"/>
  <c r="A928" i="7"/>
  <c r="A927" i="7"/>
  <c r="A926" i="7"/>
  <c r="A925" i="7"/>
  <c r="A924" i="7"/>
  <c r="A923" i="7"/>
  <c r="A922" i="7"/>
  <c r="A921" i="7"/>
  <c r="A920" i="7"/>
  <c r="A919" i="7"/>
  <c r="A918" i="7"/>
  <c r="A917" i="7"/>
  <c r="A916" i="7"/>
  <c r="A915" i="7"/>
  <c r="A914" i="7"/>
  <c r="A913" i="7"/>
  <c r="A912" i="7"/>
  <c r="A911" i="7"/>
  <c r="A910" i="7"/>
  <c r="A909" i="7"/>
  <c r="A908" i="7"/>
  <c r="A907" i="7"/>
  <c r="A906" i="7"/>
  <c r="A905" i="7"/>
  <c r="A904" i="7"/>
  <c r="A903" i="7"/>
  <c r="A902" i="7"/>
  <c r="A901" i="7"/>
  <c r="A900" i="7"/>
  <c r="A899" i="7"/>
  <c r="A898" i="7"/>
  <c r="A897" i="7"/>
  <c r="A896" i="7"/>
  <c r="A895" i="7"/>
  <c r="A894" i="7"/>
  <c r="A893" i="7"/>
  <c r="A892" i="7"/>
  <c r="A891" i="7"/>
  <c r="A890" i="7"/>
  <c r="A889" i="7"/>
  <c r="A888" i="7"/>
  <c r="A887" i="7"/>
  <c r="A886" i="7"/>
  <c r="A885" i="7"/>
  <c r="A884" i="7"/>
  <c r="A883" i="7"/>
  <c r="A882" i="7"/>
  <c r="A881" i="7"/>
  <c r="A880" i="7"/>
  <c r="A879" i="7"/>
  <c r="A878" i="7"/>
  <c r="A877" i="7"/>
  <c r="A876" i="7"/>
  <c r="A875" i="7"/>
  <c r="A874" i="7"/>
  <c r="A873" i="7"/>
  <c r="A872" i="7"/>
  <c r="A871" i="7"/>
  <c r="A870" i="7"/>
  <c r="A869" i="7"/>
  <c r="A868" i="7"/>
  <c r="A867" i="7"/>
  <c r="A866" i="7"/>
  <c r="A865" i="7"/>
  <c r="A864" i="7"/>
  <c r="A863" i="7"/>
  <c r="A862" i="7"/>
  <c r="A861" i="7"/>
  <c r="A860" i="7"/>
  <c r="A859" i="7"/>
  <c r="A858" i="7"/>
  <c r="A857" i="7"/>
  <c r="A856" i="7"/>
  <c r="A855" i="7"/>
  <c r="A854" i="7"/>
  <c r="A853" i="7"/>
  <c r="A852" i="7"/>
  <c r="A851" i="7"/>
  <c r="A850" i="7"/>
  <c r="A849" i="7"/>
  <c r="A848" i="7"/>
  <c r="A847" i="7"/>
  <c r="A846" i="7"/>
  <c r="A845" i="7"/>
  <c r="A844" i="7"/>
  <c r="A843" i="7"/>
  <c r="A842" i="7"/>
  <c r="A841" i="7"/>
  <c r="A840" i="7"/>
  <c r="A839" i="7"/>
  <c r="A838" i="7"/>
  <c r="A837" i="7"/>
  <c r="A836" i="7"/>
  <c r="A835" i="7"/>
  <c r="A834" i="7"/>
  <c r="A833" i="7"/>
  <c r="A832" i="7"/>
  <c r="A831" i="7"/>
  <c r="A830" i="7"/>
  <c r="A829" i="7"/>
  <c r="A828" i="7"/>
  <c r="A827" i="7"/>
  <c r="A826" i="7"/>
  <c r="A825" i="7"/>
  <c r="A824" i="7"/>
  <c r="A823" i="7"/>
  <c r="A822" i="7"/>
  <c r="A821" i="7"/>
  <c r="A820" i="7"/>
  <c r="A819" i="7"/>
  <c r="A818" i="7"/>
  <c r="A817" i="7"/>
  <c r="A816" i="7"/>
  <c r="A815" i="7"/>
  <c r="A814" i="7"/>
  <c r="A813" i="7"/>
  <c r="A812" i="7"/>
  <c r="A811" i="7"/>
  <c r="A810" i="7"/>
  <c r="A809" i="7"/>
  <c r="A808" i="7"/>
  <c r="A807" i="7"/>
  <c r="A806" i="7"/>
  <c r="A805" i="7"/>
  <c r="A804" i="7"/>
  <c r="A803" i="7"/>
  <c r="A802" i="7"/>
  <c r="A801" i="7"/>
  <c r="A800" i="7"/>
  <c r="A799" i="7"/>
  <c r="A798" i="7"/>
  <c r="A797" i="7"/>
  <c r="A796" i="7"/>
  <c r="A795" i="7"/>
  <c r="A794" i="7"/>
  <c r="A793" i="7"/>
  <c r="A792" i="7"/>
  <c r="A791" i="7"/>
  <c r="A790" i="7"/>
  <c r="A789" i="7"/>
  <c r="A788" i="7"/>
  <c r="A787" i="7"/>
  <c r="A786" i="7"/>
  <c r="A785" i="7"/>
  <c r="A784" i="7"/>
  <c r="A783" i="7"/>
  <c r="A782" i="7"/>
  <c r="A781" i="7"/>
  <c r="A780" i="7"/>
  <c r="A779" i="7"/>
  <c r="A778" i="7"/>
  <c r="A777" i="7"/>
  <c r="A776" i="7"/>
  <c r="A775" i="7"/>
  <c r="A774" i="7"/>
  <c r="A773" i="7"/>
  <c r="A772" i="7"/>
  <c r="A771" i="7"/>
  <c r="A770" i="7"/>
  <c r="A769" i="7"/>
  <c r="A768" i="7"/>
  <c r="A767" i="7"/>
  <c r="A766" i="7"/>
  <c r="A765" i="7"/>
  <c r="A764" i="7"/>
  <c r="A763" i="7"/>
  <c r="A762" i="7"/>
  <c r="A761" i="7"/>
  <c r="A760" i="7"/>
  <c r="A759" i="7"/>
  <c r="A758" i="7"/>
  <c r="A757" i="7"/>
  <c r="A756" i="7"/>
  <c r="A755" i="7"/>
  <c r="A754" i="7"/>
  <c r="A753" i="7"/>
  <c r="A752" i="7"/>
  <c r="A751" i="7"/>
  <c r="A750" i="7"/>
  <c r="A749" i="7"/>
  <c r="A748" i="7"/>
  <c r="A747" i="7"/>
  <c r="A746" i="7"/>
  <c r="A745" i="7"/>
  <c r="A744" i="7"/>
  <c r="A743" i="7"/>
  <c r="A742" i="7"/>
  <c r="A741" i="7"/>
  <c r="A740" i="7"/>
  <c r="A739" i="7"/>
  <c r="A738" i="7"/>
  <c r="A737" i="7"/>
  <c r="A736" i="7"/>
  <c r="A735" i="7"/>
  <c r="A734" i="7"/>
  <c r="A733" i="7"/>
  <c r="A732" i="7"/>
  <c r="A731" i="7"/>
  <c r="A730" i="7"/>
  <c r="A729" i="7"/>
  <c r="A728" i="7"/>
  <c r="A727" i="7"/>
  <c r="A726" i="7"/>
  <c r="A725" i="7"/>
  <c r="A724" i="7"/>
  <c r="A723" i="7"/>
  <c r="A722" i="7"/>
  <c r="A721" i="7"/>
  <c r="A720" i="7"/>
  <c r="A719" i="7"/>
  <c r="A718" i="7"/>
  <c r="A717" i="7"/>
  <c r="A716" i="7"/>
  <c r="A715" i="7"/>
  <c r="A714" i="7"/>
  <c r="A713" i="7"/>
  <c r="A712" i="7"/>
  <c r="A711" i="7"/>
  <c r="A710" i="7"/>
  <c r="A709" i="7"/>
  <c r="A708" i="7"/>
  <c r="A707" i="7"/>
  <c r="A706" i="7"/>
  <c r="A705" i="7"/>
  <c r="A704" i="7"/>
  <c r="A703" i="7"/>
  <c r="A702" i="7"/>
  <c r="A701" i="7"/>
  <c r="A700" i="7"/>
  <c r="A699" i="7"/>
  <c r="A698" i="7"/>
  <c r="A697" i="7"/>
  <c r="A696" i="7"/>
  <c r="A695" i="7"/>
  <c r="A694" i="7"/>
  <c r="A693" i="7"/>
  <c r="A692" i="7"/>
  <c r="A691" i="7"/>
  <c r="A690" i="7"/>
  <c r="A689" i="7"/>
  <c r="A688" i="7"/>
  <c r="A687" i="7"/>
  <c r="A686" i="7"/>
  <c r="A685" i="7"/>
  <c r="A684" i="7"/>
  <c r="A683" i="7"/>
  <c r="A682" i="7"/>
  <c r="A681" i="7"/>
  <c r="A680" i="7"/>
  <c r="A679" i="7"/>
  <c r="A678" i="7"/>
  <c r="A677" i="7"/>
  <c r="A676" i="7"/>
  <c r="A675" i="7"/>
  <c r="A674" i="7"/>
  <c r="A673" i="7"/>
  <c r="A672" i="7"/>
  <c r="A671" i="7"/>
  <c r="A670" i="7"/>
  <c r="A669" i="7"/>
  <c r="A668" i="7"/>
  <c r="A667" i="7"/>
  <c r="A666" i="7"/>
  <c r="A665" i="7"/>
  <c r="A664" i="7"/>
  <c r="A663" i="7"/>
  <c r="A662" i="7"/>
  <c r="A661" i="7"/>
  <c r="A660" i="7"/>
  <c r="A659" i="7"/>
  <c r="A658" i="7"/>
  <c r="A657" i="7"/>
  <c r="A656" i="7"/>
  <c r="A655" i="7"/>
  <c r="A654" i="7"/>
  <c r="A653" i="7"/>
  <c r="A652" i="7"/>
  <c r="A651" i="7"/>
  <c r="A650" i="7"/>
  <c r="A649" i="7"/>
  <c r="A648" i="7"/>
  <c r="A647" i="7"/>
  <c r="A646" i="7"/>
  <c r="A645" i="7"/>
  <c r="A644" i="7"/>
  <c r="A643" i="7"/>
  <c r="A642" i="7"/>
  <c r="A641" i="7"/>
  <c r="A640" i="7"/>
  <c r="A639" i="7"/>
  <c r="A638" i="7"/>
  <c r="A637" i="7"/>
  <c r="A636" i="7"/>
  <c r="A635" i="7"/>
  <c r="A634" i="7"/>
  <c r="A633" i="7"/>
  <c r="A632" i="7"/>
  <c r="A631" i="7"/>
  <c r="A630" i="7"/>
  <c r="A629" i="7"/>
  <c r="A628" i="7"/>
  <c r="A627" i="7"/>
  <c r="A626" i="7"/>
  <c r="A625" i="7"/>
  <c r="A624" i="7"/>
  <c r="A623" i="7"/>
  <c r="A622" i="7"/>
  <c r="A621" i="7"/>
  <c r="A620" i="7"/>
  <c r="A619" i="7"/>
  <c r="A618" i="7"/>
  <c r="A617" i="7"/>
  <c r="A616" i="7"/>
  <c r="A615" i="7"/>
  <c r="A614" i="7"/>
  <c r="A613" i="7"/>
  <c r="A612" i="7"/>
  <c r="A611" i="7"/>
  <c r="A610" i="7"/>
  <c r="A609" i="7"/>
  <c r="A608" i="7"/>
  <c r="A607" i="7"/>
  <c r="A606" i="7"/>
  <c r="A605" i="7"/>
  <c r="A604" i="7"/>
  <c r="A603" i="7"/>
  <c r="A602" i="7"/>
  <c r="A601" i="7"/>
  <c r="A600" i="7"/>
  <c r="A599" i="7"/>
  <c r="A598" i="7"/>
  <c r="A597" i="7"/>
  <c r="A596" i="7"/>
  <c r="A595" i="7"/>
  <c r="A594" i="7"/>
  <c r="A593" i="7"/>
  <c r="A592" i="7"/>
  <c r="A591" i="7"/>
  <c r="A590" i="7"/>
  <c r="A589" i="7"/>
  <c r="A588" i="7"/>
  <c r="A587" i="7"/>
  <c r="A586" i="7"/>
  <c r="A585" i="7"/>
  <c r="A584" i="7"/>
  <c r="A583" i="7"/>
  <c r="A582" i="7"/>
  <c r="A581" i="7"/>
  <c r="A580" i="7"/>
  <c r="A579" i="7"/>
  <c r="A578" i="7"/>
  <c r="A577" i="7"/>
  <c r="A576" i="7"/>
  <c r="A575" i="7"/>
  <c r="A574" i="7"/>
  <c r="A573" i="7"/>
  <c r="A572" i="7"/>
  <c r="A571" i="7"/>
  <c r="A570" i="7"/>
  <c r="A569" i="7"/>
  <c r="A568" i="7"/>
  <c r="A567" i="7"/>
  <c r="A566" i="7"/>
  <c r="A565" i="7"/>
  <c r="A564" i="7"/>
  <c r="A563" i="7"/>
  <c r="A562" i="7"/>
  <c r="A561" i="7"/>
  <c r="A560" i="7"/>
  <c r="A559" i="7"/>
  <c r="A558" i="7"/>
  <c r="A557" i="7"/>
  <c r="A556" i="7"/>
  <c r="A555" i="7"/>
  <c r="A554" i="7"/>
  <c r="A553" i="7"/>
  <c r="A552" i="7"/>
  <c r="A551" i="7"/>
  <c r="A550" i="7"/>
  <c r="A549" i="7"/>
  <c r="A548" i="7"/>
  <c r="A547" i="7"/>
  <c r="A546" i="7"/>
  <c r="A545" i="7"/>
  <c r="A544" i="7"/>
  <c r="A543" i="7"/>
  <c r="A542" i="7"/>
  <c r="A541" i="7"/>
  <c r="A540" i="7"/>
  <c r="A539" i="7"/>
  <c r="A538" i="7"/>
  <c r="A537" i="7"/>
  <c r="A536" i="7"/>
  <c r="A535" i="7"/>
  <c r="A534" i="7"/>
  <c r="A533" i="7"/>
  <c r="A532" i="7"/>
  <c r="A531" i="7"/>
  <c r="A530" i="7"/>
  <c r="A529" i="7"/>
  <c r="A528" i="7"/>
  <c r="A527" i="7"/>
  <c r="A526" i="7"/>
  <c r="A525" i="7"/>
  <c r="A524" i="7"/>
  <c r="A523" i="7"/>
  <c r="A522" i="7"/>
  <c r="A521" i="7"/>
  <c r="A520" i="7"/>
  <c r="A519" i="7"/>
  <c r="A518" i="7"/>
  <c r="A517" i="7"/>
  <c r="A516" i="7"/>
  <c r="A515" i="7"/>
  <c r="A514" i="7"/>
  <c r="A513" i="7"/>
  <c r="A512" i="7"/>
  <c r="A511" i="7"/>
  <c r="A510" i="7"/>
  <c r="A509" i="7"/>
  <c r="A508" i="7"/>
  <c r="A507" i="7"/>
  <c r="A506" i="7"/>
  <c r="A505" i="7"/>
  <c r="A504" i="7"/>
  <c r="A503" i="7"/>
  <c r="A502" i="7"/>
  <c r="A501" i="7"/>
  <c r="A500" i="7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3" i="7"/>
  <c r="A2" i="7"/>
  <c r="D1178" i="7" l="1"/>
  <c r="C1178" i="7"/>
  <c r="D1174" i="7"/>
  <c r="C1174" i="7"/>
  <c r="D2" i="7"/>
  <c r="C2" i="7"/>
  <c r="D10" i="7"/>
  <c r="C10" i="7"/>
  <c r="D18" i="7"/>
  <c r="C18" i="7"/>
  <c r="D26" i="7"/>
  <c r="C26" i="7"/>
  <c r="C34" i="7"/>
  <c r="D34" i="7"/>
  <c r="D42" i="7"/>
  <c r="C42" i="7"/>
  <c r="D50" i="7"/>
  <c r="C50" i="7"/>
  <c r="D58" i="7"/>
  <c r="C58" i="7"/>
  <c r="C66" i="7"/>
  <c r="D66" i="7"/>
  <c r="D74" i="7"/>
  <c r="C74" i="7"/>
  <c r="D82" i="7"/>
  <c r="C82" i="7"/>
  <c r="D90" i="7"/>
  <c r="C90" i="7"/>
  <c r="D98" i="7"/>
  <c r="C98" i="7"/>
  <c r="D106" i="7"/>
  <c r="C106" i="7"/>
  <c r="D114" i="7"/>
  <c r="C114" i="7"/>
  <c r="D122" i="7"/>
  <c r="C122" i="7"/>
  <c r="C130" i="7"/>
  <c r="D130" i="7"/>
  <c r="D138" i="7"/>
  <c r="C138" i="7"/>
  <c r="D146" i="7"/>
  <c r="C146" i="7"/>
  <c r="D154" i="7"/>
  <c r="C154" i="7"/>
  <c r="D162" i="7"/>
  <c r="C162" i="7"/>
  <c r="D170" i="7"/>
  <c r="C170" i="7"/>
  <c r="D178" i="7"/>
  <c r="C178" i="7"/>
  <c r="D186" i="7"/>
  <c r="C186" i="7"/>
  <c r="C194" i="7"/>
  <c r="D194" i="7"/>
  <c r="D202" i="7"/>
  <c r="C202" i="7"/>
  <c r="D210" i="7"/>
  <c r="C210" i="7"/>
  <c r="D218" i="7"/>
  <c r="C218" i="7"/>
  <c r="D226" i="7"/>
  <c r="C226" i="7"/>
  <c r="D234" i="7"/>
  <c r="C234" i="7"/>
  <c r="D242" i="7"/>
  <c r="C242" i="7"/>
  <c r="D250" i="7"/>
  <c r="C250" i="7"/>
  <c r="C258" i="7"/>
  <c r="D258" i="7"/>
  <c r="D266" i="7"/>
  <c r="C266" i="7"/>
  <c r="D274" i="7"/>
  <c r="C274" i="7"/>
  <c r="D282" i="7"/>
  <c r="C282" i="7"/>
  <c r="D290" i="7"/>
  <c r="C290" i="7"/>
  <c r="D298" i="7"/>
  <c r="C298" i="7"/>
  <c r="D306" i="7"/>
  <c r="C306" i="7"/>
  <c r="D314" i="7"/>
  <c r="C314" i="7"/>
  <c r="C322" i="7"/>
  <c r="D322" i="7"/>
  <c r="D330" i="7"/>
  <c r="C330" i="7"/>
  <c r="D338" i="7"/>
  <c r="C338" i="7"/>
  <c r="D346" i="7"/>
  <c r="C346" i="7"/>
  <c r="D354" i="7"/>
  <c r="C354" i="7"/>
  <c r="C362" i="7"/>
  <c r="D362" i="7"/>
  <c r="D370" i="7"/>
  <c r="C370" i="7"/>
  <c r="D378" i="7"/>
  <c r="C378" i="7"/>
  <c r="D386" i="7"/>
  <c r="C386" i="7"/>
  <c r="C394" i="7"/>
  <c r="D394" i="7"/>
  <c r="D402" i="7"/>
  <c r="C402" i="7"/>
  <c r="D410" i="7"/>
  <c r="C410" i="7"/>
  <c r="D418" i="7"/>
  <c r="C418" i="7"/>
  <c r="C426" i="7"/>
  <c r="D426" i="7"/>
  <c r="D434" i="7"/>
  <c r="C434" i="7"/>
  <c r="D442" i="7"/>
  <c r="C442" i="7"/>
  <c r="D450" i="7"/>
  <c r="C450" i="7"/>
  <c r="C458" i="7"/>
  <c r="D458" i="7"/>
  <c r="D466" i="7"/>
  <c r="C466" i="7"/>
  <c r="D474" i="7"/>
  <c r="C474" i="7"/>
  <c r="D482" i="7"/>
  <c r="C482" i="7"/>
  <c r="C490" i="7"/>
  <c r="D490" i="7"/>
  <c r="D498" i="7"/>
  <c r="C498" i="7"/>
  <c r="D506" i="7"/>
  <c r="C506" i="7"/>
  <c r="D514" i="7"/>
  <c r="C514" i="7"/>
  <c r="D522" i="7"/>
  <c r="C522" i="7"/>
  <c r="D530" i="7"/>
  <c r="C530" i="7"/>
  <c r="D538" i="7"/>
  <c r="C538" i="7"/>
  <c r="D546" i="7"/>
  <c r="C546" i="7"/>
  <c r="D554" i="7"/>
  <c r="C554" i="7"/>
  <c r="D562" i="7"/>
  <c r="C562" i="7"/>
  <c r="D570" i="7"/>
  <c r="C570" i="7"/>
  <c r="D578" i="7"/>
  <c r="C578" i="7"/>
  <c r="D582" i="7"/>
  <c r="C582" i="7"/>
  <c r="D594" i="7"/>
  <c r="C594" i="7"/>
  <c r="D602" i="7"/>
  <c r="C602" i="7"/>
  <c r="D610" i="7"/>
  <c r="C610" i="7"/>
  <c r="D618" i="7"/>
  <c r="C618" i="7"/>
  <c r="D626" i="7"/>
  <c r="C626" i="7"/>
  <c r="D634" i="7"/>
  <c r="C634" i="7"/>
  <c r="D638" i="7"/>
  <c r="C638" i="7"/>
  <c r="D646" i="7"/>
  <c r="C646" i="7"/>
  <c r="D654" i="7"/>
  <c r="C654" i="7"/>
  <c r="D662" i="7"/>
  <c r="C662" i="7"/>
  <c r="D670" i="7"/>
  <c r="C670" i="7"/>
  <c r="D682" i="7"/>
  <c r="C682" i="7"/>
  <c r="D690" i="7"/>
  <c r="C690" i="7"/>
  <c r="D698" i="7"/>
  <c r="C698" i="7"/>
  <c r="D706" i="7"/>
  <c r="C706" i="7"/>
  <c r="D714" i="7"/>
  <c r="C714" i="7"/>
  <c r="D722" i="7"/>
  <c r="C722" i="7"/>
  <c r="D730" i="7"/>
  <c r="C730" i="7"/>
  <c r="D738" i="7"/>
  <c r="C738" i="7"/>
  <c r="D746" i="7"/>
  <c r="C746" i="7"/>
  <c r="D754" i="7"/>
  <c r="C754" i="7"/>
  <c r="D762" i="7"/>
  <c r="C762" i="7"/>
  <c r="D770" i="7"/>
  <c r="C770" i="7"/>
  <c r="D778" i="7"/>
  <c r="C778" i="7"/>
  <c r="D786" i="7"/>
  <c r="C786" i="7"/>
  <c r="D794" i="7"/>
  <c r="C794" i="7"/>
  <c r="D802" i="7"/>
  <c r="C802" i="7"/>
  <c r="D810" i="7"/>
  <c r="C810" i="7"/>
  <c r="D818" i="7"/>
  <c r="C818" i="7"/>
  <c r="D826" i="7"/>
  <c r="C826" i="7"/>
  <c r="D834" i="7"/>
  <c r="C834" i="7"/>
  <c r="D842" i="7"/>
  <c r="C842" i="7"/>
  <c r="D850" i="7"/>
  <c r="C850" i="7"/>
  <c r="D858" i="7"/>
  <c r="C858" i="7"/>
  <c r="D866" i="7"/>
  <c r="C866" i="7"/>
  <c r="D874" i="7"/>
  <c r="C874" i="7"/>
  <c r="D882" i="7"/>
  <c r="C882" i="7"/>
  <c r="D890" i="7"/>
  <c r="C890" i="7"/>
  <c r="D898" i="7"/>
  <c r="C898" i="7"/>
  <c r="D906" i="7"/>
  <c r="C906" i="7"/>
  <c r="D914" i="7"/>
  <c r="C914" i="7"/>
  <c r="D922" i="7"/>
  <c r="C922" i="7"/>
  <c r="D930" i="7"/>
  <c r="C930" i="7"/>
  <c r="D938" i="7"/>
  <c r="C938" i="7"/>
  <c r="D946" i="7"/>
  <c r="C946" i="7"/>
  <c r="D954" i="7"/>
  <c r="C954" i="7"/>
  <c r="D962" i="7"/>
  <c r="C962" i="7"/>
  <c r="D970" i="7"/>
  <c r="C970" i="7"/>
  <c r="D978" i="7"/>
  <c r="C978" i="7"/>
  <c r="D986" i="7"/>
  <c r="C986" i="7"/>
  <c r="D994" i="7"/>
  <c r="C994" i="7"/>
  <c r="D1002" i="7"/>
  <c r="C1002" i="7"/>
  <c r="D1010" i="7"/>
  <c r="C1010" i="7"/>
  <c r="D1018" i="7"/>
  <c r="C1018" i="7"/>
  <c r="D1026" i="7"/>
  <c r="C1026" i="7"/>
  <c r="D1034" i="7"/>
  <c r="C1034" i="7"/>
  <c r="D1042" i="7"/>
  <c r="C1042" i="7"/>
  <c r="D1050" i="7"/>
  <c r="C1050" i="7"/>
  <c r="D1058" i="7"/>
  <c r="C1058" i="7"/>
  <c r="D1066" i="7"/>
  <c r="C1066" i="7"/>
  <c r="D1074" i="7"/>
  <c r="C1074" i="7"/>
  <c r="D1082" i="7"/>
  <c r="C1082" i="7"/>
  <c r="D1090" i="7"/>
  <c r="C1090" i="7"/>
  <c r="D1098" i="7"/>
  <c r="C1098" i="7"/>
  <c r="D1106" i="7"/>
  <c r="C1106" i="7"/>
  <c r="D1114" i="7"/>
  <c r="C1114" i="7"/>
  <c r="D1122" i="7"/>
  <c r="C1122" i="7"/>
  <c r="D1130" i="7"/>
  <c r="C1130" i="7"/>
  <c r="D1138" i="7"/>
  <c r="C1138" i="7"/>
  <c r="D1146" i="7"/>
  <c r="C1146" i="7"/>
  <c r="D1154" i="7"/>
  <c r="C1154" i="7"/>
  <c r="D1170" i="7"/>
  <c r="C1170" i="7"/>
  <c r="D1190" i="7"/>
  <c r="C1190" i="7"/>
  <c r="D1198" i="7"/>
  <c r="C1198" i="7"/>
  <c r="D1202" i="7"/>
  <c r="C1202" i="7"/>
  <c r="D1210" i="7"/>
  <c r="C1210" i="7"/>
  <c r="D1218" i="7"/>
  <c r="C1218" i="7"/>
  <c r="D1226" i="7"/>
  <c r="C1226" i="7"/>
  <c r="D1238" i="7"/>
  <c r="C1238" i="7"/>
  <c r="D1246" i="7"/>
  <c r="C1246" i="7"/>
  <c r="D1254" i="7"/>
  <c r="C1254" i="7"/>
  <c r="D1262" i="7"/>
  <c r="C1262" i="7"/>
  <c r="D1270" i="7"/>
  <c r="C1270" i="7"/>
  <c r="D1278" i="7"/>
  <c r="C1278" i="7"/>
  <c r="D1286" i="7"/>
  <c r="C1286" i="7"/>
  <c r="D1294" i="7"/>
  <c r="C1294" i="7"/>
  <c r="D1302" i="7"/>
  <c r="C1302" i="7"/>
  <c r="D1310" i="7"/>
  <c r="C1310" i="7"/>
  <c r="D1318" i="7"/>
  <c r="C1318" i="7"/>
  <c r="D7" i="7"/>
  <c r="C7" i="7"/>
  <c r="D15" i="7"/>
  <c r="C15" i="7"/>
  <c r="D23" i="7"/>
  <c r="C23" i="7"/>
  <c r="D31" i="7"/>
  <c r="C31" i="7"/>
  <c r="D39" i="7"/>
  <c r="C39" i="7"/>
  <c r="D47" i="7"/>
  <c r="C47" i="7"/>
  <c r="D55" i="7"/>
  <c r="C55" i="7"/>
  <c r="D63" i="7"/>
  <c r="C63" i="7"/>
  <c r="D71" i="7"/>
  <c r="C71" i="7"/>
  <c r="D79" i="7"/>
  <c r="C79" i="7"/>
  <c r="D87" i="7"/>
  <c r="C87" i="7"/>
  <c r="D95" i="7"/>
  <c r="C95" i="7"/>
  <c r="D103" i="7"/>
  <c r="C103" i="7"/>
  <c r="D111" i="7"/>
  <c r="C111" i="7"/>
  <c r="D119" i="7"/>
  <c r="C119" i="7"/>
  <c r="D127" i="7"/>
  <c r="C127" i="7"/>
  <c r="D135" i="7"/>
  <c r="C135" i="7"/>
  <c r="D143" i="7"/>
  <c r="C143" i="7"/>
  <c r="D151" i="7"/>
  <c r="C151" i="7"/>
  <c r="D159" i="7"/>
  <c r="C159" i="7"/>
  <c r="D167" i="7"/>
  <c r="C167" i="7"/>
  <c r="D175" i="7"/>
  <c r="C175" i="7"/>
  <c r="D183" i="7"/>
  <c r="C183" i="7"/>
  <c r="D191" i="7"/>
  <c r="C191" i="7"/>
  <c r="D199" i="7"/>
  <c r="C199" i="7"/>
  <c r="D207" i="7"/>
  <c r="C207" i="7"/>
  <c r="D215" i="7"/>
  <c r="C215" i="7"/>
  <c r="D223" i="7"/>
  <c r="C223" i="7"/>
  <c r="D231" i="7"/>
  <c r="C231" i="7"/>
  <c r="D239" i="7"/>
  <c r="C239" i="7"/>
  <c r="D247" i="7"/>
  <c r="C247" i="7"/>
  <c r="D255" i="7"/>
  <c r="C255" i="7"/>
  <c r="D263" i="7"/>
  <c r="C263" i="7"/>
  <c r="D271" i="7"/>
  <c r="C271" i="7"/>
  <c r="D279" i="7"/>
  <c r="C279" i="7"/>
  <c r="D287" i="7"/>
  <c r="C287" i="7"/>
  <c r="D295" i="7"/>
  <c r="C295" i="7"/>
  <c r="D303" i="7"/>
  <c r="C303" i="7"/>
  <c r="D311" i="7"/>
  <c r="C311" i="7"/>
  <c r="D319" i="7"/>
  <c r="C319" i="7"/>
  <c r="D327" i="7"/>
  <c r="C327" i="7"/>
  <c r="D335" i="7"/>
  <c r="C335" i="7"/>
  <c r="D343" i="7"/>
  <c r="C343" i="7"/>
  <c r="D351" i="7"/>
  <c r="C351" i="7"/>
  <c r="D359" i="7"/>
  <c r="C359" i="7"/>
  <c r="D371" i="7"/>
  <c r="C371" i="7"/>
  <c r="D379" i="7"/>
  <c r="C379" i="7"/>
  <c r="D383" i="7"/>
  <c r="C383" i="7"/>
  <c r="D391" i="7"/>
  <c r="C391" i="7"/>
  <c r="D399" i="7"/>
  <c r="C399" i="7"/>
  <c r="D407" i="7"/>
  <c r="C407" i="7"/>
  <c r="D415" i="7"/>
  <c r="C415" i="7"/>
  <c r="D423" i="7"/>
  <c r="C423" i="7"/>
  <c r="D431" i="7"/>
  <c r="C431" i="7"/>
  <c r="D443" i="7"/>
  <c r="C443" i="7"/>
  <c r="D451" i="7"/>
  <c r="C451" i="7"/>
  <c r="D459" i="7"/>
  <c r="C459" i="7"/>
  <c r="D467" i="7"/>
  <c r="C467" i="7"/>
  <c r="D475" i="7"/>
  <c r="C475" i="7"/>
  <c r="D483" i="7"/>
  <c r="C483" i="7"/>
  <c r="D491" i="7"/>
  <c r="C491" i="7"/>
  <c r="D499" i="7"/>
  <c r="C499" i="7"/>
  <c r="D507" i="7"/>
  <c r="C507" i="7"/>
  <c r="D515" i="7"/>
  <c r="C515" i="7"/>
  <c r="D523" i="7"/>
  <c r="C523" i="7"/>
  <c r="D531" i="7"/>
  <c r="C531" i="7"/>
  <c r="D539" i="7"/>
  <c r="C539" i="7"/>
  <c r="D543" i="7"/>
  <c r="C543" i="7"/>
  <c r="D551" i="7"/>
  <c r="C551" i="7"/>
  <c r="D559" i="7"/>
  <c r="C559" i="7"/>
  <c r="D571" i="7"/>
  <c r="C571" i="7"/>
  <c r="D575" i="7"/>
  <c r="C575" i="7"/>
  <c r="D583" i="7"/>
  <c r="C583" i="7"/>
  <c r="D595" i="7"/>
  <c r="C595" i="7"/>
  <c r="D603" i="7"/>
  <c r="C603" i="7"/>
  <c r="D611" i="7"/>
  <c r="C611" i="7"/>
  <c r="D615" i="7"/>
  <c r="C615" i="7"/>
  <c r="D623" i="7"/>
  <c r="C623" i="7"/>
  <c r="D631" i="7"/>
  <c r="C631" i="7"/>
  <c r="D639" i="7"/>
  <c r="C639" i="7"/>
  <c r="D647" i="7"/>
  <c r="C647" i="7"/>
  <c r="C655" i="7"/>
  <c r="D655" i="7"/>
  <c r="D663" i="7"/>
  <c r="C663" i="7"/>
  <c r="D671" i="7"/>
  <c r="C671" i="7"/>
  <c r="D679" i="7"/>
  <c r="C679" i="7"/>
  <c r="D691" i="7"/>
  <c r="C691" i="7"/>
  <c r="D699" i="7"/>
  <c r="C699" i="7"/>
  <c r="D703" i="7"/>
  <c r="C703" i="7"/>
  <c r="D711" i="7"/>
  <c r="C711" i="7"/>
  <c r="D723" i="7"/>
  <c r="C723" i="7"/>
  <c r="D727" i="7"/>
  <c r="C727" i="7"/>
  <c r="D735" i="7"/>
  <c r="C735" i="7"/>
  <c r="D747" i="7"/>
  <c r="C747" i="7"/>
  <c r="D755" i="7"/>
  <c r="C755" i="7"/>
  <c r="D763" i="7"/>
  <c r="C763" i="7"/>
  <c r="D771" i="7"/>
  <c r="C771" i="7"/>
  <c r="D779" i="7"/>
  <c r="C779" i="7"/>
  <c r="D787" i="7"/>
  <c r="C787" i="7"/>
  <c r="D795" i="7"/>
  <c r="C795" i="7"/>
  <c r="D803" i="7"/>
  <c r="C803" i="7"/>
  <c r="D811" i="7"/>
  <c r="C811" i="7"/>
  <c r="D819" i="7"/>
  <c r="C819" i="7"/>
  <c r="D827" i="7"/>
  <c r="C827" i="7"/>
  <c r="D835" i="7"/>
  <c r="C835" i="7"/>
  <c r="D843" i="7"/>
  <c r="C843" i="7"/>
  <c r="D851" i="7"/>
  <c r="C851" i="7"/>
  <c r="D859" i="7"/>
  <c r="C859" i="7"/>
  <c r="D867" i="7"/>
  <c r="C867" i="7"/>
  <c r="D875" i="7"/>
  <c r="C875" i="7"/>
  <c r="D883" i="7"/>
  <c r="C883" i="7"/>
  <c r="D891" i="7"/>
  <c r="C891" i="7"/>
  <c r="D899" i="7"/>
  <c r="C899" i="7"/>
  <c r="D907" i="7"/>
  <c r="C907" i="7"/>
  <c r="D915" i="7"/>
  <c r="C915" i="7"/>
  <c r="D923" i="7"/>
  <c r="C923" i="7"/>
  <c r="D931" i="7"/>
  <c r="C931" i="7"/>
  <c r="D939" i="7"/>
  <c r="C939" i="7"/>
  <c r="D947" i="7"/>
  <c r="C947" i="7"/>
  <c r="D955" i="7"/>
  <c r="C955" i="7"/>
  <c r="D963" i="7"/>
  <c r="C963" i="7"/>
  <c r="D971" i="7"/>
  <c r="C971" i="7"/>
  <c r="D979" i="7"/>
  <c r="C979" i="7"/>
  <c r="D987" i="7"/>
  <c r="C987" i="7"/>
  <c r="D995" i="7"/>
  <c r="C995" i="7"/>
  <c r="D1003" i="7"/>
  <c r="C1003" i="7"/>
  <c r="C1007" i="7"/>
  <c r="D1007" i="7"/>
  <c r="D1015" i="7"/>
  <c r="C1015" i="7"/>
  <c r="D1019" i="7"/>
  <c r="C1019" i="7"/>
  <c r="D1027" i="7"/>
  <c r="C1027" i="7"/>
  <c r="D1035" i="7"/>
  <c r="C1035" i="7"/>
  <c r="D1043" i="7"/>
  <c r="C1043" i="7"/>
  <c r="D1055" i="7"/>
  <c r="C1055" i="7"/>
  <c r="D1063" i="7"/>
  <c r="C1063" i="7"/>
  <c r="D1071" i="7"/>
  <c r="C1071" i="7"/>
  <c r="D1079" i="7"/>
  <c r="C1079" i="7"/>
  <c r="D1087" i="7"/>
  <c r="C1087" i="7"/>
  <c r="D1095" i="7"/>
  <c r="C1095" i="7"/>
  <c r="D1103" i="7"/>
  <c r="C1103" i="7"/>
  <c r="D1111" i="7"/>
  <c r="C1111" i="7"/>
  <c r="D1119" i="7"/>
  <c r="C1119" i="7"/>
  <c r="D1127" i="7"/>
  <c r="C1127" i="7"/>
  <c r="D1135" i="7"/>
  <c r="C1135" i="7"/>
  <c r="D1143" i="7"/>
  <c r="C1143" i="7"/>
  <c r="D1151" i="7"/>
  <c r="C1151" i="7"/>
  <c r="D1159" i="7"/>
  <c r="C1159" i="7"/>
  <c r="D1167" i="7"/>
  <c r="C1167" i="7"/>
  <c r="D1175" i="7"/>
  <c r="C1175" i="7"/>
  <c r="D1183" i="7"/>
  <c r="C1183" i="7"/>
  <c r="D1191" i="7"/>
  <c r="C1191" i="7"/>
  <c r="D1199" i="7"/>
  <c r="C1199" i="7"/>
  <c r="D1207" i="7"/>
  <c r="C1207" i="7"/>
  <c r="D1215" i="7"/>
  <c r="C1215" i="7"/>
  <c r="D1223" i="7"/>
  <c r="C1223" i="7"/>
  <c r="D1231" i="7"/>
  <c r="C1231" i="7"/>
  <c r="D1239" i="7"/>
  <c r="C1239" i="7"/>
  <c r="D1247" i="7"/>
  <c r="C1247" i="7"/>
  <c r="D1255" i="7"/>
  <c r="C1255" i="7"/>
  <c r="D1263" i="7"/>
  <c r="C1263" i="7"/>
  <c r="D1271" i="7"/>
  <c r="C1271" i="7"/>
  <c r="D1279" i="7"/>
  <c r="C1279" i="7"/>
  <c r="D1287" i="7"/>
  <c r="C1287" i="7"/>
  <c r="D1295" i="7"/>
  <c r="C1295" i="7"/>
  <c r="D1303" i="7"/>
  <c r="C1303" i="7"/>
  <c r="D1311" i="7"/>
  <c r="C1311" i="7"/>
  <c r="D1319" i="7"/>
  <c r="C1319" i="7"/>
  <c r="D4" i="7"/>
  <c r="C4" i="7"/>
  <c r="D8" i="7"/>
  <c r="C8" i="7"/>
  <c r="D12" i="7"/>
  <c r="C12" i="7"/>
  <c r="D16" i="7"/>
  <c r="C16" i="7"/>
  <c r="D20" i="7"/>
  <c r="C20" i="7"/>
  <c r="D24" i="7"/>
  <c r="C24" i="7"/>
  <c r="D28" i="7"/>
  <c r="C28" i="7"/>
  <c r="D32" i="7"/>
  <c r="C32" i="7"/>
  <c r="D36" i="7"/>
  <c r="C36" i="7"/>
  <c r="D40" i="7"/>
  <c r="C40" i="7"/>
  <c r="D44" i="7"/>
  <c r="C44" i="7"/>
  <c r="D48" i="7"/>
  <c r="C48" i="7"/>
  <c r="D52" i="7"/>
  <c r="C52" i="7"/>
  <c r="D56" i="7"/>
  <c r="C56" i="7"/>
  <c r="D60" i="7"/>
  <c r="C60" i="7"/>
  <c r="D64" i="7"/>
  <c r="C64" i="7"/>
  <c r="D68" i="7"/>
  <c r="C68" i="7"/>
  <c r="D72" i="7"/>
  <c r="C72" i="7"/>
  <c r="D76" i="7"/>
  <c r="C76" i="7"/>
  <c r="D80" i="7"/>
  <c r="C80" i="7"/>
  <c r="D84" i="7"/>
  <c r="C84" i="7"/>
  <c r="D88" i="7"/>
  <c r="C88" i="7"/>
  <c r="D92" i="7"/>
  <c r="C92" i="7"/>
  <c r="D96" i="7"/>
  <c r="C96" i="7"/>
  <c r="D100" i="7"/>
  <c r="C100" i="7"/>
  <c r="D104" i="7"/>
  <c r="C104" i="7"/>
  <c r="D108" i="7"/>
  <c r="C108" i="7"/>
  <c r="D112" i="7"/>
  <c r="C112" i="7"/>
  <c r="D116" i="7"/>
  <c r="C116" i="7"/>
  <c r="D120" i="7"/>
  <c r="C120" i="7"/>
  <c r="D124" i="7"/>
  <c r="C124" i="7"/>
  <c r="D128" i="7"/>
  <c r="C128" i="7"/>
  <c r="D132" i="7"/>
  <c r="C132" i="7"/>
  <c r="D136" i="7"/>
  <c r="C136" i="7"/>
  <c r="D140" i="7"/>
  <c r="C140" i="7"/>
  <c r="D144" i="7"/>
  <c r="C144" i="7"/>
  <c r="D148" i="7"/>
  <c r="C148" i="7"/>
  <c r="D152" i="7"/>
  <c r="C152" i="7"/>
  <c r="D156" i="7"/>
  <c r="C156" i="7"/>
  <c r="D160" i="7"/>
  <c r="C160" i="7"/>
  <c r="D164" i="7"/>
  <c r="C164" i="7"/>
  <c r="D168" i="7"/>
  <c r="C168" i="7"/>
  <c r="D172" i="7"/>
  <c r="C172" i="7"/>
  <c r="D176" i="7"/>
  <c r="C176" i="7"/>
  <c r="D180" i="7"/>
  <c r="C180" i="7"/>
  <c r="D184" i="7"/>
  <c r="C184" i="7"/>
  <c r="D188" i="7"/>
  <c r="C188" i="7"/>
  <c r="D192" i="7"/>
  <c r="C192" i="7"/>
  <c r="D196" i="7"/>
  <c r="C196" i="7"/>
  <c r="D200" i="7"/>
  <c r="C200" i="7"/>
  <c r="D204" i="7"/>
  <c r="C204" i="7"/>
  <c r="D208" i="7"/>
  <c r="C208" i="7"/>
  <c r="D212" i="7"/>
  <c r="C212" i="7"/>
  <c r="D216" i="7"/>
  <c r="C216" i="7"/>
  <c r="D220" i="7"/>
  <c r="C220" i="7"/>
  <c r="D224" i="7"/>
  <c r="C224" i="7"/>
  <c r="D228" i="7"/>
  <c r="C228" i="7"/>
  <c r="D232" i="7"/>
  <c r="C232" i="7"/>
  <c r="D236" i="7"/>
  <c r="C236" i="7"/>
  <c r="D240" i="7"/>
  <c r="C240" i="7"/>
  <c r="D244" i="7"/>
  <c r="C244" i="7"/>
  <c r="D248" i="7"/>
  <c r="C248" i="7"/>
  <c r="D252" i="7"/>
  <c r="C252" i="7"/>
  <c r="D256" i="7"/>
  <c r="C256" i="7"/>
  <c r="D260" i="7"/>
  <c r="C260" i="7"/>
  <c r="D264" i="7"/>
  <c r="C264" i="7"/>
  <c r="D268" i="7"/>
  <c r="C268" i="7"/>
  <c r="D272" i="7"/>
  <c r="C272" i="7"/>
  <c r="D276" i="7"/>
  <c r="C276" i="7"/>
  <c r="D280" i="7"/>
  <c r="C280" i="7"/>
  <c r="D284" i="7"/>
  <c r="C284" i="7"/>
  <c r="D288" i="7"/>
  <c r="C288" i="7"/>
  <c r="D292" i="7"/>
  <c r="C292" i="7"/>
  <c r="D296" i="7"/>
  <c r="C296" i="7"/>
  <c r="D300" i="7"/>
  <c r="C300" i="7"/>
  <c r="D304" i="7"/>
  <c r="C304" i="7"/>
  <c r="D308" i="7"/>
  <c r="C308" i="7"/>
  <c r="D312" i="7"/>
  <c r="C312" i="7"/>
  <c r="D316" i="7"/>
  <c r="C316" i="7"/>
  <c r="D320" i="7"/>
  <c r="C320" i="7"/>
  <c r="D324" i="7"/>
  <c r="C324" i="7"/>
  <c r="D328" i="7"/>
  <c r="C328" i="7"/>
  <c r="D332" i="7"/>
  <c r="C332" i="7"/>
  <c r="D336" i="7"/>
  <c r="C336" i="7"/>
  <c r="D340" i="7"/>
  <c r="C340" i="7"/>
  <c r="D344" i="7"/>
  <c r="C344" i="7"/>
  <c r="D348" i="7"/>
  <c r="C348" i="7"/>
  <c r="D352" i="7"/>
  <c r="C352" i="7"/>
  <c r="D356" i="7"/>
  <c r="C356" i="7"/>
  <c r="D360" i="7"/>
  <c r="C360" i="7"/>
  <c r="D364" i="7"/>
  <c r="C364" i="7"/>
  <c r="D368" i="7"/>
  <c r="C368" i="7"/>
  <c r="D372" i="7"/>
  <c r="C372" i="7"/>
  <c r="D376" i="7"/>
  <c r="C376" i="7"/>
  <c r="D380" i="7"/>
  <c r="C380" i="7"/>
  <c r="D384" i="7"/>
  <c r="C384" i="7"/>
  <c r="D388" i="7"/>
  <c r="C388" i="7"/>
  <c r="D392" i="7"/>
  <c r="C392" i="7"/>
  <c r="D396" i="7"/>
  <c r="C396" i="7"/>
  <c r="D400" i="7"/>
  <c r="C400" i="7"/>
  <c r="D404" i="7"/>
  <c r="C404" i="7"/>
  <c r="D408" i="7"/>
  <c r="C408" i="7"/>
  <c r="D412" i="7"/>
  <c r="C412" i="7"/>
  <c r="D416" i="7"/>
  <c r="C416" i="7"/>
  <c r="D420" i="7"/>
  <c r="C420" i="7"/>
  <c r="D424" i="7"/>
  <c r="C424" i="7"/>
  <c r="D428" i="7"/>
  <c r="C428" i="7"/>
  <c r="D432" i="7"/>
  <c r="C432" i="7"/>
  <c r="D436" i="7"/>
  <c r="C436" i="7"/>
  <c r="D440" i="7"/>
  <c r="C440" i="7"/>
  <c r="D444" i="7"/>
  <c r="C444" i="7"/>
  <c r="D448" i="7"/>
  <c r="C448" i="7"/>
  <c r="D452" i="7"/>
  <c r="C452" i="7"/>
  <c r="D456" i="7"/>
  <c r="C456" i="7"/>
  <c r="D460" i="7"/>
  <c r="C460" i="7"/>
  <c r="D464" i="7"/>
  <c r="C464" i="7"/>
  <c r="D468" i="7"/>
  <c r="C468" i="7"/>
  <c r="D472" i="7"/>
  <c r="C472" i="7"/>
  <c r="D476" i="7"/>
  <c r="C476" i="7"/>
  <c r="D480" i="7"/>
  <c r="C480" i="7"/>
  <c r="D484" i="7"/>
  <c r="C484" i="7"/>
  <c r="D488" i="7"/>
  <c r="C488" i="7"/>
  <c r="D492" i="7"/>
  <c r="C492" i="7"/>
  <c r="D496" i="7"/>
  <c r="C496" i="7"/>
  <c r="D500" i="7"/>
  <c r="C500" i="7"/>
  <c r="D504" i="7"/>
  <c r="C504" i="7"/>
  <c r="D508" i="7"/>
  <c r="C508" i="7"/>
  <c r="D512" i="7"/>
  <c r="C512" i="7"/>
  <c r="D516" i="7"/>
  <c r="C516" i="7"/>
  <c r="D520" i="7"/>
  <c r="C520" i="7"/>
  <c r="D524" i="7"/>
  <c r="C524" i="7"/>
  <c r="D528" i="7"/>
  <c r="C528" i="7"/>
  <c r="D532" i="7"/>
  <c r="C532" i="7"/>
  <c r="D536" i="7"/>
  <c r="C536" i="7"/>
  <c r="D540" i="7"/>
  <c r="C540" i="7"/>
  <c r="D544" i="7"/>
  <c r="C544" i="7"/>
  <c r="D548" i="7"/>
  <c r="C548" i="7"/>
  <c r="D552" i="7"/>
  <c r="C552" i="7"/>
  <c r="D556" i="7"/>
  <c r="C556" i="7"/>
  <c r="D560" i="7"/>
  <c r="C560" i="7"/>
  <c r="D564" i="7"/>
  <c r="C564" i="7"/>
  <c r="D568" i="7"/>
  <c r="C568" i="7"/>
  <c r="D572" i="7"/>
  <c r="C572" i="7"/>
  <c r="D576" i="7"/>
  <c r="C576" i="7"/>
  <c r="D580" i="7"/>
  <c r="C580" i="7"/>
  <c r="D584" i="7"/>
  <c r="C584" i="7"/>
  <c r="D588" i="7"/>
  <c r="C588" i="7"/>
  <c r="D592" i="7"/>
  <c r="C592" i="7"/>
  <c r="D596" i="7"/>
  <c r="C596" i="7"/>
  <c r="D600" i="7"/>
  <c r="C600" i="7"/>
  <c r="D604" i="7"/>
  <c r="C604" i="7"/>
  <c r="D608" i="7"/>
  <c r="C608" i="7"/>
  <c r="D612" i="7"/>
  <c r="C612" i="7"/>
  <c r="D616" i="7"/>
  <c r="C616" i="7"/>
  <c r="D620" i="7"/>
  <c r="C620" i="7"/>
  <c r="D624" i="7"/>
  <c r="C624" i="7"/>
  <c r="D628" i="7"/>
  <c r="C628" i="7"/>
  <c r="D632" i="7"/>
  <c r="C632" i="7"/>
  <c r="D636" i="7"/>
  <c r="C636" i="7"/>
  <c r="D640" i="7"/>
  <c r="C640" i="7"/>
  <c r="D644" i="7"/>
  <c r="C644" i="7"/>
  <c r="D648" i="7"/>
  <c r="C648" i="7"/>
  <c r="D652" i="7"/>
  <c r="C652" i="7"/>
  <c r="D656" i="7"/>
  <c r="C656" i="7"/>
  <c r="D660" i="7"/>
  <c r="C660" i="7"/>
  <c r="D664" i="7"/>
  <c r="C664" i="7"/>
  <c r="D668" i="7"/>
  <c r="C668" i="7"/>
  <c r="D672" i="7"/>
  <c r="C672" i="7"/>
  <c r="D676" i="7"/>
  <c r="C676" i="7"/>
  <c r="D680" i="7"/>
  <c r="C680" i="7"/>
  <c r="D684" i="7"/>
  <c r="C684" i="7"/>
  <c r="D688" i="7"/>
  <c r="C688" i="7"/>
  <c r="D692" i="7"/>
  <c r="C692" i="7"/>
  <c r="D696" i="7"/>
  <c r="C696" i="7"/>
  <c r="D700" i="7"/>
  <c r="C700" i="7"/>
  <c r="D704" i="7"/>
  <c r="C704" i="7"/>
  <c r="D708" i="7"/>
  <c r="C708" i="7"/>
  <c r="D712" i="7"/>
  <c r="C712" i="7"/>
  <c r="D716" i="7"/>
  <c r="C716" i="7"/>
  <c r="D720" i="7"/>
  <c r="C720" i="7"/>
  <c r="D724" i="7"/>
  <c r="C724" i="7"/>
  <c r="D728" i="7"/>
  <c r="C728" i="7"/>
  <c r="D732" i="7"/>
  <c r="C732" i="7"/>
  <c r="D736" i="7"/>
  <c r="C736" i="7"/>
  <c r="D740" i="7"/>
  <c r="C740" i="7"/>
  <c r="D744" i="7"/>
  <c r="C744" i="7"/>
  <c r="D748" i="7"/>
  <c r="C748" i="7"/>
  <c r="D752" i="7"/>
  <c r="C752" i="7"/>
  <c r="D756" i="7"/>
  <c r="C756" i="7"/>
  <c r="D760" i="7"/>
  <c r="C760" i="7"/>
  <c r="D764" i="7"/>
  <c r="C764" i="7"/>
  <c r="D768" i="7"/>
  <c r="C768" i="7"/>
  <c r="D772" i="7"/>
  <c r="C772" i="7"/>
  <c r="D776" i="7"/>
  <c r="C776" i="7"/>
  <c r="D780" i="7"/>
  <c r="C780" i="7"/>
  <c r="D784" i="7"/>
  <c r="C784" i="7"/>
  <c r="D788" i="7"/>
  <c r="C788" i="7"/>
  <c r="D792" i="7"/>
  <c r="C792" i="7"/>
  <c r="D796" i="7"/>
  <c r="C796" i="7"/>
  <c r="D800" i="7"/>
  <c r="C800" i="7"/>
  <c r="D804" i="7"/>
  <c r="C804" i="7"/>
  <c r="D808" i="7"/>
  <c r="C808" i="7"/>
  <c r="D812" i="7"/>
  <c r="C812" i="7"/>
  <c r="D816" i="7"/>
  <c r="C816" i="7"/>
  <c r="D820" i="7"/>
  <c r="C820" i="7"/>
  <c r="D824" i="7"/>
  <c r="C824" i="7"/>
  <c r="D828" i="7"/>
  <c r="C828" i="7"/>
  <c r="D832" i="7"/>
  <c r="C832" i="7"/>
  <c r="D836" i="7"/>
  <c r="C836" i="7"/>
  <c r="D840" i="7"/>
  <c r="C840" i="7"/>
  <c r="D844" i="7"/>
  <c r="C844" i="7"/>
  <c r="D848" i="7"/>
  <c r="C848" i="7"/>
  <c r="D852" i="7"/>
  <c r="C852" i="7"/>
  <c r="D856" i="7"/>
  <c r="C856" i="7"/>
  <c r="D860" i="7"/>
  <c r="C860" i="7"/>
  <c r="D864" i="7"/>
  <c r="C864" i="7"/>
  <c r="D868" i="7"/>
  <c r="C868" i="7"/>
  <c r="D872" i="7"/>
  <c r="C872" i="7"/>
  <c r="D876" i="7"/>
  <c r="C876" i="7"/>
  <c r="D880" i="7"/>
  <c r="C880" i="7"/>
  <c r="D884" i="7"/>
  <c r="C884" i="7"/>
  <c r="D888" i="7"/>
  <c r="C888" i="7"/>
  <c r="D892" i="7"/>
  <c r="C892" i="7"/>
  <c r="D896" i="7"/>
  <c r="C896" i="7"/>
  <c r="D900" i="7"/>
  <c r="C900" i="7"/>
  <c r="D904" i="7"/>
  <c r="C904" i="7"/>
  <c r="D908" i="7"/>
  <c r="C908" i="7"/>
  <c r="D912" i="7"/>
  <c r="C912" i="7"/>
  <c r="D916" i="7"/>
  <c r="C916" i="7"/>
  <c r="D920" i="7"/>
  <c r="C920" i="7"/>
  <c r="D924" i="7"/>
  <c r="C924" i="7"/>
  <c r="D928" i="7"/>
  <c r="C928" i="7"/>
  <c r="D932" i="7"/>
  <c r="C932" i="7"/>
  <c r="D936" i="7"/>
  <c r="C936" i="7"/>
  <c r="D940" i="7"/>
  <c r="C940" i="7"/>
  <c r="D944" i="7"/>
  <c r="C944" i="7"/>
  <c r="D948" i="7"/>
  <c r="C948" i="7"/>
  <c r="D952" i="7"/>
  <c r="C952" i="7"/>
  <c r="D956" i="7"/>
  <c r="C956" i="7"/>
  <c r="D960" i="7"/>
  <c r="C960" i="7"/>
  <c r="D964" i="7"/>
  <c r="C964" i="7"/>
  <c r="D968" i="7"/>
  <c r="C968" i="7"/>
  <c r="D972" i="7"/>
  <c r="C972" i="7"/>
  <c r="D976" i="7"/>
  <c r="C976" i="7"/>
  <c r="D980" i="7"/>
  <c r="C980" i="7"/>
  <c r="D984" i="7"/>
  <c r="C984" i="7"/>
  <c r="D988" i="7"/>
  <c r="C988" i="7"/>
  <c r="D992" i="7"/>
  <c r="C992" i="7"/>
  <c r="D996" i="7"/>
  <c r="C996" i="7"/>
  <c r="D1000" i="7"/>
  <c r="C1000" i="7"/>
  <c r="D1004" i="7"/>
  <c r="C1004" i="7"/>
  <c r="C1008" i="7"/>
  <c r="D1008" i="7"/>
  <c r="D1012" i="7"/>
  <c r="C1012" i="7"/>
  <c r="D1016" i="7"/>
  <c r="C1016" i="7"/>
  <c r="D1020" i="7"/>
  <c r="C1020" i="7"/>
  <c r="D1024" i="7"/>
  <c r="C1024" i="7"/>
  <c r="C1028" i="7"/>
  <c r="D1028" i="7"/>
  <c r="D1032" i="7"/>
  <c r="C1032" i="7"/>
  <c r="C1036" i="7"/>
  <c r="D1036" i="7"/>
  <c r="D1040" i="7"/>
  <c r="C1040" i="7"/>
  <c r="C1044" i="7"/>
  <c r="D1044" i="7"/>
  <c r="D1048" i="7"/>
  <c r="C1048" i="7"/>
  <c r="D1052" i="7"/>
  <c r="C1052" i="7"/>
  <c r="D1056" i="7"/>
  <c r="C1056" i="7"/>
  <c r="C1060" i="7"/>
  <c r="D1060" i="7"/>
  <c r="D1064" i="7"/>
  <c r="C1064" i="7"/>
  <c r="C1068" i="7"/>
  <c r="D1068" i="7"/>
  <c r="D1072" i="7"/>
  <c r="C1072" i="7"/>
  <c r="C1076" i="7"/>
  <c r="D1076" i="7"/>
  <c r="D1080" i="7"/>
  <c r="C1080" i="7"/>
  <c r="C1084" i="7"/>
  <c r="D1084" i="7"/>
  <c r="D1088" i="7"/>
  <c r="C1088" i="7"/>
  <c r="C1092" i="7"/>
  <c r="D1092" i="7"/>
  <c r="D1096" i="7"/>
  <c r="C1096" i="7"/>
  <c r="C1100" i="7"/>
  <c r="D1100" i="7"/>
  <c r="D1104" i="7"/>
  <c r="C1104" i="7"/>
  <c r="C1108" i="7"/>
  <c r="D1108" i="7"/>
  <c r="D1112" i="7"/>
  <c r="C1112" i="7"/>
  <c r="C1116" i="7"/>
  <c r="D1116" i="7"/>
  <c r="D1120" i="7"/>
  <c r="C1120" i="7"/>
  <c r="C1124" i="7"/>
  <c r="D1124" i="7"/>
  <c r="D1128" i="7"/>
  <c r="C1128" i="7"/>
  <c r="C1132" i="7"/>
  <c r="D1132" i="7"/>
  <c r="D1136" i="7"/>
  <c r="C1136" i="7"/>
  <c r="C1140" i="7"/>
  <c r="D1140" i="7"/>
  <c r="D1144" i="7"/>
  <c r="C1144" i="7"/>
  <c r="C1148" i="7"/>
  <c r="D1148" i="7"/>
  <c r="D1152" i="7"/>
  <c r="C1152" i="7"/>
  <c r="C1156" i="7"/>
  <c r="D1156" i="7"/>
  <c r="D1160" i="7"/>
  <c r="C1160" i="7"/>
  <c r="C1164" i="7"/>
  <c r="D1164" i="7"/>
  <c r="D1168" i="7"/>
  <c r="C1168" i="7"/>
  <c r="C1172" i="7"/>
  <c r="D1172" i="7"/>
  <c r="D1176" i="7"/>
  <c r="C1176" i="7"/>
  <c r="C1180" i="7"/>
  <c r="D1180" i="7"/>
  <c r="D1184" i="7"/>
  <c r="C1184" i="7"/>
  <c r="C1188" i="7"/>
  <c r="D1188" i="7"/>
  <c r="D1192" i="7"/>
  <c r="C1192" i="7"/>
  <c r="C1196" i="7"/>
  <c r="D1196" i="7"/>
  <c r="D1200" i="7"/>
  <c r="C1200" i="7"/>
  <c r="C1204" i="7"/>
  <c r="D1204" i="7"/>
  <c r="D1208" i="7"/>
  <c r="C1208" i="7"/>
  <c r="C1212" i="7"/>
  <c r="D1212" i="7"/>
  <c r="D1216" i="7"/>
  <c r="C1216" i="7"/>
  <c r="C1220" i="7"/>
  <c r="D1220" i="7"/>
  <c r="D1224" i="7"/>
  <c r="C1224" i="7"/>
  <c r="C1228" i="7"/>
  <c r="D1228" i="7"/>
  <c r="D1232" i="7"/>
  <c r="C1232" i="7"/>
  <c r="C1236" i="7"/>
  <c r="D1236" i="7"/>
  <c r="D1240" i="7"/>
  <c r="C1240" i="7"/>
  <c r="C1244" i="7"/>
  <c r="D1244" i="7"/>
  <c r="D1248" i="7"/>
  <c r="C1248" i="7"/>
  <c r="C1252" i="7"/>
  <c r="D1252" i="7"/>
  <c r="D1256" i="7"/>
  <c r="C1256" i="7"/>
  <c r="C1260" i="7"/>
  <c r="D1260" i="7"/>
  <c r="D1264" i="7"/>
  <c r="C1264" i="7"/>
  <c r="C1268" i="7"/>
  <c r="D1268" i="7"/>
  <c r="D1272" i="7"/>
  <c r="C1272" i="7"/>
  <c r="C1276" i="7"/>
  <c r="D1276" i="7"/>
  <c r="D1280" i="7"/>
  <c r="C1280" i="7"/>
  <c r="C1284" i="7"/>
  <c r="D1284" i="7"/>
  <c r="D1288" i="7"/>
  <c r="C1288" i="7"/>
  <c r="C1292" i="7"/>
  <c r="D1292" i="7"/>
  <c r="D1296" i="7"/>
  <c r="C1296" i="7"/>
  <c r="C1300" i="7"/>
  <c r="D1300" i="7"/>
  <c r="D1304" i="7"/>
  <c r="C1304" i="7"/>
  <c r="C1308" i="7"/>
  <c r="D1308" i="7"/>
  <c r="D1312" i="7"/>
  <c r="C1312" i="7"/>
  <c r="C1316" i="7"/>
  <c r="D1316" i="7"/>
  <c r="D1320" i="7"/>
  <c r="C1320" i="7"/>
  <c r="D6" i="7"/>
  <c r="C6" i="7"/>
  <c r="D14" i="7"/>
  <c r="C14" i="7"/>
  <c r="D22" i="7"/>
  <c r="C22" i="7"/>
  <c r="D30" i="7"/>
  <c r="C30" i="7"/>
  <c r="D38" i="7"/>
  <c r="C38" i="7"/>
  <c r="D46" i="7"/>
  <c r="C46" i="7"/>
  <c r="D54" i="7"/>
  <c r="C54" i="7"/>
  <c r="D62" i="7"/>
  <c r="C62" i="7"/>
  <c r="D70" i="7"/>
  <c r="C70" i="7"/>
  <c r="D78" i="7"/>
  <c r="C78" i="7"/>
  <c r="D86" i="7"/>
  <c r="C86" i="7"/>
  <c r="D94" i="7"/>
  <c r="C94" i="7"/>
  <c r="D102" i="7"/>
  <c r="C102" i="7"/>
  <c r="D110" i="7"/>
  <c r="C110" i="7"/>
  <c r="D118" i="7"/>
  <c r="C118" i="7"/>
  <c r="D126" i="7"/>
  <c r="C126" i="7"/>
  <c r="D134" i="7"/>
  <c r="C134" i="7"/>
  <c r="D142" i="7"/>
  <c r="C142" i="7"/>
  <c r="D150" i="7"/>
  <c r="C150" i="7"/>
  <c r="D158" i="7"/>
  <c r="C158" i="7"/>
  <c r="D166" i="7"/>
  <c r="C166" i="7"/>
  <c r="D174" i="7"/>
  <c r="C174" i="7"/>
  <c r="D182" i="7"/>
  <c r="C182" i="7"/>
  <c r="D190" i="7"/>
  <c r="C190" i="7"/>
  <c r="D198" i="7"/>
  <c r="C198" i="7"/>
  <c r="D206" i="7"/>
  <c r="C206" i="7"/>
  <c r="D214" i="7"/>
  <c r="C214" i="7"/>
  <c r="D222" i="7"/>
  <c r="C222" i="7"/>
  <c r="D230" i="7"/>
  <c r="C230" i="7"/>
  <c r="D238" i="7"/>
  <c r="C238" i="7"/>
  <c r="D246" i="7"/>
  <c r="C246" i="7"/>
  <c r="D254" i="7"/>
  <c r="C254" i="7"/>
  <c r="D262" i="7"/>
  <c r="C262" i="7"/>
  <c r="D270" i="7"/>
  <c r="C270" i="7"/>
  <c r="D278" i="7"/>
  <c r="C278" i="7"/>
  <c r="D286" i="7"/>
  <c r="C286" i="7"/>
  <c r="D294" i="7"/>
  <c r="C294" i="7"/>
  <c r="D302" i="7"/>
  <c r="C302" i="7"/>
  <c r="D310" i="7"/>
  <c r="C310" i="7"/>
  <c r="D318" i="7"/>
  <c r="C318" i="7"/>
  <c r="D326" i="7"/>
  <c r="C326" i="7"/>
  <c r="D334" i="7"/>
  <c r="C334" i="7"/>
  <c r="D342" i="7"/>
  <c r="C342" i="7"/>
  <c r="D350" i="7"/>
  <c r="C350" i="7"/>
  <c r="D358" i="7"/>
  <c r="C358" i="7"/>
  <c r="D366" i="7"/>
  <c r="C366" i="7"/>
  <c r="D374" i="7"/>
  <c r="C374" i="7"/>
  <c r="D382" i="7"/>
  <c r="C382" i="7"/>
  <c r="D390" i="7"/>
  <c r="C390" i="7"/>
  <c r="D398" i="7"/>
  <c r="C398" i="7"/>
  <c r="D406" i="7"/>
  <c r="C406" i="7"/>
  <c r="D414" i="7"/>
  <c r="C414" i="7"/>
  <c r="D422" i="7"/>
  <c r="C422" i="7"/>
  <c r="D430" i="7"/>
  <c r="C430" i="7"/>
  <c r="D438" i="7"/>
  <c r="C438" i="7"/>
  <c r="D446" i="7"/>
  <c r="C446" i="7"/>
  <c r="D454" i="7"/>
  <c r="C454" i="7"/>
  <c r="D462" i="7"/>
  <c r="C462" i="7"/>
  <c r="D470" i="7"/>
  <c r="C470" i="7"/>
  <c r="D478" i="7"/>
  <c r="C478" i="7"/>
  <c r="D486" i="7"/>
  <c r="C486" i="7"/>
  <c r="D494" i="7"/>
  <c r="C494" i="7"/>
  <c r="D502" i="7"/>
  <c r="C502" i="7"/>
  <c r="D510" i="7"/>
  <c r="C510" i="7"/>
  <c r="D518" i="7"/>
  <c r="C518" i="7"/>
  <c r="D526" i="7"/>
  <c r="C526" i="7"/>
  <c r="D534" i="7"/>
  <c r="C534" i="7"/>
  <c r="D542" i="7"/>
  <c r="C542" i="7"/>
  <c r="D550" i="7"/>
  <c r="C550" i="7"/>
  <c r="D558" i="7"/>
  <c r="C558" i="7"/>
  <c r="D566" i="7"/>
  <c r="C566" i="7"/>
  <c r="D574" i="7"/>
  <c r="C574" i="7"/>
  <c r="D586" i="7"/>
  <c r="C586" i="7"/>
  <c r="D590" i="7"/>
  <c r="C590" i="7"/>
  <c r="D598" i="7"/>
  <c r="C598" i="7"/>
  <c r="D606" i="7"/>
  <c r="C606" i="7"/>
  <c r="D614" i="7"/>
  <c r="C614" i="7"/>
  <c r="D622" i="7"/>
  <c r="C622" i="7"/>
  <c r="D630" i="7"/>
  <c r="C630" i="7"/>
  <c r="D642" i="7"/>
  <c r="C642" i="7"/>
  <c r="D650" i="7"/>
  <c r="C650" i="7"/>
  <c r="D658" i="7"/>
  <c r="C658" i="7"/>
  <c r="D666" i="7"/>
  <c r="C666" i="7"/>
  <c r="D674" i="7"/>
  <c r="C674" i="7"/>
  <c r="D678" i="7"/>
  <c r="C678" i="7"/>
  <c r="D686" i="7"/>
  <c r="C686" i="7"/>
  <c r="D694" i="7"/>
  <c r="C694" i="7"/>
  <c r="D702" i="7"/>
  <c r="C702" i="7"/>
  <c r="D710" i="7"/>
  <c r="C710" i="7"/>
  <c r="D718" i="7"/>
  <c r="C718" i="7"/>
  <c r="D726" i="7"/>
  <c r="C726" i="7"/>
  <c r="D734" i="7"/>
  <c r="C734" i="7"/>
  <c r="D742" i="7"/>
  <c r="C742" i="7"/>
  <c r="D750" i="7"/>
  <c r="C750" i="7"/>
  <c r="D758" i="7"/>
  <c r="C758" i="7"/>
  <c r="D766" i="7"/>
  <c r="C766" i="7"/>
  <c r="D774" i="7"/>
  <c r="C774" i="7"/>
  <c r="D782" i="7"/>
  <c r="C782" i="7"/>
  <c r="D790" i="7"/>
  <c r="C790" i="7"/>
  <c r="D798" i="7"/>
  <c r="C798" i="7"/>
  <c r="D806" i="7"/>
  <c r="C806" i="7"/>
  <c r="D814" i="7"/>
  <c r="C814" i="7"/>
  <c r="D822" i="7"/>
  <c r="C822" i="7"/>
  <c r="D830" i="7"/>
  <c r="C830" i="7"/>
  <c r="D838" i="7"/>
  <c r="C838" i="7"/>
  <c r="D846" i="7"/>
  <c r="C846" i="7"/>
  <c r="D854" i="7"/>
  <c r="C854" i="7"/>
  <c r="D862" i="7"/>
  <c r="C862" i="7"/>
  <c r="D870" i="7"/>
  <c r="C870" i="7"/>
  <c r="D878" i="7"/>
  <c r="C878" i="7"/>
  <c r="D886" i="7"/>
  <c r="C886" i="7"/>
  <c r="D894" i="7"/>
  <c r="C894" i="7"/>
  <c r="D902" i="7"/>
  <c r="C902" i="7"/>
  <c r="D910" i="7"/>
  <c r="C910" i="7"/>
  <c r="D918" i="7"/>
  <c r="C918" i="7"/>
  <c r="D926" i="7"/>
  <c r="C926" i="7"/>
  <c r="D934" i="7"/>
  <c r="C934" i="7"/>
  <c r="D942" i="7"/>
  <c r="C942" i="7"/>
  <c r="D950" i="7"/>
  <c r="C950" i="7"/>
  <c r="D958" i="7"/>
  <c r="C958" i="7"/>
  <c r="D966" i="7"/>
  <c r="C966" i="7"/>
  <c r="D974" i="7"/>
  <c r="C974" i="7"/>
  <c r="D982" i="7"/>
  <c r="C982" i="7"/>
  <c r="D990" i="7"/>
  <c r="C990" i="7"/>
  <c r="D998" i="7"/>
  <c r="C998" i="7"/>
  <c r="D1006" i="7"/>
  <c r="C1006" i="7"/>
  <c r="D1014" i="7"/>
  <c r="C1014" i="7"/>
  <c r="D1022" i="7"/>
  <c r="C1022" i="7"/>
  <c r="D1030" i="7"/>
  <c r="C1030" i="7"/>
  <c r="D1038" i="7"/>
  <c r="C1038" i="7"/>
  <c r="D1046" i="7"/>
  <c r="C1046" i="7"/>
  <c r="D1054" i="7"/>
  <c r="C1054" i="7"/>
  <c r="D1062" i="7"/>
  <c r="C1062" i="7"/>
  <c r="D1070" i="7"/>
  <c r="C1070" i="7"/>
  <c r="D1078" i="7"/>
  <c r="C1078" i="7"/>
  <c r="D1086" i="7"/>
  <c r="C1086" i="7"/>
  <c r="D1094" i="7"/>
  <c r="C1094" i="7"/>
  <c r="D1102" i="7"/>
  <c r="C1102" i="7"/>
  <c r="D1110" i="7"/>
  <c r="C1110" i="7"/>
  <c r="D1118" i="7"/>
  <c r="C1118" i="7"/>
  <c r="D1126" i="7"/>
  <c r="C1126" i="7"/>
  <c r="D1134" i="7"/>
  <c r="C1134" i="7"/>
  <c r="D1142" i="7"/>
  <c r="C1142" i="7"/>
  <c r="D1150" i="7"/>
  <c r="C1150" i="7"/>
  <c r="D1158" i="7"/>
  <c r="C1158" i="7"/>
  <c r="D1162" i="7"/>
  <c r="C1162" i="7"/>
  <c r="D1166" i="7"/>
  <c r="C1166" i="7"/>
  <c r="D1182" i="7"/>
  <c r="C1182" i="7"/>
  <c r="D1186" i="7"/>
  <c r="C1186" i="7"/>
  <c r="D1194" i="7"/>
  <c r="C1194" i="7"/>
  <c r="D1206" i="7"/>
  <c r="C1206" i="7"/>
  <c r="D1214" i="7"/>
  <c r="C1214" i="7"/>
  <c r="D1222" i="7"/>
  <c r="C1222" i="7"/>
  <c r="D1230" i="7"/>
  <c r="C1230" i="7"/>
  <c r="D1234" i="7"/>
  <c r="C1234" i="7"/>
  <c r="D1242" i="7"/>
  <c r="C1242" i="7"/>
  <c r="D1250" i="7"/>
  <c r="C1250" i="7"/>
  <c r="D1258" i="7"/>
  <c r="C1258" i="7"/>
  <c r="D1266" i="7"/>
  <c r="C1266" i="7"/>
  <c r="D1274" i="7"/>
  <c r="C1274" i="7"/>
  <c r="D1282" i="7"/>
  <c r="C1282" i="7"/>
  <c r="D1290" i="7"/>
  <c r="C1290" i="7"/>
  <c r="D1298" i="7"/>
  <c r="C1298" i="7"/>
  <c r="D1306" i="7"/>
  <c r="C1306" i="7"/>
  <c r="D1314" i="7"/>
  <c r="C1314" i="7"/>
  <c r="D3" i="7"/>
  <c r="C3" i="7"/>
  <c r="D11" i="7"/>
  <c r="C11" i="7"/>
  <c r="D19" i="7"/>
  <c r="C19" i="7"/>
  <c r="D27" i="7"/>
  <c r="C27" i="7"/>
  <c r="D35" i="7"/>
  <c r="C35" i="7"/>
  <c r="D43" i="7"/>
  <c r="C43" i="7"/>
  <c r="D51" i="7"/>
  <c r="C51" i="7"/>
  <c r="D59" i="7"/>
  <c r="C59" i="7"/>
  <c r="D67" i="7"/>
  <c r="C67" i="7"/>
  <c r="D75" i="7"/>
  <c r="C75" i="7"/>
  <c r="D83" i="7"/>
  <c r="C83" i="7"/>
  <c r="D91" i="7"/>
  <c r="C91" i="7"/>
  <c r="D99" i="7"/>
  <c r="C99" i="7"/>
  <c r="D107" i="7"/>
  <c r="C107" i="7"/>
  <c r="D115" i="7"/>
  <c r="C115" i="7"/>
  <c r="D123" i="7"/>
  <c r="C123" i="7"/>
  <c r="D131" i="7"/>
  <c r="C131" i="7"/>
  <c r="D139" i="7"/>
  <c r="C139" i="7"/>
  <c r="D147" i="7"/>
  <c r="C147" i="7"/>
  <c r="D155" i="7"/>
  <c r="C155" i="7"/>
  <c r="D163" i="7"/>
  <c r="C163" i="7"/>
  <c r="D171" i="7"/>
  <c r="C171" i="7"/>
  <c r="D179" i="7"/>
  <c r="C179" i="7"/>
  <c r="D187" i="7"/>
  <c r="C187" i="7"/>
  <c r="D195" i="7"/>
  <c r="C195" i="7"/>
  <c r="D203" i="7"/>
  <c r="C203" i="7"/>
  <c r="D211" i="7"/>
  <c r="C211" i="7"/>
  <c r="D219" i="7"/>
  <c r="C219" i="7"/>
  <c r="D227" i="7"/>
  <c r="C227" i="7"/>
  <c r="D235" i="7"/>
  <c r="C235" i="7"/>
  <c r="D243" i="7"/>
  <c r="C243" i="7"/>
  <c r="D251" i="7"/>
  <c r="C251" i="7"/>
  <c r="D259" i="7"/>
  <c r="C259" i="7"/>
  <c r="D267" i="7"/>
  <c r="C267" i="7"/>
  <c r="D275" i="7"/>
  <c r="C275" i="7"/>
  <c r="D283" i="7"/>
  <c r="C283" i="7"/>
  <c r="D291" i="7"/>
  <c r="C291" i="7"/>
  <c r="D299" i="7"/>
  <c r="C299" i="7"/>
  <c r="D307" i="7"/>
  <c r="C307" i="7"/>
  <c r="D315" i="7"/>
  <c r="C315" i="7"/>
  <c r="D323" i="7"/>
  <c r="C323" i="7"/>
  <c r="D331" i="7"/>
  <c r="C331" i="7"/>
  <c r="D339" i="7"/>
  <c r="C339" i="7"/>
  <c r="D347" i="7"/>
  <c r="C347" i="7"/>
  <c r="D355" i="7"/>
  <c r="C355" i="7"/>
  <c r="D363" i="7"/>
  <c r="C363" i="7"/>
  <c r="D367" i="7"/>
  <c r="C367" i="7"/>
  <c r="D375" i="7"/>
  <c r="C375" i="7"/>
  <c r="D387" i="7"/>
  <c r="C387" i="7"/>
  <c r="D395" i="7"/>
  <c r="C395" i="7"/>
  <c r="D403" i="7"/>
  <c r="C403" i="7"/>
  <c r="D411" i="7"/>
  <c r="C411" i="7"/>
  <c r="D419" i="7"/>
  <c r="C419" i="7"/>
  <c r="D427" i="7"/>
  <c r="C427" i="7"/>
  <c r="D435" i="7"/>
  <c r="C435" i="7"/>
  <c r="D439" i="7"/>
  <c r="C439" i="7"/>
  <c r="D447" i="7"/>
  <c r="C447" i="7"/>
  <c r="D455" i="7"/>
  <c r="C455" i="7"/>
  <c r="D463" i="7"/>
  <c r="C463" i="7"/>
  <c r="D471" i="7"/>
  <c r="C471" i="7"/>
  <c r="D479" i="7"/>
  <c r="C479" i="7"/>
  <c r="D487" i="7"/>
  <c r="C487" i="7"/>
  <c r="D495" i="7"/>
  <c r="C495" i="7"/>
  <c r="D503" i="7"/>
  <c r="C503" i="7"/>
  <c r="D511" i="7"/>
  <c r="C511" i="7"/>
  <c r="D519" i="7"/>
  <c r="C519" i="7"/>
  <c r="D527" i="7"/>
  <c r="C527" i="7"/>
  <c r="D535" i="7"/>
  <c r="C535" i="7"/>
  <c r="D547" i="7"/>
  <c r="C547" i="7"/>
  <c r="D555" i="7"/>
  <c r="C555" i="7"/>
  <c r="D563" i="7"/>
  <c r="C563" i="7"/>
  <c r="D567" i="7"/>
  <c r="C567" i="7"/>
  <c r="D579" i="7"/>
  <c r="C579" i="7"/>
  <c r="D587" i="7"/>
  <c r="C587" i="7"/>
  <c r="D591" i="7"/>
  <c r="C591" i="7"/>
  <c r="D599" i="7"/>
  <c r="C599" i="7"/>
  <c r="D607" i="7"/>
  <c r="C607" i="7"/>
  <c r="D619" i="7"/>
  <c r="C619" i="7"/>
  <c r="D627" i="7"/>
  <c r="C627" i="7"/>
  <c r="D635" i="7"/>
  <c r="C635" i="7"/>
  <c r="D643" i="7"/>
  <c r="C643" i="7"/>
  <c r="D651" i="7"/>
  <c r="C651" i="7"/>
  <c r="D659" i="7"/>
  <c r="C659" i="7"/>
  <c r="D667" i="7"/>
  <c r="C667" i="7"/>
  <c r="D675" i="7"/>
  <c r="C675" i="7"/>
  <c r="D683" i="7"/>
  <c r="C683" i="7"/>
  <c r="D687" i="7"/>
  <c r="C687" i="7"/>
  <c r="D695" i="7"/>
  <c r="C695" i="7"/>
  <c r="D707" i="7"/>
  <c r="C707" i="7"/>
  <c r="D715" i="7"/>
  <c r="C715" i="7"/>
  <c r="C719" i="7"/>
  <c r="D719" i="7"/>
  <c r="D731" i="7"/>
  <c r="C731" i="7"/>
  <c r="D739" i="7"/>
  <c r="C739" i="7"/>
  <c r="D743" i="7"/>
  <c r="C743" i="7"/>
  <c r="C751" i="7"/>
  <c r="D751" i="7"/>
  <c r="D759" i="7"/>
  <c r="C759" i="7"/>
  <c r="D767" i="7"/>
  <c r="C767" i="7"/>
  <c r="D775" i="7"/>
  <c r="C775" i="7"/>
  <c r="C783" i="7"/>
  <c r="D783" i="7"/>
  <c r="D791" i="7"/>
  <c r="C791" i="7"/>
  <c r="D799" i="7"/>
  <c r="C799" i="7"/>
  <c r="D807" i="7"/>
  <c r="C807" i="7"/>
  <c r="C815" i="7"/>
  <c r="D815" i="7"/>
  <c r="D823" i="7"/>
  <c r="C823" i="7"/>
  <c r="D831" i="7"/>
  <c r="C831" i="7"/>
  <c r="D839" i="7"/>
  <c r="C839" i="7"/>
  <c r="C847" i="7"/>
  <c r="D847" i="7"/>
  <c r="D855" i="7"/>
  <c r="C855" i="7"/>
  <c r="D863" i="7"/>
  <c r="C863" i="7"/>
  <c r="D871" i="7"/>
  <c r="C871" i="7"/>
  <c r="C879" i="7"/>
  <c r="D879" i="7"/>
  <c r="D887" i="7"/>
  <c r="C887" i="7"/>
  <c r="D895" i="7"/>
  <c r="C895" i="7"/>
  <c r="D903" i="7"/>
  <c r="C903" i="7"/>
  <c r="C911" i="7"/>
  <c r="D911" i="7"/>
  <c r="D919" i="7"/>
  <c r="C919" i="7"/>
  <c r="D927" i="7"/>
  <c r="C927" i="7"/>
  <c r="D935" i="7"/>
  <c r="C935" i="7"/>
  <c r="C943" i="7"/>
  <c r="D943" i="7"/>
  <c r="D951" i="7"/>
  <c r="C951" i="7"/>
  <c r="D959" i="7"/>
  <c r="C959" i="7"/>
  <c r="D967" i="7"/>
  <c r="C967" i="7"/>
  <c r="D975" i="7"/>
  <c r="C975" i="7"/>
  <c r="D983" i="7"/>
  <c r="C983" i="7"/>
  <c r="D991" i="7"/>
  <c r="C991" i="7"/>
  <c r="D999" i="7"/>
  <c r="C999" i="7"/>
  <c r="D1011" i="7"/>
  <c r="C1011" i="7"/>
  <c r="D1023" i="7"/>
  <c r="C1023" i="7"/>
  <c r="D1031" i="7"/>
  <c r="C1031" i="7"/>
  <c r="D1039" i="7"/>
  <c r="C1039" i="7"/>
  <c r="D1047" i="7"/>
  <c r="C1047" i="7"/>
  <c r="D1051" i="7"/>
  <c r="C1051" i="7"/>
  <c r="D1059" i="7"/>
  <c r="C1059" i="7"/>
  <c r="D1067" i="7"/>
  <c r="C1067" i="7"/>
  <c r="D1075" i="7"/>
  <c r="C1075" i="7"/>
  <c r="D1083" i="7"/>
  <c r="C1083" i="7"/>
  <c r="D1091" i="7"/>
  <c r="C1091" i="7"/>
  <c r="D1099" i="7"/>
  <c r="C1099" i="7"/>
  <c r="D1107" i="7"/>
  <c r="C1107" i="7"/>
  <c r="D1115" i="7"/>
  <c r="C1115" i="7"/>
  <c r="D1123" i="7"/>
  <c r="C1123" i="7"/>
  <c r="D1131" i="7"/>
  <c r="C1131" i="7"/>
  <c r="D1139" i="7"/>
  <c r="C1139" i="7"/>
  <c r="D1147" i="7"/>
  <c r="C1147" i="7"/>
  <c r="D1155" i="7"/>
  <c r="C1155" i="7"/>
  <c r="D1163" i="7"/>
  <c r="C1163" i="7"/>
  <c r="D1171" i="7"/>
  <c r="C1171" i="7"/>
  <c r="D1179" i="7"/>
  <c r="C1179" i="7"/>
  <c r="D1187" i="7"/>
  <c r="C1187" i="7"/>
  <c r="D1195" i="7"/>
  <c r="C1195" i="7"/>
  <c r="D1203" i="7"/>
  <c r="C1203" i="7"/>
  <c r="D1211" i="7"/>
  <c r="C1211" i="7"/>
  <c r="D1219" i="7"/>
  <c r="C1219" i="7"/>
  <c r="D1227" i="7"/>
  <c r="C1227" i="7"/>
  <c r="D1235" i="7"/>
  <c r="C1235" i="7"/>
  <c r="D1243" i="7"/>
  <c r="C1243" i="7"/>
  <c r="D1251" i="7"/>
  <c r="C1251" i="7"/>
  <c r="D1259" i="7"/>
  <c r="C1259" i="7"/>
  <c r="D1267" i="7"/>
  <c r="C1267" i="7"/>
  <c r="D1275" i="7"/>
  <c r="C1275" i="7"/>
  <c r="D1283" i="7"/>
  <c r="C1283" i="7"/>
  <c r="D1291" i="7"/>
  <c r="C1291" i="7"/>
  <c r="D1299" i="7"/>
  <c r="C1299" i="7"/>
  <c r="D1307" i="7"/>
  <c r="C1307" i="7"/>
  <c r="D1315" i="7"/>
  <c r="C1315" i="7"/>
  <c r="D5" i="7"/>
  <c r="C5" i="7"/>
  <c r="D9" i="7"/>
  <c r="C9" i="7"/>
  <c r="D13" i="7"/>
  <c r="C13" i="7"/>
  <c r="D17" i="7"/>
  <c r="C17" i="7"/>
  <c r="D21" i="7"/>
  <c r="C21" i="7"/>
  <c r="D25" i="7"/>
  <c r="C25" i="7"/>
  <c r="D29" i="7"/>
  <c r="C29" i="7"/>
  <c r="C33" i="7"/>
  <c r="D33" i="7"/>
  <c r="D37" i="7"/>
  <c r="C37" i="7"/>
  <c r="D41" i="7"/>
  <c r="C41" i="7"/>
  <c r="D45" i="7"/>
  <c r="C45" i="7"/>
  <c r="D49" i="7"/>
  <c r="C49" i="7"/>
  <c r="D53" i="7"/>
  <c r="C53" i="7"/>
  <c r="D57" i="7"/>
  <c r="C57" i="7"/>
  <c r="D61" i="7"/>
  <c r="C61" i="7"/>
  <c r="C65" i="7"/>
  <c r="D65" i="7"/>
  <c r="D69" i="7"/>
  <c r="C69" i="7"/>
  <c r="D73" i="7"/>
  <c r="C73" i="7"/>
  <c r="D77" i="7"/>
  <c r="C77" i="7"/>
  <c r="D81" i="7"/>
  <c r="C81" i="7"/>
  <c r="D85" i="7"/>
  <c r="C85" i="7"/>
  <c r="D89" i="7"/>
  <c r="C89" i="7"/>
  <c r="D93" i="7"/>
  <c r="C93" i="7"/>
  <c r="D97" i="7"/>
  <c r="C97" i="7"/>
  <c r="D101" i="7"/>
  <c r="C101" i="7"/>
  <c r="D105" i="7"/>
  <c r="C105" i="7"/>
  <c r="D109" i="7"/>
  <c r="C109" i="7"/>
  <c r="D113" i="7"/>
  <c r="C113" i="7"/>
  <c r="D117" i="7"/>
  <c r="C117" i="7"/>
  <c r="D121" i="7"/>
  <c r="C121" i="7"/>
  <c r="D125" i="7"/>
  <c r="C125" i="7"/>
  <c r="C129" i="7"/>
  <c r="D129" i="7"/>
  <c r="D133" i="7"/>
  <c r="C133" i="7"/>
  <c r="D137" i="7"/>
  <c r="C137" i="7"/>
  <c r="D141" i="7"/>
  <c r="C141" i="7"/>
  <c r="D145" i="7"/>
  <c r="C145" i="7"/>
  <c r="D149" i="7"/>
  <c r="C149" i="7"/>
  <c r="D153" i="7"/>
  <c r="C153" i="7"/>
  <c r="D157" i="7"/>
  <c r="C157" i="7"/>
  <c r="D161" i="7"/>
  <c r="C161" i="7"/>
  <c r="D165" i="7"/>
  <c r="C165" i="7"/>
  <c r="D169" i="7"/>
  <c r="C169" i="7"/>
  <c r="D173" i="7"/>
  <c r="C173" i="7"/>
  <c r="D177" i="7"/>
  <c r="C177" i="7"/>
  <c r="D181" i="7"/>
  <c r="C181" i="7"/>
  <c r="D185" i="7"/>
  <c r="C185" i="7"/>
  <c r="D189" i="7"/>
  <c r="C189" i="7"/>
  <c r="C193" i="7"/>
  <c r="D193" i="7"/>
  <c r="D197" i="7"/>
  <c r="C197" i="7"/>
  <c r="D201" i="7"/>
  <c r="C201" i="7"/>
  <c r="D205" i="7"/>
  <c r="C205" i="7"/>
  <c r="D209" i="7"/>
  <c r="C209" i="7"/>
  <c r="D213" i="7"/>
  <c r="C213" i="7"/>
  <c r="D217" i="7"/>
  <c r="C217" i="7"/>
  <c r="D221" i="7"/>
  <c r="C221" i="7"/>
  <c r="D225" i="7"/>
  <c r="C225" i="7"/>
  <c r="D229" i="7"/>
  <c r="C229" i="7"/>
  <c r="D233" i="7"/>
  <c r="C233" i="7"/>
  <c r="D237" i="7"/>
  <c r="C237" i="7"/>
  <c r="D241" i="7"/>
  <c r="C241" i="7"/>
  <c r="D245" i="7"/>
  <c r="C245" i="7"/>
  <c r="D249" i="7"/>
  <c r="C249" i="7"/>
  <c r="D253" i="7"/>
  <c r="C253" i="7"/>
  <c r="C257" i="7"/>
  <c r="D257" i="7"/>
  <c r="D261" i="7"/>
  <c r="C261" i="7"/>
  <c r="D265" i="7"/>
  <c r="C265" i="7"/>
  <c r="D269" i="7"/>
  <c r="C269" i="7"/>
  <c r="D273" i="7"/>
  <c r="C273" i="7"/>
  <c r="D277" i="7"/>
  <c r="C277" i="7"/>
  <c r="D281" i="7"/>
  <c r="C281" i="7"/>
  <c r="D285" i="7"/>
  <c r="C285" i="7"/>
  <c r="D289" i="7"/>
  <c r="C289" i="7"/>
  <c r="D293" i="7"/>
  <c r="C293" i="7"/>
  <c r="D297" i="7"/>
  <c r="C297" i="7"/>
  <c r="D301" i="7"/>
  <c r="C301" i="7"/>
  <c r="D305" i="7"/>
  <c r="C305" i="7"/>
  <c r="D309" i="7"/>
  <c r="C309" i="7"/>
  <c r="D313" i="7"/>
  <c r="C313" i="7"/>
  <c r="D317" i="7"/>
  <c r="C317" i="7"/>
  <c r="C321" i="7"/>
  <c r="D321" i="7"/>
  <c r="D325" i="7"/>
  <c r="C325" i="7"/>
  <c r="D329" i="7"/>
  <c r="C329" i="7"/>
  <c r="D333" i="7"/>
  <c r="C333" i="7"/>
  <c r="D337" i="7"/>
  <c r="C337" i="7"/>
  <c r="D341" i="7"/>
  <c r="C341" i="7"/>
  <c r="D345" i="7"/>
  <c r="C345" i="7"/>
  <c r="D349" i="7"/>
  <c r="C349" i="7"/>
  <c r="D353" i="7"/>
  <c r="C353" i="7"/>
  <c r="D357" i="7"/>
  <c r="C357" i="7"/>
  <c r="C361" i="7"/>
  <c r="D361" i="7"/>
  <c r="D365" i="7"/>
  <c r="C365" i="7"/>
  <c r="D369" i="7"/>
  <c r="C369" i="7"/>
  <c r="D373" i="7"/>
  <c r="C373" i="7"/>
  <c r="D377" i="7"/>
  <c r="C377" i="7"/>
  <c r="D381" i="7"/>
  <c r="C381" i="7"/>
  <c r="D385" i="7"/>
  <c r="C385" i="7"/>
  <c r="D389" i="7"/>
  <c r="C389" i="7"/>
  <c r="C393" i="7"/>
  <c r="D393" i="7"/>
  <c r="D397" i="7"/>
  <c r="C397" i="7"/>
  <c r="D401" i="7"/>
  <c r="C401" i="7"/>
  <c r="D405" i="7"/>
  <c r="C405" i="7"/>
  <c r="D409" i="7"/>
  <c r="C409" i="7"/>
  <c r="D413" i="7"/>
  <c r="C413" i="7"/>
  <c r="D417" i="7"/>
  <c r="C417" i="7"/>
  <c r="D421" i="7"/>
  <c r="C421" i="7"/>
  <c r="C425" i="7"/>
  <c r="D425" i="7"/>
  <c r="D429" i="7"/>
  <c r="C429" i="7"/>
  <c r="D433" i="7"/>
  <c r="C433" i="7"/>
  <c r="D437" i="7"/>
  <c r="C437" i="7"/>
  <c r="D441" i="7"/>
  <c r="C441" i="7"/>
  <c r="D445" i="7"/>
  <c r="C445" i="7"/>
  <c r="D449" i="7"/>
  <c r="C449" i="7"/>
  <c r="D453" i="7"/>
  <c r="C453" i="7"/>
  <c r="C457" i="7"/>
  <c r="D457" i="7"/>
  <c r="D461" i="7"/>
  <c r="C461" i="7"/>
  <c r="D465" i="7"/>
  <c r="C465" i="7"/>
  <c r="D469" i="7"/>
  <c r="C469" i="7"/>
  <c r="D473" i="7"/>
  <c r="C473" i="7"/>
  <c r="D477" i="7"/>
  <c r="C477" i="7"/>
  <c r="D481" i="7"/>
  <c r="C481" i="7"/>
  <c r="D485" i="7"/>
  <c r="C485" i="7"/>
  <c r="C489" i="7"/>
  <c r="D489" i="7"/>
  <c r="D493" i="7"/>
  <c r="C493" i="7"/>
  <c r="D497" i="7"/>
  <c r="C497" i="7"/>
  <c r="D501" i="7"/>
  <c r="C501" i="7"/>
  <c r="D505" i="7"/>
  <c r="C505" i="7"/>
  <c r="D509" i="7"/>
  <c r="C509" i="7"/>
  <c r="D513" i="7"/>
  <c r="C513" i="7"/>
  <c r="D517" i="7"/>
  <c r="C517" i="7"/>
  <c r="D521" i="7"/>
  <c r="C521" i="7"/>
  <c r="D525" i="7"/>
  <c r="C525" i="7"/>
  <c r="D529" i="7"/>
  <c r="C529" i="7"/>
  <c r="D533" i="7"/>
  <c r="C533" i="7"/>
  <c r="D537" i="7"/>
  <c r="C537" i="7"/>
  <c r="D541" i="7"/>
  <c r="C541" i="7"/>
  <c r="D545" i="7"/>
  <c r="C545" i="7"/>
  <c r="D549" i="7"/>
  <c r="C549" i="7"/>
  <c r="D553" i="7"/>
  <c r="C553" i="7"/>
  <c r="D557" i="7"/>
  <c r="C557" i="7"/>
  <c r="D561" i="7"/>
  <c r="C561" i="7"/>
  <c r="D565" i="7"/>
  <c r="C565" i="7"/>
  <c r="D569" i="7"/>
  <c r="C569" i="7"/>
  <c r="D573" i="7"/>
  <c r="C573" i="7"/>
  <c r="D577" i="7"/>
  <c r="C577" i="7"/>
  <c r="D581" i="7"/>
  <c r="C581" i="7"/>
  <c r="D585" i="7"/>
  <c r="C585" i="7"/>
  <c r="D589" i="7"/>
  <c r="C589" i="7"/>
  <c r="D593" i="7"/>
  <c r="C593" i="7"/>
  <c r="D597" i="7"/>
  <c r="C597" i="7"/>
  <c r="D601" i="7"/>
  <c r="C601" i="7"/>
  <c r="D605" i="7"/>
  <c r="C605" i="7"/>
  <c r="D609" i="7"/>
  <c r="C609" i="7"/>
  <c r="D613" i="7"/>
  <c r="C613" i="7"/>
  <c r="D617" i="7"/>
  <c r="C617" i="7"/>
  <c r="D621" i="7"/>
  <c r="C621" i="7"/>
  <c r="D625" i="7"/>
  <c r="C625" i="7"/>
  <c r="D629" i="7"/>
  <c r="C629" i="7"/>
  <c r="D633" i="7"/>
  <c r="C633" i="7"/>
  <c r="D637" i="7"/>
  <c r="C637" i="7"/>
  <c r="D641" i="7"/>
  <c r="C641" i="7"/>
  <c r="D645" i="7"/>
  <c r="C645" i="7"/>
  <c r="D649" i="7"/>
  <c r="C649" i="7"/>
  <c r="D653" i="7"/>
  <c r="C653" i="7"/>
  <c r="D657" i="7"/>
  <c r="C657" i="7"/>
  <c r="D661" i="7"/>
  <c r="C661" i="7"/>
  <c r="D665" i="7"/>
  <c r="C665" i="7"/>
  <c r="D669" i="7"/>
  <c r="C669" i="7"/>
  <c r="D673" i="7"/>
  <c r="C673" i="7"/>
  <c r="D677" i="7"/>
  <c r="C677" i="7"/>
  <c r="D681" i="7"/>
  <c r="C681" i="7"/>
  <c r="D685" i="7"/>
  <c r="C685" i="7"/>
  <c r="D689" i="7"/>
  <c r="C689" i="7"/>
  <c r="D693" i="7"/>
  <c r="C693" i="7"/>
  <c r="D697" i="7"/>
  <c r="C697" i="7"/>
  <c r="D701" i="7"/>
  <c r="C701" i="7"/>
  <c r="D705" i="7"/>
  <c r="C705" i="7"/>
  <c r="D709" i="7"/>
  <c r="C709" i="7"/>
  <c r="D713" i="7"/>
  <c r="C713" i="7"/>
  <c r="D717" i="7"/>
  <c r="C717" i="7"/>
  <c r="D721" i="7"/>
  <c r="C721" i="7"/>
  <c r="D725" i="7"/>
  <c r="C725" i="7"/>
  <c r="D729" i="7"/>
  <c r="C729" i="7"/>
  <c r="D733" i="7"/>
  <c r="C733" i="7"/>
  <c r="D737" i="7"/>
  <c r="C737" i="7"/>
  <c r="D741" i="7"/>
  <c r="C741" i="7"/>
  <c r="D745" i="7"/>
  <c r="C745" i="7"/>
  <c r="D749" i="7"/>
  <c r="C749" i="7"/>
  <c r="D753" i="7"/>
  <c r="C753" i="7"/>
  <c r="D757" i="7"/>
  <c r="C757" i="7"/>
  <c r="D761" i="7"/>
  <c r="C761" i="7"/>
  <c r="D765" i="7"/>
  <c r="C765" i="7"/>
  <c r="D769" i="7"/>
  <c r="C769" i="7"/>
  <c r="D773" i="7"/>
  <c r="C773" i="7"/>
  <c r="D777" i="7"/>
  <c r="C777" i="7"/>
  <c r="D781" i="7"/>
  <c r="C781" i="7"/>
  <c r="D785" i="7"/>
  <c r="C785" i="7"/>
  <c r="D789" i="7"/>
  <c r="C789" i="7"/>
  <c r="D793" i="7"/>
  <c r="C793" i="7"/>
  <c r="D797" i="7"/>
  <c r="C797" i="7"/>
  <c r="D801" i="7"/>
  <c r="C801" i="7"/>
  <c r="D805" i="7"/>
  <c r="C805" i="7"/>
  <c r="D809" i="7"/>
  <c r="C809" i="7"/>
  <c r="D813" i="7"/>
  <c r="C813" i="7"/>
  <c r="D817" i="7"/>
  <c r="C817" i="7"/>
  <c r="D821" i="7"/>
  <c r="C821" i="7"/>
  <c r="D825" i="7"/>
  <c r="C825" i="7"/>
  <c r="D829" i="7"/>
  <c r="C829" i="7"/>
  <c r="D833" i="7"/>
  <c r="C833" i="7"/>
  <c r="D837" i="7"/>
  <c r="C837" i="7"/>
  <c r="D841" i="7"/>
  <c r="C841" i="7"/>
  <c r="D845" i="7"/>
  <c r="C845" i="7"/>
  <c r="D849" i="7"/>
  <c r="C849" i="7"/>
  <c r="D853" i="7"/>
  <c r="C853" i="7"/>
  <c r="D857" i="7"/>
  <c r="C857" i="7"/>
  <c r="D861" i="7"/>
  <c r="C861" i="7"/>
  <c r="D865" i="7"/>
  <c r="C865" i="7"/>
  <c r="D869" i="7"/>
  <c r="C869" i="7"/>
  <c r="D873" i="7"/>
  <c r="C873" i="7"/>
  <c r="D877" i="7"/>
  <c r="C877" i="7"/>
  <c r="D881" i="7"/>
  <c r="C881" i="7"/>
  <c r="D885" i="7"/>
  <c r="C885" i="7"/>
  <c r="D889" i="7"/>
  <c r="C889" i="7"/>
  <c r="D893" i="7"/>
  <c r="C893" i="7"/>
  <c r="D897" i="7"/>
  <c r="C897" i="7"/>
  <c r="D901" i="7"/>
  <c r="C901" i="7"/>
  <c r="D905" i="7"/>
  <c r="C905" i="7"/>
  <c r="D909" i="7"/>
  <c r="C909" i="7"/>
  <c r="D913" i="7"/>
  <c r="C913" i="7"/>
  <c r="D917" i="7"/>
  <c r="C917" i="7"/>
  <c r="D921" i="7"/>
  <c r="C921" i="7"/>
  <c r="D925" i="7"/>
  <c r="C925" i="7"/>
  <c r="D929" i="7"/>
  <c r="C929" i="7"/>
  <c r="D933" i="7"/>
  <c r="C933" i="7"/>
  <c r="D937" i="7"/>
  <c r="C937" i="7"/>
  <c r="D941" i="7"/>
  <c r="C941" i="7"/>
  <c r="D945" i="7"/>
  <c r="C945" i="7"/>
  <c r="D949" i="7"/>
  <c r="C949" i="7"/>
  <c r="D953" i="7"/>
  <c r="C953" i="7"/>
  <c r="D957" i="7"/>
  <c r="C957" i="7"/>
  <c r="D961" i="7"/>
  <c r="C961" i="7"/>
  <c r="D965" i="7"/>
  <c r="C965" i="7"/>
  <c r="D969" i="7"/>
  <c r="C969" i="7"/>
  <c r="D973" i="7"/>
  <c r="C973" i="7"/>
  <c r="D977" i="7"/>
  <c r="C977" i="7"/>
  <c r="D981" i="7"/>
  <c r="C981" i="7"/>
  <c r="D985" i="7"/>
  <c r="C985" i="7"/>
  <c r="D989" i="7"/>
  <c r="C989" i="7"/>
  <c r="D993" i="7"/>
  <c r="C993" i="7"/>
  <c r="D997" i="7"/>
  <c r="C997" i="7"/>
  <c r="D1001" i="7"/>
  <c r="C1001" i="7"/>
  <c r="D1005" i="7"/>
  <c r="C1005" i="7"/>
  <c r="D1009" i="7"/>
  <c r="C1009" i="7"/>
  <c r="D1013" i="7"/>
  <c r="C1013" i="7"/>
  <c r="D1017" i="7"/>
  <c r="C1017" i="7"/>
  <c r="D1021" i="7"/>
  <c r="C1021" i="7"/>
  <c r="D1025" i="7"/>
  <c r="C1025" i="7"/>
  <c r="D1029" i="7"/>
  <c r="C1029" i="7"/>
  <c r="D1033" i="7"/>
  <c r="C1033" i="7"/>
  <c r="D1037" i="7"/>
  <c r="C1037" i="7"/>
  <c r="D1041" i="7"/>
  <c r="C1041" i="7"/>
  <c r="D1045" i="7"/>
  <c r="C1045" i="7"/>
  <c r="D1049" i="7"/>
  <c r="C1049" i="7"/>
  <c r="D1053" i="7"/>
  <c r="C1053" i="7"/>
  <c r="D1057" i="7"/>
  <c r="C1057" i="7"/>
  <c r="D1061" i="7"/>
  <c r="C1061" i="7"/>
  <c r="D1065" i="7"/>
  <c r="C1065" i="7"/>
  <c r="D1069" i="7"/>
  <c r="C1069" i="7"/>
  <c r="D1073" i="7"/>
  <c r="C1073" i="7"/>
  <c r="D1077" i="7"/>
  <c r="C1077" i="7"/>
  <c r="D1081" i="7"/>
  <c r="C1081" i="7"/>
  <c r="D1085" i="7"/>
  <c r="C1085" i="7"/>
  <c r="D1089" i="7"/>
  <c r="C1089" i="7"/>
  <c r="D1093" i="7"/>
  <c r="C1093" i="7"/>
  <c r="D1097" i="7"/>
  <c r="C1097" i="7"/>
  <c r="D1101" i="7"/>
  <c r="C1101" i="7"/>
  <c r="D1105" i="7"/>
  <c r="C1105" i="7"/>
  <c r="D1109" i="7"/>
  <c r="C1109" i="7"/>
  <c r="D1113" i="7"/>
  <c r="C1113" i="7"/>
  <c r="D1117" i="7"/>
  <c r="C1117" i="7"/>
  <c r="D1121" i="7"/>
  <c r="C1121" i="7"/>
  <c r="D1125" i="7"/>
  <c r="C1125" i="7"/>
  <c r="D1129" i="7"/>
  <c r="C1129" i="7"/>
  <c r="D1133" i="7"/>
  <c r="C1133" i="7"/>
  <c r="D1137" i="7"/>
  <c r="C1137" i="7"/>
  <c r="D1141" i="7"/>
  <c r="C1141" i="7"/>
  <c r="D1145" i="7"/>
  <c r="C1145" i="7"/>
  <c r="D1149" i="7"/>
  <c r="C1149" i="7"/>
  <c r="D1153" i="7"/>
  <c r="C1153" i="7"/>
  <c r="D1157" i="7"/>
  <c r="C1157" i="7"/>
  <c r="D1161" i="7"/>
  <c r="C1161" i="7"/>
  <c r="D1165" i="7"/>
  <c r="C1165" i="7"/>
  <c r="D1169" i="7"/>
  <c r="C1169" i="7"/>
  <c r="D1173" i="7"/>
  <c r="C1173" i="7"/>
  <c r="D1177" i="7"/>
  <c r="C1177" i="7"/>
  <c r="D1181" i="7"/>
  <c r="C1181" i="7"/>
  <c r="D1185" i="7"/>
  <c r="C1185" i="7"/>
  <c r="D1189" i="7"/>
  <c r="C1189" i="7"/>
  <c r="D1193" i="7"/>
  <c r="C1193" i="7"/>
  <c r="D1197" i="7"/>
  <c r="C1197" i="7"/>
  <c r="D1201" i="7"/>
  <c r="C1201" i="7"/>
  <c r="D1205" i="7"/>
  <c r="C1205" i="7"/>
  <c r="D1209" i="7"/>
  <c r="C1209" i="7"/>
  <c r="D1213" i="7"/>
  <c r="C1213" i="7"/>
  <c r="D1217" i="7"/>
  <c r="C1217" i="7"/>
  <c r="D1221" i="7"/>
  <c r="C1221" i="7"/>
  <c r="D1225" i="7"/>
  <c r="C1225" i="7"/>
  <c r="D1229" i="7"/>
  <c r="C1229" i="7"/>
  <c r="D1233" i="7"/>
  <c r="C1233" i="7"/>
  <c r="D1237" i="7"/>
  <c r="C1237" i="7"/>
  <c r="D1241" i="7"/>
  <c r="C1241" i="7"/>
  <c r="D1245" i="7"/>
  <c r="C1245" i="7"/>
  <c r="D1249" i="7"/>
  <c r="C1249" i="7"/>
  <c r="D1253" i="7"/>
  <c r="C1253" i="7"/>
  <c r="D1257" i="7"/>
  <c r="C1257" i="7"/>
  <c r="D1261" i="7"/>
  <c r="C1261" i="7"/>
  <c r="D1265" i="7"/>
  <c r="C1265" i="7"/>
  <c r="D1269" i="7"/>
  <c r="C1269" i="7"/>
  <c r="D1273" i="7"/>
  <c r="C1273" i="7"/>
  <c r="D1277" i="7"/>
  <c r="C1277" i="7"/>
  <c r="D1281" i="7"/>
  <c r="C1281" i="7"/>
  <c r="D1285" i="7"/>
  <c r="C1285" i="7"/>
  <c r="D1289" i="7"/>
  <c r="C1289" i="7"/>
  <c r="D1293" i="7"/>
  <c r="C1293" i="7"/>
  <c r="D1297" i="7"/>
  <c r="C1297" i="7"/>
  <c r="D1301" i="7"/>
  <c r="C1301" i="7"/>
  <c r="D1305" i="7"/>
  <c r="C1305" i="7"/>
  <c r="D1309" i="7"/>
  <c r="C1309" i="7"/>
  <c r="D1313" i="7"/>
  <c r="C1313" i="7"/>
  <c r="D1317" i="7"/>
  <c r="C1317" i="7"/>
  <c r="C1321" i="7" l="1"/>
  <c r="H11" i="12" s="1"/>
  <c r="C1324" i="7"/>
  <c r="C1323" i="7"/>
  <c r="C1322" i="7"/>
</calcChain>
</file>

<file path=xl/sharedStrings.xml><?xml version="1.0" encoding="utf-8"?>
<sst xmlns="http://schemas.openxmlformats.org/spreadsheetml/2006/main" count="46" uniqueCount="42">
  <si>
    <t>Nº COMP</t>
  </si>
  <si>
    <t>240140810R</t>
  </si>
  <si>
    <t>240141969R</t>
  </si>
  <si>
    <t>240142059R</t>
  </si>
  <si>
    <t>240142190R</t>
  </si>
  <si>
    <t>240142507R</t>
  </si>
  <si>
    <t>240143090R</t>
  </si>
  <si>
    <t>240143851R</t>
  </si>
  <si>
    <t>240143910R</t>
  </si>
  <si>
    <t>240144335R</t>
  </si>
  <si>
    <t>240144449R</t>
  </si>
  <si>
    <t>240145670R</t>
  </si>
  <si>
    <t>240145684R</t>
  </si>
  <si>
    <t>240145697R</t>
  </si>
  <si>
    <t>240145816R</t>
  </si>
  <si>
    <t>240146095R</t>
  </si>
  <si>
    <t>240146154R</t>
  </si>
  <si>
    <t>240146367R</t>
  </si>
  <si>
    <t>240146485R</t>
  </si>
  <si>
    <t>240146547R</t>
  </si>
  <si>
    <t>240146713R</t>
  </si>
  <si>
    <t>240146737R</t>
  </si>
  <si>
    <t>240146790R</t>
  </si>
  <si>
    <t>240147363R</t>
  </si>
  <si>
    <t>240147750R</t>
  </si>
  <si>
    <t>240147893R</t>
  </si>
  <si>
    <t>240147957R</t>
  </si>
  <si>
    <t>240148113R</t>
  </si>
  <si>
    <t>240148164R</t>
  </si>
  <si>
    <t>240148188R</t>
  </si>
  <si>
    <t>240148276R</t>
  </si>
  <si>
    <t>240148548R</t>
  </si>
  <si>
    <t>240148811R</t>
  </si>
  <si>
    <t>240149238R</t>
  </si>
  <si>
    <t>240149494R</t>
  </si>
  <si>
    <t>240149497R</t>
  </si>
  <si>
    <t>240149909R</t>
  </si>
  <si>
    <t>Cij</t>
  </si>
  <si>
    <t>Wij</t>
  </si>
  <si>
    <t>Uij</t>
  </si>
  <si>
    <t>Zij</t>
  </si>
  <si>
    <t>CIRCUIT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</si>
</sst>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8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3" fillId="2" borderId="2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4" fillId="3" borderId="2" xfId="1" applyFont="1" applyFill="1" applyBorder="1" applyAlignment="1">
      <alignment horizontal="center" vertical="center" textRotation="90"/>
    </xf>
    <xf numFmtId="0" fontId="3" fillId="0" borderId="3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3" xfId="2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2" fillId="0" borderId="0" xfId="2" applyFill="1" applyAlignment="1">
      <alignment horizontal="center"/>
    </xf>
    <xf numFmtId="0" fontId="0" fillId="0" borderId="1" xfId="0" applyBorder="1"/>
    <xf numFmtId="0" fontId="5" fillId="5" borderId="6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Fill="1" applyBorder="1" applyAlignment="1"/>
    <xf numFmtId="0" fontId="0" fillId="0" borderId="1" xfId="0" applyFill="1" applyBorder="1"/>
    <xf numFmtId="0" fontId="9" fillId="0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</cellXfs>
  <cellStyles count="4">
    <cellStyle name="AutoFormat-Optionen" xfId="3"/>
    <cellStyle name="Normal" xfId="0" builtinId="0"/>
    <cellStyle name="Normal 7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1320"/>
  <sheetViews>
    <sheetView workbookViewId="0">
      <selection activeCell="C1" sqref="C1"/>
    </sheetView>
  </sheetViews>
  <sheetFormatPr baseColWidth="10" defaultColWidth="5" defaultRowHeight="15" x14ac:dyDescent="0.25"/>
  <cols>
    <col min="1" max="1" width="8.5703125" style="1" customWidth="1"/>
    <col min="2" max="39" width="8.28515625" style="1" customWidth="1"/>
    <col min="40" max="16384" width="5" style="1"/>
  </cols>
  <sheetData>
    <row r="1" spans="1:39" ht="58.5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4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>
        <v>8201260400</v>
      </c>
      <c r="AM1" s="3">
        <v>8201260401</v>
      </c>
    </row>
    <row r="2" spans="1:39" s="7" customFormat="1" x14ac:dyDescent="0.25">
      <c r="A2" s="5">
        <v>1</v>
      </c>
      <c r="B2" s="6"/>
      <c r="C2" s="5">
        <v>1</v>
      </c>
      <c r="D2" s="6"/>
      <c r="E2" s="6"/>
      <c r="F2" s="5">
        <v>1</v>
      </c>
      <c r="G2" s="5">
        <v>1</v>
      </c>
      <c r="H2" s="5">
        <v>1</v>
      </c>
      <c r="I2" s="5">
        <v>1</v>
      </c>
      <c r="J2" s="5">
        <v>1</v>
      </c>
      <c r="K2" s="5">
        <v>1</v>
      </c>
      <c r="L2" s="5">
        <v>1</v>
      </c>
      <c r="M2" s="5">
        <v>1</v>
      </c>
      <c r="N2" s="6"/>
      <c r="O2" s="5">
        <v>1</v>
      </c>
      <c r="P2" s="5">
        <v>1</v>
      </c>
      <c r="Q2" s="5">
        <v>1</v>
      </c>
      <c r="R2" s="5">
        <v>1</v>
      </c>
      <c r="S2" s="5">
        <v>1</v>
      </c>
      <c r="T2" s="5">
        <v>1</v>
      </c>
      <c r="U2" s="6"/>
      <c r="V2" s="5">
        <v>1</v>
      </c>
      <c r="W2" s="5">
        <v>1</v>
      </c>
      <c r="X2" s="5">
        <v>1</v>
      </c>
      <c r="Y2" s="6"/>
      <c r="Z2" s="5">
        <v>1</v>
      </c>
      <c r="AA2" s="5">
        <v>1</v>
      </c>
      <c r="AB2" s="5">
        <v>1</v>
      </c>
      <c r="AC2" s="5">
        <v>1</v>
      </c>
      <c r="AD2" s="5">
        <v>1</v>
      </c>
      <c r="AE2" s="5">
        <v>1</v>
      </c>
      <c r="AF2" s="5">
        <v>1</v>
      </c>
      <c r="AG2" s="6"/>
      <c r="AH2" s="5">
        <v>1</v>
      </c>
      <c r="AI2" s="5">
        <v>1</v>
      </c>
      <c r="AJ2" s="5">
        <v>1</v>
      </c>
      <c r="AK2" s="5">
        <v>1</v>
      </c>
      <c r="AL2" s="6"/>
      <c r="AM2" s="5">
        <v>1</v>
      </c>
    </row>
    <row r="3" spans="1:39" s="7" customFormat="1" x14ac:dyDescent="0.25">
      <c r="A3" s="5">
        <v>2</v>
      </c>
      <c r="B3" s="6"/>
      <c r="C3" s="5">
        <v>1</v>
      </c>
      <c r="D3" s="6"/>
      <c r="E3" s="6"/>
      <c r="F3" s="5">
        <v>1</v>
      </c>
      <c r="G3" s="5">
        <v>1</v>
      </c>
      <c r="H3" s="5">
        <v>1</v>
      </c>
      <c r="I3" s="5">
        <v>1</v>
      </c>
      <c r="J3" s="5">
        <v>1</v>
      </c>
      <c r="K3" s="5">
        <v>1</v>
      </c>
      <c r="L3" s="5">
        <v>1</v>
      </c>
      <c r="M3" s="5">
        <v>1</v>
      </c>
      <c r="N3" s="6"/>
      <c r="O3" s="5">
        <v>1</v>
      </c>
      <c r="P3" s="5">
        <v>1</v>
      </c>
      <c r="Q3" s="5">
        <v>1</v>
      </c>
      <c r="R3" s="5">
        <v>1</v>
      </c>
      <c r="S3" s="5">
        <v>1</v>
      </c>
      <c r="T3" s="5">
        <v>1</v>
      </c>
      <c r="U3" s="6"/>
      <c r="V3" s="5">
        <v>1</v>
      </c>
      <c r="W3" s="5">
        <v>1</v>
      </c>
      <c r="X3" s="5">
        <v>1</v>
      </c>
      <c r="Y3" s="6"/>
      <c r="Z3" s="5">
        <v>1</v>
      </c>
      <c r="AA3" s="5">
        <v>1</v>
      </c>
      <c r="AB3" s="5">
        <v>1</v>
      </c>
      <c r="AC3" s="5">
        <v>1</v>
      </c>
      <c r="AD3" s="5">
        <v>1</v>
      </c>
      <c r="AE3" s="5">
        <v>1</v>
      </c>
      <c r="AF3" s="5">
        <v>1</v>
      </c>
      <c r="AG3" s="6"/>
      <c r="AH3" s="5">
        <v>1</v>
      </c>
      <c r="AI3" s="5">
        <v>1</v>
      </c>
      <c r="AJ3" s="5">
        <v>1</v>
      </c>
      <c r="AK3" s="5">
        <v>1</v>
      </c>
      <c r="AL3" s="6"/>
      <c r="AM3" s="5">
        <v>1</v>
      </c>
    </row>
    <row r="4" spans="1:39" s="7" customFormat="1" x14ac:dyDescent="0.25">
      <c r="A4" s="5">
        <v>3</v>
      </c>
      <c r="B4" s="6"/>
      <c r="C4" s="5">
        <v>1</v>
      </c>
      <c r="D4" s="6"/>
      <c r="E4" s="6"/>
      <c r="F4" s="5">
        <v>1</v>
      </c>
      <c r="G4" s="5">
        <v>1</v>
      </c>
      <c r="H4" s="5">
        <v>1</v>
      </c>
      <c r="I4" s="5">
        <v>1</v>
      </c>
      <c r="J4" s="5">
        <v>1</v>
      </c>
      <c r="K4" s="5">
        <v>1</v>
      </c>
      <c r="L4" s="5">
        <v>1</v>
      </c>
      <c r="M4" s="5">
        <v>1</v>
      </c>
      <c r="N4" s="6"/>
      <c r="O4" s="5">
        <v>1</v>
      </c>
      <c r="P4" s="5">
        <v>1</v>
      </c>
      <c r="Q4" s="5">
        <v>1</v>
      </c>
      <c r="R4" s="5">
        <v>1</v>
      </c>
      <c r="S4" s="5">
        <v>1</v>
      </c>
      <c r="T4" s="5">
        <v>1</v>
      </c>
      <c r="U4" s="6"/>
      <c r="V4" s="5">
        <v>1</v>
      </c>
      <c r="W4" s="5">
        <v>1</v>
      </c>
      <c r="X4" s="5">
        <v>1</v>
      </c>
      <c r="Y4" s="6"/>
      <c r="Z4" s="5">
        <v>1</v>
      </c>
      <c r="AA4" s="5">
        <v>1</v>
      </c>
      <c r="AB4" s="5">
        <v>1</v>
      </c>
      <c r="AC4" s="5">
        <v>1</v>
      </c>
      <c r="AD4" s="5">
        <v>1</v>
      </c>
      <c r="AE4" s="5">
        <v>1</v>
      </c>
      <c r="AF4" s="5">
        <v>1</v>
      </c>
      <c r="AG4" s="6"/>
      <c r="AH4" s="5">
        <v>1</v>
      </c>
      <c r="AI4" s="5">
        <v>1</v>
      </c>
      <c r="AJ4" s="5">
        <v>1</v>
      </c>
      <c r="AK4" s="5">
        <v>1</v>
      </c>
      <c r="AL4" s="6"/>
      <c r="AM4" s="5">
        <v>1</v>
      </c>
    </row>
    <row r="5" spans="1:39" s="7" customFormat="1" x14ac:dyDescent="0.25">
      <c r="A5" s="5">
        <v>4</v>
      </c>
      <c r="B5" s="6"/>
      <c r="C5" s="5">
        <v>1</v>
      </c>
      <c r="D5" s="6"/>
      <c r="E5" s="6"/>
      <c r="F5" s="5">
        <v>1</v>
      </c>
      <c r="G5" s="5">
        <v>1</v>
      </c>
      <c r="H5" s="5">
        <v>1</v>
      </c>
      <c r="I5" s="5">
        <v>1</v>
      </c>
      <c r="J5" s="5">
        <v>1</v>
      </c>
      <c r="K5" s="5">
        <v>1</v>
      </c>
      <c r="L5" s="5">
        <v>1</v>
      </c>
      <c r="M5" s="5">
        <v>1</v>
      </c>
      <c r="N5" s="6"/>
      <c r="O5" s="5">
        <v>1</v>
      </c>
      <c r="P5" s="5">
        <v>1</v>
      </c>
      <c r="Q5" s="5">
        <v>1</v>
      </c>
      <c r="R5" s="5">
        <v>1</v>
      </c>
      <c r="S5" s="5">
        <v>1</v>
      </c>
      <c r="T5" s="5">
        <v>1</v>
      </c>
      <c r="U5" s="6"/>
      <c r="V5" s="5">
        <v>1</v>
      </c>
      <c r="W5" s="5">
        <v>1</v>
      </c>
      <c r="X5" s="5">
        <v>1</v>
      </c>
      <c r="Y5" s="6"/>
      <c r="Z5" s="5">
        <v>1</v>
      </c>
      <c r="AA5" s="5">
        <v>1</v>
      </c>
      <c r="AB5" s="5">
        <v>1</v>
      </c>
      <c r="AC5" s="5">
        <v>1</v>
      </c>
      <c r="AD5" s="5">
        <v>1</v>
      </c>
      <c r="AE5" s="5">
        <v>1</v>
      </c>
      <c r="AF5" s="5">
        <v>1</v>
      </c>
      <c r="AG5" s="6"/>
      <c r="AH5" s="5">
        <v>1</v>
      </c>
      <c r="AI5" s="5">
        <v>1</v>
      </c>
      <c r="AJ5" s="5">
        <v>1</v>
      </c>
      <c r="AK5" s="5">
        <v>1</v>
      </c>
      <c r="AL5" s="6"/>
      <c r="AM5" s="5">
        <v>1</v>
      </c>
    </row>
    <row r="6" spans="1:39" s="7" customFormat="1" x14ac:dyDescent="0.25">
      <c r="A6" s="5">
        <v>5</v>
      </c>
      <c r="B6" s="6"/>
      <c r="C6" s="5">
        <v>1</v>
      </c>
      <c r="D6" s="6"/>
      <c r="E6" s="6"/>
      <c r="F6" s="5">
        <v>1</v>
      </c>
      <c r="G6" s="5">
        <v>1</v>
      </c>
      <c r="H6" s="5">
        <v>1</v>
      </c>
      <c r="I6" s="5">
        <v>1</v>
      </c>
      <c r="J6" s="5">
        <v>1</v>
      </c>
      <c r="K6" s="5">
        <v>1</v>
      </c>
      <c r="L6" s="5">
        <v>1</v>
      </c>
      <c r="M6" s="5">
        <v>1</v>
      </c>
      <c r="N6" s="6"/>
      <c r="O6" s="5">
        <v>1</v>
      </c>
      <c r="P6" s="5">
        <v>1</v>
      </c>
      <c r="Q6" s="5">
        <v>1</v>
      </c>
      <c r="R6" s="5">
        <v>1</v>
      </c>
      <c r="S6" s="5">
        <v>1</v>
      </c>
      <c r="T6" s="5">
        <v>1</v>
      </c>
      <c r="U6" s="6"/>
      <c r="V6" s="5">
        <v>1</v>
      </c>
      <c r="W6" s="5">
        <v>1</v>
      </c>
      <c r="X6" s="5">
        <v>1</v>
      </c>
      <c r="Y6" s="6"/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6"/>
      <c r="AH6" s="5">
        <v>1</v>
      </c>
      <c r="AI6" s="5">
        <v>1</v>
      </c>
      <c r="AJ6" s="5">
        <v>1</v>
      </c>
      <c r="AK6" s="5">
        <v>1</v>
      </c>
      <c r="AL6" s="6"/>
      <c r="AM6" s="5">
        <v>1</v>
      </c>
    </row>
    <row r="7" spans="1:39" s="7" customFormat="1" x14ac:dyDescent="0.25">
      <c r="A7" s="5">
        <v>6</v>
      </c>
      <c r="B7" s="6"/>
      <c r="C7" s="5">
        <v>1</v>
      </c>
      <c r="D7" s="6"/>
      <c r="E7" s="6"/>
      <c r="F7" s="5">
        <v>1</v>
      </c>
      <c r="G7" s="5">
        <v>1</v>
      </c>
      <c r="H7" s="5">
        <v>1</v>
      </c>
      <c r="I7" s="5">
        <v>1</v>
      </c>
      <c r="J7" s="5">
        <v>1</v>
      </c>
      <c r="K7" s="5">
        <v>1</v>
      </c>
      <c r="L7" s="5">
        <v>1</v>
      </c>
      <c r="M7" s="5">
        <v>1</v>
      </c>
      <c r="N7" s="6"/>
      <c r="O7" s="5">
        <v>1</v>
      </c>
      <c r="P7" s="5">
        <v>1</v>
      </c>
      <c r="Q7" s="5">
        <v>1</v>
      </c>
      <c r="R7" s="5">
        <v>1</v>
      </c>
      <c r="S7" s="5">
        <v>1</v>
      </c>
      <c r="T7" s="5">
        <v>1</v>
      </c>
      <c r="U7" s="6"/>
      <c r="V7" s="5">
        <v>1</v>
      </c>
      <c r="W7" s="5">
        <v>1</v>
      </c>
      <c r="X7" s="5">
        <v>1</v>
      </c>
      <c r="Y7" s="6"/>
      <c r="Z7" s="5">
        <v>1</v>
      </c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>
        <v>1</v>
      </c>
      <c r="AG7" s="6"/>
      <c r="AH7" s="5">
        <v>1</v>
      </c>
      <c r="AI7" s="5">
        <v>1</v>
      </c>
      <c r="AJ7" s="5">
        <v>1</v>
      </c>
      <c r="AK7" s="5">
        <v>1</v>
      </c>
      <c r="AL7" s="6"/>
      <c r="AM7" s="5">
        <v>1</v>
      </c>
    </row>
    <row r="8" spans="1:39" s="7" customFormat="1" x14ac:dyDescent="0.25">
      <c r="A8" s="5">
        <v>7</v>
      </c>
      <c r="B8" s="6"/>
      <c r="C8" s="5">
        <v>1</v>
      </c>
      <c r="D8" s="6"/>
      <c r="E8" s="6"/>
      <c r="F8" s="5">
        <v>1</v>
      </c>
      <c r="G8" s="5">
        <v>1</v>
      </c>
      <c r="H8" s="5">
        <v>1</v>
      </c>
      <c r="I8" s="5">
        <v>1</v>
      </c>
      <c r="J8" s="5">
        <v>1</v>
      </c>
      <c r="K8" s="5">
        <v>1</v>
      </c>
      <c r="L8" s="5">
        <v>1</v>
      </c>
      <c r="M8" s="5">
        <v>1</v>
      </c>
      <c r="N8" s="6"/>
      <c r="O8" s="5">
        <v>1</v>
      </c>
      <c r="P8" s="5">
        <v>1</v>
      </c>
      <c r="Q8" s="5">
        <v>1</v>
      </c>
      <c r="R8" s="5">
        <v>1</v>
      </c>
      <c r="S8" s="5">
        <v>1</v>
      </c>
      <c r="T8" s="5">
        <v>1</v>
      </c>
      <c r="U8" s="6"/>
      <c r="V8" s="5">
        <v>1</v>
      </c>
      <c r="W8" s="5">
        <v>1</v>
      </c>
      <c r="X8" s="5">
        <v>1</v>
      </c>
      <c r="Y8" s="6"/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6"/>
      <c r="AH8" s="5">
        <v>1</v>
      </c>
      <c r="AI8" s="5">
        <v>1</v>
      </c>
      <c r="AJ8" s="5">
        <v>1</v>
      </c>
      <c r="AK8" s="5">
        <v>1</v>
      </c>
      <c r="AL8" s="6"/>
      <c r="AM8" s="5">
        <v>1</v>
      </c>
    </row>
    <row r="9" spans="1:39" s="7" customFormat="1" x14ac:dyDescent="0.25">
      <c r="A9" s="5">
        <v>8</v>
      </c>
      <c r="B9" s="6"/>
      <c r="C9" s="5">
        <v>1</v>
      </c>
      <c r="D9" s="6"/>
      <c r="E9" s="6"/>
      <c r="F9" s="5">
        <v>1</v>
      </c>
      <c r="G9" s="5">
        <v>1</v>
      </c>
      <c r="H9" s="5">
        <v>1</v>
      </c>
      <c r="I9" s="5">
        <v>1</v>
      </c>
      <c r="J9" s="5">
        <v>1</v>
      </c>
      <c r="K9" s="5">
        <v>1</v>
      </c>
      <c r="L9" s="5">
        <v>1</v>
      </c>
      <c r="M9" s="5">
        <v>1</v>
      </c>
      <c r="N9" s="6"/>
      <c r="O9" s="5">
        <v>1</v>
      </c>
      <c r="P9" s="5">
        <v>1</v>
      </c>
      <c r="Q9" s="5">
        <v>1</v>
      </c>
      <c r="R9" s="5">
        <v>1</v>
      </c>
      <c r="S9" s="5">
        <v>1</v>
      </c>
      <c r="T9" s="5">
        <v>1</v>
      </c>
      <c r="U9" s="6"/>
      <c r="V9" s="5">
        <v>1</v>
      </c>
      <c r="W9" s="5">
        <v>1</v>
      </c>
      <c r="X9" s="5">
        <v>1</v>
      </c>
      <c r="Y9" s="6"/>
      <c r="Z9" s="5">
        <v>1</v>
      </c>
      <c r="AA9" s="5">
        <v>1</v>
      </c>
      <c r="AB9" s="5">
        <v>1</v>
      </c>
      <c r="AC9" s="5">
        <v>1</v>
      </c>
      <c r="AD9" s="5">
        <v>1</v>
      </c>
      <c r="AE9" s="5">
        <v>1</v>
      </c>
      <c r="AF9" s="5">
        <v>1</v>
      </c>
      <c r="AG9" s="6"/>
      <c r="AH9" s="5">
        <v>1</v>
      </c>
      <c r="AI9" s="5">
        <v>1</v>
      </c>
      <c r="AJ9" s="5">
        <v>1</v>
      </c>
      <c r="AK9" s="5">
        <v>1</v>
      </c>
      <c r="AL9" s="6"/>
      <c r="AM9" s="5">
        <v>1</v>
      </c>
    </row>
    <row r="10" spans="1:39" s="7" customFormat="1" x14ac:dyDescent="0.25">
      <c r="A10" s="5">
        <v>9</v>
      </c>
      <c r="B10" s="6"/>
      <c r="C10" s="5">
        <v>1</v>
      </c>
      <c r="D10" s="6"/>
      <c r="E10" s="6"/>
      <c r="F10" s="5">
        <v>1</v>
      </c>
      <c r="G10" s="5">
        <v>1</v>
      </c>
      <c r="H10" s="5">
        <v>1</v>
      </c>
      <c r="I10" s="5">
        <v>1</v>
      </c>
      <c r="J10" s="5">
        <v>1</v>
      </c>
      <c r="K10" s="5">
        <v>1</v>
      </c>
      <c r="L10" s="5">
        <v>1</v>
      </c>
      <c r="M10" s="5">
        <v>1</v>
      </c>
      <c r="N10" s="6"/>
      <c r="O10" s="5">
        <v>1</v>
      </c>
      <c r="P10" s="5">
        <v>1</v>
      </c>
      <c r="Q10" s="5">
        <v>1</v>
      </c>
      <c r="R10" s="5">
        <v>1</v>
      </c>
      <c r="S10" s="5">
        <v>1</v>
      </c>
      <c r="T10" s="5">
        <v>1</v>
      </c>
      <c r="U10" s="6"/>
      <c r="V10" s="5">
        <v>1</v>
      </c>
      <c r="W10" s="5">
        <v>1</v>
      </c>
      <c r="X10" s="5">
        <v>1</v>
      </c>
      <c r="Y10" s="6"/>
      <c r="Z10" s="5">
        <v>1</v>
      </c>
      <c r="AA10" s="5">
        <v>1</v>
      </c>
      <c r="AB10" s="5">
        <v>1</v>
      </c>
      <c r="AC10" s="5">
        <v>1</v>
      </c>
      <c r="AD10" s="5">
        <v>1</v>
      </c>
      <c r="AE10" s="5">
        <v>1</v>
      </c>
      <c r="AF10" s="5">
        <v>1</v>
      </c>
      <c r="AG10" s="6"/>
      <c r="AH10" s="5">
        <v>1</v>
      </c>
      <c r="AI10" s="5">
        <v>1</v>
      </c>
      <c r="AJ10" s="5">
        <v>1</v>
      </c>
      <c r="AK10" s="5">
        <v>1</v>
      </c>
      <c r="AL10" s="6"/>
      <c r="AM10" s="5">
        <v>1</v>
      </c>
    </row>
    <row r="11" spans="1:39" s="7" customFormat="1" x14ac:dyDescent="0.25">
      <c r="A11" s="5">
        <v>10</v>
      </c>
      <c r="B11" s="6"/>
      <c r="C11" s="5">
        <v>1</v>
      </c>
      <c r="D11" s="6"/>
      <c r="E11" s="6"/>
      <c r="F11" s="5">
        <v>1</v>
      </c>
      <c r="G11" s="5">
        <v>1</v>
      </c>
      <c r="H11" s="5">
        <v>1</v>
      </c>
      <c r="I11" s="5">
        <v>1</v>
      </c>
      <c r="J11" s="5">
        <v>1</v>
      </c>
      <c r="K11" s="5">
        <v>1</v>
      </c>
      <c r="L11" s="5">
        <v>1</v>
      </c>
      <c r="M11" s="5">
        <v>1</v>
      </c>
      <c r="N11" s="6"/>
      <c r="O11" s="5">
        <v>1</v>
      </c>
      <c r="P11" s="5">
        <v>1</v>
      </c>
      <c r="Q11" s="5">
        <v>1</v>
      </c>
      <c r="R11" s="5">
        <v>1</v>
      </c>
      <c r="S11" s="5">
        <v>1</v>
      </c>
      <c r="T11" s="5">
        <v>1</v>
      </c>
      <c r="U11" s="6"/>
      <c r="V11" s="5">
        <v>1</v>
      </c>
      <c r="W11" s="5">
        <v>1</v>
      </c>
      <c r="X11" s="5">
        <v>1</v>
      </c>
      <c r="Y11" s="6"/>
      <c r="Z11" s="5">
        <v>1</v>
      </c>
      <c r="AA11" s="5">
        <v>1</v>
      </c>
      <c r="AB11" s="5">
        <v>1</v>
      </c>
      <c r="AC11" s="5">
        <v>1</v>
      </c>
      <c r="AD11" s="5">
        <v>1</v>
      </c>
      <c r="AE11" s="5">
        <v>1</v>
      </c>
      <c r="AF11" s="5">
        <v>1</v>
      </c>
      <c r="AG11" s="6"/>
      <c r="AH11" s="5">
        <v>1</v>
      </c>
      <c r="AI11" s="5">
        <v>1</v>
      </c>
      <c r="AJ11" s="5">
        <v>1</v>
      </c>
      <c r="AK11" s="5">
        <v>1</v>
      </c>
      <c r="AL11" s="6"/>
      <c r="AM11" s="5">
        <v>1</v>
      </c>
    </row>
    <row r="12" spans="1:39" s="7" customFormat="1" x14ac:dyDescent="0.25">
      <c r="A12" s="5">
        <v>11</v>
      </c>
      <c r="B12" s="5">
        <v>1</v>
      </c>
      <c r="C12" s="5">
        <v>1</v>
      </c>
      <c r="D12" s="5">
        <v>1</v>
      </c>
      <c r="E12" s="5">
        <v>1</v>
      </c>
      <c r="F12" s="5">
        <v>1</v>
      </c>
      <c r="G12" s="5">
        <v>1</v>
      </c>
      <c r="H12" s="5">
        <v>1</v>
      </c>
      <c r="I12" s="5">
        <v>1</v>
      </c>
      <c r="J12" s="5">
        <v>1</v>
      </c>
      <c r="K12" s="5">
        <v>1</v>
      </c>
      <c r="L12" s="5">
        <v>1</v>
      </c>
      <c r="M12" s="5">
        <v>1</v>
      </c>
      <c r="N12" s="5">
        <v>1</v>
      </c>
      <c r="O12" s="5">
        <v>1</v>
      </c>
      <c r="P12" s="5">
        <v>1</v>
      </c>
      <c r="Q12" s="5">
        <v>1</v>
      </c>
      <c r="R12" s="5">
        <v>1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  <c r="Y12" s="5">
        <v>1</v>
      </c>
      <c r="Z12" s="5">
        <v>1</v>
      </c>
      <c r="AA12" s="5">
        <v>1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1</v>
      </c>
      <c r="AJ12" s="5">
        <v>1</v>
      </c>
      <c r="AK12" s="5">
        <v>1</v>
      </c>
      <c r="AL12" s="5">
        <v>1</v>
      </c>
      <c r="AM12" s="5">
        <v>1</v>
      </c>
    </row>
    <row r="13" spans="1:39" s="7" customFormat="1" x14ac:dyDescent="0.25">
      <c r="A13" s="5">
        <v>12</v>
      </c>
      <c r="B13" s="5">
        <v>1</v>
      </c>
      <c r="C13" s="5">
        <v>1</v>
      </c>
      <c r="D13" s="6"/>
      <c r="E13" s="5">
        <v>1</v>
      </c>
      <c r="F13" s="5">
        <v>1</v>
      </c>
      <c r="G13" s="5">
        <v>1</v>
      </c>
      <c r="H13" s="5">
        <v>1</v>
      </c>
      <c r="I13" s="5">
        <v>1</v>
      </c>
      <c r="J13" s="5">
        <v>1</v>
      </c>
      <c r="K13" s="5">
        <v>1</v>
      </c>
      <c r="L13" s="5">
        <v>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  <c r="R13" s="5">
        <v>1</v>
      </c>
      <c r="S13" s="5">
        <v>1</v>
      </c>
      <c r="T13" s="5">
        <v>1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1</v>
      </c>
      <c r="AA13" s="5">
        <v>1</v>
      </c>
      <c r="AB13" s="5">
        <v>1</v>
      </c>
      <c r="AC13" s="5">
        <v>1</v>
      </c>
      <c r="AD13" s="6"/>
      <c r="AE13" s="5">
        <v>1</v>
      </c>
      <c r="AF13" s="5">
        <v>1</v>
      </c>
      <c r="AG13" s="5">
        <v>1</v>
      </c>
      <c r="AH13" s="5">
        <v>1</v>
      </c>
      <c r="AI13" s="6"/>
      <c r="AJ13" s="5">
        <v>1</v>
      </c>
      <c r="AK13" s="5">
        <v>1</v>
      </c>
      <c r="AL13" s="6"/>
      <c r="AM13" s="5">
        <v>1</v>
      </c>
    </row>
    <row r="14" spans="1:39" s="7" customFormat="1" x14ac:dyDescent="0.25">
      <c r="A14" s="5">
        <v>13</v>
      </c>
      <c r="B14" s="5">
        <v>1</v>
      </c>
      <c r="C14" s="5">
        <v>1</v>
      </c>
      <c r="D14" s="6"/>
      <c r="E14" s="5">
        <v>1</v>
      </c>
      <c r="F14" s="5">
        <v>1</v>
      </c>
      <c r="G14" s="5">
        <v>1</v>
      </c>
      <c r="H14" s="5">
        <v>1</v>
      </c>
      <c r="I14" s="5">
        <v>1</v>
      </c>
      <c r="J14" s="5">
        <v>1</v>
      </c>
      <c r="K14" s="5">
        <v>1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  <c r="R14" s="5">
        <v>1</v>
      </c>
      <c r="S14" s="5">
        <v>1</v>
      </c>
      <c r="T14" s="5">
        <v>1</v>
      </c>
      <c r="U14" s="5">
        <v>1</v>
      </c>
      <c r="V14" s="5">
        <v>1</v>
      </c>
      <c r="W14" s="5">
        <v>1</v>
      </c>
      <c r="X14" s="5">
        <v>1</v>
      </c>
      <c r="Y14" s="5">
        <v>1</v>
      </c>
      <c r="Z14" s="5">
        <v>1</v>
      </c>
      <c r="AA14" s="5">
        <v>1</v>
      </c>
      <c r="AB14" s="5">
        <v>1</v>
      </c>
      <c r="AC14" s="5">
        <v>1</v>
      </c>
      <c r="AD14" s="6"/>
      <c r="AE14" s="5">
        <v>1</v>
      </c>
      <c r="AF14" s="5">
        <v>1</v>
      </c>
      <c r="AG14" s="5">
        <v>1</v>
      </c>
      <c r="AH14" s="5">
        <v>1</v>
      </c>
      <c r="AI14" s="6"/>
      <c r="AJ14" s="5">
        <v>1</v>
      </c>
      <c r="AK14" s="5">
        <v>1</v>
      </c>
      <c r="AL14" s="6"/>
      <c r="AM14" s="5">
        <v>1</v>
      </c>
    </row>
    <row r="15" spans="1:39" s="7" customFormat="1" x14ac:dyDescent="0.25">
      <c r="A15" s="5">
        <v>14</v>
      </c>
      <c r="B15" s="5">
        <v>1</v>
      </c>
      <c r="C15" s="5">
        <v>1</v>
      </c>
      <c r="D15" s="6"/>
      <c r="E15" s="5">
        <v>1</v>
      </c>
      <c r="F15" s="5">
        <v>1</v>
      </c>
      <c r="G15" s="5">
        <v>1</v>
      </c>
      <c r="H15" s="5">
        <v>1</v>
      </c>
      <c r="I15" s="5">
        <v>1</v>
      </c>
      <c r="J15" s="5">
        <v>1</v>
      </c>
      <c r="K15" s="5">
        <v>1</v>
      </c>
      <c r="L15" s="5">
        <v>1</v>
      </c>
      <c r="M15" s="5">
        <v>1</v>
      </c>
      <c r="N15" s="5">
        <v>1</v>
      </c>
      <c r="O15" s="5">
        <v>1</v>
      </c>
      <c r="P15" s="5">
        <v>1</v>
      </c>
      <c r="Q15" s="5">
        <v>1</v>
      </c>
      <c r="R15" s="5">
        <v>1</v>
      </c>
      <c r="S15" s="5">
        <v>1</v>
      </c>
      <c r="T15" s="5">
        <v>1</v>
      </c>
      <c r="U15" s="5">
        <v>1</v>
      </c>
      <c r="V15" s="5">
        <v>1</v>
      </c>
      <c r="W15" s="5">
        <v>1</v>
      </c>
      <c r="X15" s="5">
        <v>1</v>
      </c>
      <c r="Y15" s="5">
        <v>1</v>
      </c>
      <c r="Z15" s="5">
        <v>1</v>
      </c>
      <c r="AA15" s="5">
        <v>1</v>
      </c>
      <c r="AB15" s="5">
        <v>1</v>
      </c>
      <c r="AC15" s="5">
        <v>1</v>
      </c>
      <c r="AD15" s="6"/>
      <c r="AE15" s="5">
        <v>1</v>
      </c>
      <c r="AF15" s="5">
        <v>1</v>
      </c>
      <c r="AG15" s="5">
        <v>1</v>
      </c>
      <c r="AH15" s="5">
        <v>1</v>
      </c>
      <c r="AI15" s="6"/>
      <c r="AJ15" s="5">
        <v>1</v>
      </c>
      <c r="AK15" s="5">
        <v>1</v>
      </c>
      <c r="AL15" s="6"/>
      <c r="AM15" s="5">
        <v>1</v>
      </c>
    </row>
    <row r="16" spans="1:39" s="7" customFormat="1" x14ac:dyDescent="0.25">
      <c r="A16" s="5">
        <v>15</v>
      </c>
      <c r="B16" s="5">
        <v>1</v>
      </c>
      <c r="C16" s="5">
        <v>1</v>
      </c>
      <c r="D16" s="6"/>
      <c r="E16" s="5">
        <v>1</v>
      </c>
      <c r="F16" s="5">
        <v>1</v>
      </c>
      <c r="G16" s="5">
        <v>1</v>
      </c>
      <c r="H16" s="5">
        <v>1</v>
      </c>
      <c r="I16" s="5">
        <v>1</v>
      </c>
      <c r="J16" s="5">
        <v>1</v>
      </c>
      <c r="K16" s="5">
        <v>1</v>
      </c>
      <c r="L16" s="5">
        <v>1</v>
      </c>
      <c r="M16" s="5">
        <v>1</v>
      </c>
      <c r="N16" s="5">
        <v>1</v>
      </c>
      <c r="O16" s="5">
        <v>1</v>
      </c>
      <c r="P16" s="5">
        <v>1</v>
      </c>
      <c r="Q16" s="5">
        <v>1</v>
      </c>
      <c r="R16" s="5">
        <v>1</v>
      </c>
      <c r="S16" s="5">
        <v>1</v>
      </c>
      <c r="T16" s="5">
        <v>1</v>
      </c>
      <c r="U16" s="5">
        <v>1</v>
      </c>
      <c r="V16" s="5">
        <v>1</v>
      </c>
      <c r="W16" s="5">
        <v>1</v>
      </c>
      <c r="X16" s="5">
        <v>1</v>
      </c>
      <c r="Y16" s="5">
        <v>1</v>
      </c>
      <c r="Z16" s="5">
        <v>1</v>
      </c>
      <c r="AA16" s="5">
        <v>1</v>
      </c>
      <c r="AB16" s="5">
        <v>1</v>
      </c>
      <c r="AC16" s="5">
        <v>1</v>
      </c>
      <c r="AD16" s="6"/>
      <c r="AE16" s="5">
        <v>1</v>
      </c>
      <c r="AF16" s="5">
        <v>1</v>
      </c>
      <c r="AG16" s="5">
        <v>1</v>
      </c>
      <c r="AH16" s="5">
        <v>1</v>
      </c>
      <c r="AI16" s="6"/>
      <c r="AJ16" s="5">
        <v>1</v>
      </c>
      <c r="AK16" s="5">
        <v>1</v>
      </c>
      <c r="AL16" s="6"/>
      <c r="AM16" s="5">
        <v>1</v>
      </c>
    </row>
    <row r="17" spans="1:39" s="7" customFormat="1" x14ac:dyDescent="0.25">
      <c r="A17" s="5">
        <v>16</v>
      </c>
      <c r="B17" s="6"/>
      <c r="C17" s="6"/>
      <c r="D17" s="5">
        <v>1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5">
        <v>1</v>
      </c>
      <c r="AE17" s="6"/>
      <c r="AF17" s="6"/>
      <c r="AG17" s="6"/>
      <c r="AH17" s="6"/>
      <c r="AI17" s="5">
        <v>1</v>
      </c>
      <c r="AJ17" s="6"/>
      <c r="AK17" s="6"/>
      <c r="AL17" s="5">
        <v>1</v>
      </c>
      <c r="AM17" s="6"/>
    </row>
    <row r="18" spans="1:39" s="7" customFormat="1" x14ac:dyDescent="0.25">
      <c r="A18" s="5">
        <v>16</v>
      </c>
      <c r="B18" s="5">
        <v>1</v>
      </c>
      <c r="C18" s="5">
        <v>1</v>
      </c>
      <c r="D18" s="6"/>
      <c r="E18" s="6"/>
      <c r="F18" s="5">
        <v>1</v>
      </c>
      <c r="G18" s="6"/>
      <c r="H18" s="6"/>
      <c r="I18" s="6"/>
      <c r="J18" s="6"/>
      <c r="K18" s="5">
        <v>1</v>
      </c>
      <c r="L18" s="6"/>
      <c r="M18" s="6"/>
      <c r="N18" s="6"/>
      <c r="O18" s="6"/>
      <c r="P18" s="6"/>
      <c r="Q18" s="6"/>
      <c r="R18" s="6"/>
      <c r="S18" s="6"/>
      <c r="T18" s="5">
        <v>1</v>
      </c>
      <c r="U18" s="5">
        <v>1</v>
      </c>
      <c r="V18" s="6"/>
      <c r="W18" s="6"/>
      <c r="X18" s="6"/>
      <c r="Y18" s="5">
        <v>1</v>
      </c>
      <c r="Z18" s="6"/>
      <c r="AA18" s="5">
        <v>1</v>
      </c>
      <c r="AB18" s="6"/>
      <c r="AC18" s="6"/>
      <c r="AD18" s="6"/>
      <c r="AE18" s="6"/>
      <c r="AF18" s="6"/>
      <c r="AG18" s="6"/>
      <c r="AH18" s="6"/>
      <c r="AI18" s="6"/>
      <c r="AJ18" s="6"/>
      <c r="AK18" s="5">
        <v>1</v>
      </c>
      <c r="AL18" s="6"/>
      <c r="AM18" s="5">
        <v>1</v>
      </c>
    </row>
    <row r="19" spans="1:39" s="7" customFormat="1" x14ac:dyDescent="0.25">
      <c r="A19" s="5">
        <v>16</v>
      </c>
      <c r="B19" s="6"/>
      <c r="C19" s="6"/>
      <c r="D19" s="6"/>
      <c r="E19" s="5">
        <v>1</v>
      </c>
      <c r="F19" s="6"/>
      <c r="G19" s="5"/>
      <c r="H19" s="5">
        <v>1</v>
      </c>
      <c r="I19" s="6"/>
      <c r="J19" s="6"/>
      <c r="K19" s="6"/>
      <c r="L19" s="5"/>
      <c r="M19" s="5"/>
      <c r="N19" s="5">
        <v>1</v>
      </c>
      <c r="O19" s="6"/>
      <c r="P19" s="6"/>
      <c r="Q19" s="5"/>
      <c r="R19" s="5">
        <v>1</v>
      </c>
      <c r="S19" s="5">
        <v>1</v>
      </c>
      <c r="T19" s="6"/>
      <c r="U19" s="6"/>
      <c r="V19" s="6"/>
      <c r="W19" s="5">
        <v>1</v>
      </c>
      <c r="X19" s="6"/>
      <c r="Y19" s="6"/>
      <c r="Z19" s="5"/>
      <c r="AA19" s="6"/>
      <c r="AB19" s="6"/>
      <c r="AC19" s="5"/>
      <c r="AD19" s="6"/>
      <c r="AE19" s="5">
        <v>1</v>
      </c>
      <c r="AF19" s="5"/>
      <c r="AG19" s="5">
        <v>1</v>
      </c>
      <c r="AH19" s="6"/>
      <c r="AI19" s="6"/>
      <c r="AJ19" s="5">
        <v>1</v>
      </c>
      <c r="AK19" s="6"/>
      <c r="AL19" s="6"/>
      <c r="AM19" s="6"/>
    </row>
    <row r="20" spans="1:39" s="7" customFormat="1" x14ac:dyDescent="0.25">
      <c r="A20" s="5">
        <v>16</v>
      </c>
      <c r="B20" s="6"/>
      <c r="C20" s="6"/>
      <c r="D20" s="6"/>
      <c r="E20" s="6"/>
      <c r="F20" s="6"/>
      <c r="G20" s="6"/>
      <c r="H20" s="6"/>
      <c r="I20" s="5">
        <v>1</v>
      </c>
      <c r="J20" s="5">
        <v>1</v>
      </c>
      <c r="K20" s="6"/>
      <c r="L20" s="6"/>
      <c r="M20" s="6"/>
      <c r="N20" s="6"/>
      <c r="O20" s="6"/>
      <c r="P20" s="5">
        <v>1</v>
      </c>
      <c r="Q20" s="6"/>
      <c r="R20" s="6"/>
      <c r="S20" s="6"/>
      <c r="T20" s="6"/>
      <c r="U20" s="6"/>
      <c r="V20" s="5"/>
      <c r="W20" s="6"/>
      <c r="X20" s="5"/>
      <c r="Y20" s="6"/>
      <c r="Z20" s="6"/>
      <c r="AA20" s="6"/>
      <c r="AB20" s="5"/>
      <c r="AC20" s="6"/>
      <c r="AD20" s="6"/>
      <c r="AE20" s="6"/>
      <c r="AF20" s="6"/>
      <c r="AG20" s="6"/>
      <c r="AH20" s="5">
        <v>1</v>
      </c>
      <c r="AI20" s="6"/>
      <c r="AJ20" s="6"/>
      <c r="AK20" s="6"/>
      <c r="AL20" s="6"/>
      <c r="AM20" s="6"/>
    </row>
    <row r="21" spans="1:39" s="7" customFormat="1" x14ac:dyDescent="0.25">
      <c r="A21" s="5">
        <v>16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5">
        <v>1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</row>
    <row r="22" spans="1:39" s="7" customFormat="1" x14ac:dyDescent="0.25">
      <c r="A22" s="5">
        <v>17</v>
      </c>
      <c r="B22" s="6"/>
      <c r="C22" s="5">
        <v>1</v>
      </c>
      <c r="D22" s="6"/>
      <c r="E22" s="6"/>
      <c r="F22" s="5">
        <v>1</v>
      </c>
      <c r="G22" s="5">
        <v>1</v>
      </c>
      <c r="H22" s="5">
        <v>1</v>
      </c>
      <c r="I22" s="5">
        <v>1</v>
      </c>
      <c r="J22" s="5">
        <v>1</v>
      </c>
      <c r="K22" s="5">
        <v>1</v>
      </c>
      <c r="L22" s="5">
        <v>1</v>
      </c>
      <c r="M22" s="5">
        <v>1</v>
      </c>
      <c r="N22" s="6"/>
      <c r="O22" s="5">
        <v>1</v>
      </c>
      <c r="P22" s="5">
        <v>1</v>
      </c>
      <c r="Q22" s="5">
        <v>1</v>
      </c>
      <c r="R22" s="5">
        <v>1</v>
      </c>
      <c r="S22" s="5">
        <v>1</v>
      </c>
      <c r="T22" s="5">
        <v>1</v>
      </c>
      <c r="U22" s="6"/>
      <c r="V22" s="5">
        <v>1</v>
      </c>
      <c r="W22" s="5">
        <v>1</v>
      </c>
      <c r="X22" s="5">
        <v>1</v>
      </c>
      <c r="Y22" s="6"/>
      <c r="Z22" s="5">
        <v>1</v>
      </c>
      <c r="AA22" s="5">
        <v>1</v>
      </c>
      <c r="AB22" s="5">
        <v>1</v>
      </c>
      <c r="AC22" s="5">
        <v>1</v>
      </c>
      <c r="AD22" s="5">
        <v>1</v>
      </c>
      <c r="AE22" s="5">
        <v>1</v>
      </c>
      <c r="AF22" s="5">
        <v>1</v>
      </c>
      <c r="AG22" s="6"/>
      <c r="AH22" s="5">
        <v>1</v>
      </c>
      <c r="AI22" s="5">
        <v>1</v>
      </c>
      <c r="AJ22" s="5">
        <v>1</v>
      </c>
      <c r="AK22" s="5">
        <v>1</v>
      </c>
      <c r="AL22" s="6"/>
      <c r="AM22" s="6"/>
    </row>
    <row r="23" spans="1:39" s="7" customFormat="1" x14ac:dyDescent="0.25">
      <c r="A23" s="5">
        <v>18</v>
      </c>
      <c r="B23" s="5">
        <v>1</v>
      </c>
      <c r="C23" s="6"/>
      <c r="D23" s="6"/>
      <c r="E23" s="6"/>
      <c r="F23" s="5">
        <v>1</v>
      </c>
      <c r="G23" s="6"/>
      <c r="H23" s="5">
        <v>1</v>
      </c>
      <c r="I23" s="6"/>
      <c r="J23" s="6"/>
      <c r="K23" s="6"/>
      <c r="L23" s="6"/>
      <c r="M23" s="6"/>
      <c r="N23" s="5">
        <v>1</v>
      </c>
      <c r="O23" s="6"/>
      <c r="P23" s="5">
        <v>1</v>
      </c>
      <c r="Q23" s="6"/>
      <c r="R23" s="6"/>
      <c r="S23" s="5">
        <v>1</v>
      </c>
      <c r="T23" s="6"/>
      <c r="U23" s="6"/>
      <c r="V23" s="6"/>
      <c r="W23" s="6"/>
      <c r="X23" s="6"/>
      <c r="Y23" s="6"/>
      <c r="Z23" s="6"/>
      <c r="AA23" s="5">
        <v>1</v>
      </c>
      <c r="AB23" s="6"/>
      <c r="AC23" s="6"/>
      <c r="AD23" s="6"/>
      <c r="AE23" s="5">
        <v>1</v>
      </c>
      <c r="AF23" s="5">
        <v>1</v>
      </c>
      <c r="AG23" s="5">
        <v>1</v>
      </c>
      <c r="AH23" s="5">
        <v>1</v>
      </c>
      <c r="AI23" s="6"/>
      <c r="AJ23" s="5">
        <v>1</v>
      </c>
      <c r="AK23" s="6"/>
      <c r="AL23" s="6"/>
      <c r="AM23" s="6"/>
    </row>
    <row r="24" spans="1:39" s="7" customFormat="1" x14ac:dyDescent="0.25">
      <c r="A24" s="5">
        <v>19</v>
      </c>
      <c r="B24" s="5">
        <v>1</v>
      </c>
      <c r="C24" s="6"/>
      <c r="D24" s="6"/>
      <c r="E24" s="6"/>
      <c r="F24" s="5">
        <v>1</v>
      </c>
      <c r="G24" s="6"/>
      <c r="H24" s="5">
        <v>1</v>
      </c>
      <c r="I24" s="6"/>
      <c r="J24" s="6"/>
      <c r="K24" s="6"/>
      <c r="L24" s="6"/>
      <c r="M24" s="6"/>
      <c r="N24" s="5">
        <v>1</v>
      </c>
      <c r="O24" s="6"/>
      <c r="P24" s="5">
        <v>1</v>
      </c>
      <c r="Q24" s="6"/>
      <c r="R24" s="6"/>
      <c r="S24" s="5">
        <v>1</v>
      </c>
      <c r="T24" s="6"/>
      <c r="U24" s="6"/>
      <c r="V24" s="6"/>
      <c r="W24" s="6"/>
      <c r="X24" s="6"/>
      <c r="Y24" s="6"/>
      <c r="Z24" s="6"/>
      <c r="AA24" s="5">
        <v>1</v>
      </c>
      <c r="AB24" s="6"/>
      <c r="AC24" s="6"/>
      <c r="AD24" s="6"/>
      <c r="AE24" s="5">
        <v>1</v>
      </c>
      <c r="AF24" s="5">
        <v>1</v>
      </c>
      <c r="AG24" s="5">
        <v>1</v>
      </c>
      <c r="AH24" s="5">
        <v>1</v>
      </c>
      <c r="AI24" s="6"/>
      <c r="AJ24" s="5">
        <v>1</v>
      </c>
      <c r="AK24" s="6"/>
      <c r="AL24" s="6"/>
      <c r="AM24" s="6"/>
    </row>
    <row r="25" spans="1:39" s="7" customFormat="1" x14ac:dyDescent="0.25">
      <c r="A25" s="5">
        <v>20</v>
      </c>
      <c r="B25" s="5">
        <v>1</v>
      </c>
      <c r="C25" s="6"/>
      <c r="D25" s="5">
        <v>1</v>
      </c>
      <c r="E25" s="5">
        <v>1</v>
      </c>
      <c r="F25" s="6"/>
      <c r="G25" s="6"/>
      <c r="H25" s="6"/>
      <c r="I25" s="6"/>
      <c r="J25" s="6"/>
      <c r="K25" s="6"/>
      <c r="L25" s="6"/>
      <c r="M25" s="6"/>
      <c r="N25" s="5">
        <v>1</v>
      </c>
      <c r="O25" s="6"/>
      <c r="P25" s="6"/>
      <c r="Q25" s="6"/>
      <c r="R25" s="6"/>
      <c r="S25" s="6"/>
      <c r="T25" s="6"/>
      <c r="U25" s="5">
        <v>1</v>
      </c>
      <c r="V25" s="6"/>
      <c r="W25" s="6"/>
      <c r="X25" s="6"/>
      <c r="Y25" s="5">
        <v>1</v>
      </c>
      <c r="Z25" s="6"/>
      <c r="AA25" s="6"/>
      <c r="AB25" s="6"/>
      <c r="AC25" s="6"/>
      <c r="AD25" s="6"/>
      <c r="AE25" s="6"/>
      <c r="AF25" s="6"/>
      <c r="AG25" s="5">
        <v>1</v>
      </c>
      <c r="AH25" s="6"/>
      <c r="AI25" s="6"/>
      <c r="AJ25" s="6"/>
      <c r="AK25" s="6"/>
      <c r="AL25" s="6"/>
      <c r="AM25" s="6"/>
    </row>
    <row r="26" spans="1:39" s="7" customFormat="1" x14ac:dyDescent="0.25">
      <c r="A26" s="5">
        <v>21</v>
      </c>
      <c r="B26" s="5">
        <v>1</v>
      </c>
      <c r="C26" s="5">
        <v>1</v>
      </c>
      <c r="D26" s="5">
        <v>1</v>
      </c>
      <c r="E26" s="5">
        <v>1</v>
      </c>
      <c r="F26" s="5">
        <v>1</v>
      </c>
      <c r="G26" s="5">
        <v>1</v>
      </c>
      <c r="H26" s="5">
        <v>1</v>
      </c>
      <c r="I26" s="5">
        <v>1</v>
      </c>
      <c r="J26" s="5">
        <v>1</v>
      </c>
      <c r="K26" s="5">
        <v>1</v>
      </c>
      <c r="L26" s="5">
        <v>1</v>
      </c>
      <c r="M26" s="5">
        <v>1</v>
      </c>
      <c r="N26" s="5">
        <v>1</v>
      </c>
      <c r="O26" s="5">
        <v>1</v>
      </c>
      <c r="P26" s="5">
        <v>1</v>
      </c>
      <c r="Q26" s="5">
        <v>1</v>
      </c>
      <c r="R26" s="5">
        <v>1</v>
      </c>
      <c r="S26" s="5">
        <v>1</v>
      </c>
      <c r="T26" s="5">
        <v>1</v>
      </c>
      <c r="U26" s="5">
        <v>1</v>
      </c>
      <c r="V26" s="5">
        <v>1</v>
      </c>
      <c r="W26" s="5">
        <v>1</v>
      </c>
      <c r="X26" s="5">
        <v>1</v>
      </c>
      <c r="Y26" s="5">
        <v>1</v>
      </c>
      <c r="Z26" s="5">
        <v>1</v>
      </c>
      <c r="AA26" s="5">
        <v>1</v>
      </c>
      <c r="AB26" s="5">
        <v>1</v>
      </c>
      <c r="AC26" s="5">
        <v>1</v>
      </c>
      <c r="AD26" s="5">
        <v>1</v>
      </c>
      <c r="AE26" s="5">
        <v>1</v>
      </c>
      <c r="AF26" s="5">
        <v>1</v>
      </c>
      <c r="AG26" s="5">
        <v>1</v>
      </c>
      <c r="AH26" s="5">
        <v>1</v>
      </c>
      <c r="AI26" s="5">
        <v>1</v>
      </c>
      <c r="AJ26" s="5">
        <v>1</v>
      </c>
      <c r="AK26" s="5">
        <v>1</v>
      </c>
      <c r="AL26" s="5">
        <v>1</v>
      </c>
      <c r="AM26" s="5">
        <v>1</v>
      </c>
    </row>
    <row r="27" spans="1:39" s="7" customFormat="1" x14ac:dyDescent="0.25">
      <c r="A27" s="5">
        <v>22</v>
      </c>
      <c r="B27" s="5">
        <v>1</v>
      </c>
      <c r="C27" s="6"/>
      <c r="D27" s="5">
        <v>1</v>
      </c>
      <c r="E27" s="5">
        <v>1</v>
      </c>
      <c r="F27" s="6"/>
      <c r="G27" s="6"/>
      <c r="H27" s="6"/>
      <c r="I27" s="6"/>
      <c r="J27" s="6"/>
      <c r="K27" s="6"/>
      <c r="L27" s="6"/>
      <c r="M27" s="6"/>
      <c r="N27" s="5">
        <v>1</v>
      </c>
      <c r="O27" s="6"/>
      <c r="P27" s="6"/>
      <c r="Q27" s="6"/>
      <c r="R27" s="6"/>
      <c r="S27" s="6"/>
      <c r="T27" s="6"/>
      <c r="U27" s="5">
        <v>1</v>
      </c>
      <c r="V27" s="6"/>
      <c r="W27" s="6"/>
      <c r="X27" s="6"/>
      <c r="Y27" s="5">
        <v>1</v>
      </c>
      <c r="Z27" s="6"/>
      <c r="AA27" s="6"/>
      <c r="AB27" s="6"/>
      <c r="AC27" s="6"/>
      <c r="AD27" s="6"/>
      <c r="AE27" s="6"/>
      <c r="AF27" s="6"/>
      <c r="AG27" s="5">
        <v>1</v>
      </c>
      <c r="AH27" s="6"/>
      <c r="AI27" s="6"/>
      <c r="AJ27" s="6"/>
      <c r="AK27" s="6"/>
      <c r="AL27" s="5">
        <v>1</v>
      </c>
      <c r="AM27" s="6"/>
    </row>
    <row r="28" spans="1:39" s="7" customFormat="1" x14ac:dyDescent="0.25">
      <c r="A28" s="5">
        <v>23</v>
      </c>
      <c r="B28" s="6"/>
      <c r="C28" s="6"/>
      <c r="D28" s="6"/>
      <c r="E28" s="6"/>
      <c r="F28" s="6"/>
      <c r="G28" s="6"/>
      <c r="H28" s="6"/>
      <c r="I28" s="5">
        <v>1</v>
      </c>
      <c r="J28" s="5">
        <v>1</v>
      </c>
      <c r="K28" s="6"/>
      <c r="L28" s="5">
        <v>1</v>
      </c>
      <c r="M28" s="5">
        <v>1</v>
      </c>
      <c r="N28" s="6"/>
      <c r="O28" s="5">
        <v>1</v>
      </c>
      <c r="P28" s="5">
        <v>1</v>
      </c>
      <c r="Q28" s="6"/>
      <c r="R28" s="6"/>
      <c r="S28" s="6"/>
      <c r="T28" s="6"/>
      <c r="U28" s="6"/>
      <c r="V28" s="5">
        <v>1</v>
      </c>
      <c r="W28" s="6"/>
      <c r="X28" s="5">
        <v>1</v>
      </c>
      <c r="Y28" s="6"/>
      <c r="Z28" s="5">
        <v>1</v>
      </c>
      <c r="AA28" s="6"/>
      <c r="AB28" s="6"/>
      <c r="AC28" s="5">
        <v>1</v>
      </c>
      <c r="AD28" s="6"/>
      <c r="AE28" s="6"/>
      <c r="AF28" s="5">
        <v>1</v>
      </c>
      <c r="AG28" s="6"/>
      <c r="AH28" s="5">
        <v>1</v>
      </c>
      <c r="AI28" s="6"/>
      <c r="AJ28" s="6"/>
      <c r="AK28" s="6"/>
      <c r="AL28" s="6"/>
      <c r="AM28" s="6"/>
    </row>
    <row r="29" spans="1:39" s="7" customFormat="1" x14ac:dyDescent="0.25">
      <c r="A29" s="5">
        <v>24</v>
      </c>
      <c r="B29" s="6"/>
      <c r="C29" s="6"/>
      <c r="D29" s="6"/>
      <c r="E29" s="6"/>
      <c r="F29" s="6"/>
      <c r="G29" s="6"/>
      <c r="H29" s="6"/>
      <c r="I29" s="5">
        <v>1</v>
      </c>
      <c r="J29" s="5">
        <v>1</v>
      </c>
      <c r="K29" s="6"/>
      <c r="L29" s="5">
        <v>1</v>
      </c>
      <c r="M29" s="5">
        <v>1</v>
      </c>
      <c r="N29" s="6"/>
      <c r="O29" s="5">
        <v>1</v>
      </c>
      <c r="P29" s="5">
        <v>1</v>
      </c>
      <c r="Q29" s="6"/>
      <c r="R29" s="6"/>
      <c r="S29" s="6"/>
      <c r="T29" s="6"/>
      <c r="U29" s="6"/>
      <c r="V29" s="5">
        <v>1</v>
      </c>
      <c r="W29" s="6"/>
      <c r="X29" s="5">
        <v>1</v>
      </c>
      <c r="Y29" s="6"/>
      <c r="Z29" s="5">
        <v>1</v>
      </c>
      <c r="AA29" s="6"/>
      <c r="AB29" s="6"/>
      <c r="AC29" s="5">
        <v>1</v>
      </c>
      <c r="AD29" s="6"/>
      <c r="AE29" s="6"/>
      <c r="AF29" s="5">
        <v>1</v>
      </c>
      <c r="AG29" s="6"/>
      <c r="AH29" s="5">
        <v>1</v>
      </c>
      <c r="AI29" s="6"/>
      <c r="AJ29" s="6"/>
      <c r="AK29" s="6"/>
      <c r="AL29" s="6"/>
      <c r="AM29" s="6"/>
    </row>
    <row r="30" spans="1:39" s="7" customFormat="1" x14ac:dyDescent="0.25">
      <c r="A30" s="5">
        <v>25</v>
      </c>
      <c r="B30" s="6"/>
      <c r="C30" s="6"/>
      <c r="D30" s="6"/>
      <c r="E30" s="6"/>
      <c r="F30" s="6"/>
      <c r="G30" s="6"/>
      <c r="H30" s="6"/>
      <c r="I30" s="5">
        <v>1</v>
      </c>
      <c r="J30" s="5">
        <v>1</v>
      </c>
      <c r="K30" s="6"/>
      <c r="L30" s="5">
        <v>1</v>
      </c>
      <c r="M30" s="5">
        <v>1</v>
      </c>
      <c r="N30" s="6"/>
      <c r="O30" s="5">
        <v>1</v>
      </c>
      <c r="P30" s="5">
        <v>1</v>
      </c>
      <c r="Q30" s="6"/>
      <c r="R30" s="6"/>
      <c r="S30" s="6"/>
      <c r="T30" s="6"/>
      <c r="U30" s="6"/>
      <c r="V30" s="5">
        <v>1</v>
      </c>
      <c r="W30" s="6"/>
      <c r="X30" s="5">
        <v>1</v>
      </c>
      <c r="Y30" s="6"/>
      <c r="Z30" s="5">
        <v>1</v>
      </c>
      <c r="AA30" s="6"/>
      <c r="AB30" s="6"/>
      <c r="AC30" s="5">
        <v>1</v>
      </c>
      <c r="AD30" s="6"/>
      <c r="AE30" s="6"/>
      <c r="AF30" s="5">
        <v>1</v>
      </c>
      <c r="AG30" s="6"/>
      <c r="AH30" s="5">
        <v>1</v>
      </c>
      <c r="AI30" s="6"/>
      <c r="AJ30" s="6"/>
      <c r="AK30" s="6"/>
      <c r="AL30" s="6"/>
      <c r="AM30" s="6"/>
    </row>
    <row r="31" spans="1:39" s="7" customFormat="1" x14ac:dyDescent="0.25">
      <c r="A31" s="5">
        <v>26</v>
      </c>
      <c r="B31" s="6"/>
      <c r="C31" s="5">
        <v>1</v>
      </c>
      <c r="D31" s="6"/>
      <c r="E31" s="6"/>
      <c r="F31" s="5">
        <v>1</v>
      </c>
      <c r="G31" s="5">
        <v>1</v>
      </c>
      <c r="H31" s="5">
        <v>1</v>
      </c>
      <c r="I31" s="5">
        <v>1</v>
      </c>
      <c r="J31" s="5">
        <v>1</v>
      </c>
      <c r="K31" s="5">
        <v>1</v>
      </c>
      <c r="L31" s="5">
        <v>1</v>
      </c>
      <c r="M31" s="5">
        <v>1</v>
      </c>
      <c r="N31" s="6"/>
      <c r="O31" s="5">
        <v>1</v>
      </c>
      <c r="P31" s="5">
        <v>1</v>
      </c>
      <c r="Q31" s="5">
        <v>1</v>
      </c>
      <c r="R31" s="5">
        <v>1</v>
      </c>
      <c r="S31" s="5">
        <v>1</v>
      </c>
      <c r="T31" s="5">
        <v>1</v>
      </c>
      <c r="U31" s="6"/>
      <c r="V31" s="5">
        <v>1</v>
      </c>
      <c r="W31" s="5">
        <v>1</v>
      </c>
      <c r="X31" s="5">
        <v>1</v>
      </c>
      <c r="Y31" s="6"/>
      <c r="Z31" s="5">
        <v>1</v>
      </c>
      <c r="AA31" s="5">
        <v>1</v>
      </c>
      <c r="AB31" s="5">
        <v>1</v>
      </c>
      <c r="AC31" s="5">
        <v>1</v>
      </c>
      <c r="AD31" s="5">
        <v>1</v>
      </c>
      <c r="AE31" s="5">
        <v>1</v>
      </c>
      <c r="AF31" s="5">
        <v>1</v>
      </c>
      <c r="AG31" s="6"/>
      <c r="AH31" s="5">
        <v>1</v>
      </c>
      <c r="AI31" s="5">
        <v>1</v>
      </c>
      <c r="AJ31" s="5">
        <v>1</v>
      </c>
      <c r="AK31" s="5">
        <v>1</v>
      </c>
      <c r="AL31" s="6"/>
      <c r="AM31" s="5">
        <v>1</v>
      </c>
    </row>
    <row r="32" spans="1:39" s="7" customFormat="1" x14ac:dyDescent="0.25">
      <c r="A32" s="5">
        <v>27</v>
      </c>
      <c r="B32" s="5">
        <v>1</v>
      </c>
      <c r="C32" s="6"/>
      <c r="D32" s="6"/>
      <c r="E32" s="6"/>
      <c r="F32" s="5">
        <v>1</v>
      </c>
      <c r="G32" s="6"/>
      <c r="H32" s="5">
        <v>1</v>
      </c>
      <c r="I32" s="6"/>
      <c r="J32" s="6"/>
      <c r="K32" s="6"/>
      <c r="L32" s="6"/>
      <c r="M32" s="6"/>
      <c r="N32" s="5">
        <v>1</v>
      </c>
      <c r="O32" s="6"/>
      <c r="P32" s="5">
        <v>1</v>
      </c>
      <c r="Q32" s="6"/>
      <c r="R32" s="6"/>
      <c r="S32" s="5">
        <v>1</v>
      </c>
      <c r="T32" s="6"/>
      <c r="U32" s="6"/>
      <c r="V32" s="6"/>
      <c r="W32" s="6"/>
      <c r="X32" s="6"/>
      <c r="Y32" s="6"/>
      <c r="Z32" s="6"/>
      <c r="AA32" s="5">
        <v>1</v>
      </c>
      <c r="AB32" s="6"/>
      <c r="AC32" s="6"/>
      <c r="AD32" s="6"/>
      <c r="AE32" s="5">
        <v>1</v>
      </c>
      <c r="AF32" s="5">
        <v>1</v>
      </c>
      <c r="AG32" s="5">
        <v>1</v>
      </c>
      <c r="AH32" s="5">
        <v>1</v>
      </c>
      <c r="AI32" s="6"/>
      <c r="AJ32" s="5">
        <v>1</v>
      </c>
      <c r="AK32" s="6"/>
      <c r="AL32" s="6"/>
      <c r="AM32" s="6"/>
    </row>
    <row r="33" spans="1:39" s="7" customFormat="1" x14ac:dyDescent="0.25">
      <c r="A33" s="5">
        <v>28</v>
      </c>
      <c r="B33" s="6"/>
      <c r="C33" s="5">
        <v>1</v>
      </c>
      <c r="D33" s="6"/>
      <c r="E33" s="6"/>
      <c r="F33" s="5">
        <v>1</v>
      </c>
      <c r="G33" s="5">
        <v>1</v>
      </c>
      <c r="H33" s="5">
        <v>1</v>
      </c>
      <c r="I33" s="5">
        <v>1</v>
      </c>
      <c r="J33" s="5">
        <v>1</v>
      </c>
      <c r="K33" s="5">
        <v>1</v>
      </c>
      <c r="L33" s="5">
        <v>1</v>
      </c>
      <c r="M33" s="5">
        <v>1</v>
      </c>
      <c r="N33" s="6"/>
      <c r="O33" s="5">
        <v>1</v>
      </c>
      <c r="P33" s="5">
        <v>1</v>
      </c>
      <c r="Q33" s="5">
        <v>1</v>
      </c>
      <c r="R33" s="5">
        <v>1</v>
      </c>
      <c r="S33" s="5">
        <v>1</v>
      </c>
      <c r="T33" s="5">
        <v>1</v>
      </c>
      <c r="U33" s="6"/>
      <c r="V33" s="5">
        <v>1</v>
      </c>
      <c r="W33" s="5">
        <v>1</v>
      </c>
      <c r="X33" s="5">
        <v>1</v>
      </c>
      <c r="Y33" s="6"/>
      <c r="Z33" s="5">
        <v>1</v>
      </c>
      <c r="AA33" s="5">
        <v>1</v>
      </c>
      <c r="AB33" s="5">
        <v>1</v>
      </c>
      <c r="AC33" s="5">
        <v>1</v>
      </c>
      <c r="AD33" s="5">
        <v>1</v>
      </c>
      <c r="AE33" s="5">
        <v>1</v>
      </c>
      <c r="AF33" s="5">
        <v>1</v>
      </c>
      <c r="AG33" s="6"/>
      <c r="AH33" s="5">
        <v>1</v>
      </c>
      <c r="AI33" s="5">
        <v>1</v>
      </c>
      <c r="AJ33" s="5">
        <v>1</v>
      </c>
      <c r="AK33" s="5">
        <v>1</v>
      </c>
      <c r="AL33" s="6"/>
      <c r="AM33" s="5">
        <v>1</v>
      </c>
    </row>
    <row r="34" spans="1:39" s="7" customFormat="1" x14ac:dyDescent="0.25">
      <c r="A34" s="5">
        <v>29</v>
      </c>
      <c r="B34" s="6"/>
      <c r="C34" s="5">
        <v>1</v>
      </c>
      <c r="D34" s="6"/>
      <c r="E34" s="6"/>
      <c r="F34" s="5">
        <v>1</v>
      </c>
      <c r="G34" s="5">
        <v>1</v>
      </c>
      <c r="H34" s="5">
        <v>1</v>
      </c>
      <c r="I34" s="5">
        <v>1</v>
      </c>
      <c r="J34" s="5">
        <v>1</v>
      </c>
      <c r="K34" s="5">
        <v>1</v>
      </c>
      <c r="L34" s="5">
        <v>1</v>
      </c>
      <c r="M34" s="5">
        <v>1</v>
      </c>
      <c r="N34" s="6"/>
      <c r="O34" s="5">
        <v>1</v>
      </c>
      <c r="P34" s="5">
        <v>1</v>
      </c>
      <c r="Q34" s="5">
        <v>1</v>
      </c>
      <c r="R34" s="5">
        <v>1</v>
      </c>
      <c r="S34" s="5">
        <v>1</v>
      </c>
      <c r="T34" s="5">
        <v>1</v>
      </c>
      <c r="U34" s="6"/>
      <c r="V34" s="5">
        <v>1</v>
      </c>
      <c r="W34" s="5">
        <v>1</v>
      </c>
      <c r="X34" s="5">
        <v>1</v>
      </c>
      <c r="Y34" s="6"/>
      <c r="Z34" s="5">
        <v>1</v>
      </c>
      <c r="AA34" s="5">
        <v>1</v>
      </c>
      <c r="AB34" s="5">
        <v>1</v>
      </c>
      <c r="AC34" s="5">
        <v>1</v>
      </c>
      <c r="AD34" s="5">
        <v>1</v>
      </c>
      <c r="AE34" s="5">
        <v>1</v>
      </c>
      <c r="AF34" s="5">
        <v>1</v>
      </c>
      <c r="AG34" s="6"/>
      <c r="AH34" s="5">
        <v>1</v>
      </c>
      <c r="AI34" s="5">
        <v>1</v>
      </c>
      <c r="AJ34" s="5">
        <v>1</v>
      </c>
      <c r="AK34" s="5">
        <v>1</v>
      </c>
      <c r="AL34" s="6"/>
      <c r="AM34" s="5">
        <v>1</v>
      </c>
    </row>
    <row r="35" spans="1:39" s="7" customFormat="1" x14ac:dyDescent="0.25">
      <c r="A35" s="5">
        <v>30</v>
      </c>
      <c r="B35" s="6"/>
      <c r="C35" s="5">
        <v>1</v>
      </c>
      <c r="D35" s="6"/>
      <c r="E35" s="6"/>
      <c r="F35" s="6"/>
      <c r="G35" s="5">
        <v>1</v>
      </c>
      <c r="H35" s="6"/>
      <c r="I35" s="6"/>
      <c r="J35" s="5">
        <v>1</v>
      </c>
      <c r="K35" s="6"/>
      <c r="L35" s="5">
        <v>1</v>
      </c>
      <c r="M35" s="6"/>
      <c r="N35" s="6"/>
      <c r="O35" s="5">
        <v>1</v>
      </c>
      <c r="P35" s="6"/>
      <c r="Q35" s="5">
        <v>1</v>
      </c>
      <c r="R35" s="5">
        <v>1</v>
      </c>
      <c r="S35" s="5">
        <v>1</v>
      </c>
      <c r="T35" s="5">
        <v>1</v>
      </c>
      <c r="U35" s="6"/>
      <c r="V35" s="5">
        <v>1</v>
      </c>
      <c r="W35" s="6"/>
      <c r="X35" s="5">
        <v>1</v>
      </c>
      <c r="Y35" s="6"/>
      <c r="Z35" s="5">
        <v>1</v>
      </c>
      <c r="AA35" s="5">
        <v>1</v>
      </c>
      <c r="AB35" s="5">
        <v>1</v>
      </c>
      <c r="AC35" s="6"/>
      <c r="AD35" s="6"/>
      <c r="AE35" s="6"/>
      <c r="AF35" s="6"/>
      <c r="AG35" s="6"/>
      <c r="AH35" s="6"/>
      <c r="AI35" s="5">
        <v>1</v>
      </c>
      <c r="AJ35" s="5">
        <v>1</v>
      </c>
      <c r="AK35" s="6"/>
      <c r="AL35" s="6"/>
      <c r="AM35" s="5">
        <v>1</v>
      </c>
    </row>
    <row r="36" spans="1:39" s="7" customFormat="1" x14ac:dyDescent="0.25">
      <c r="A36" s="5">
        <v>31</v>
      </c>
      <c r="B36" s="6"/>
      <c r="C36" s="5">
        <v>1</v>
      </c>
      <c r="D36" s="6"/>
      <c r="E36" s="6"/>
      <c r="F36" s="6"/>
      <c r="G36" s="5">
        <v>1</v>
      </c>
      <c r="H36" s="6"/>
      <c r="I36" s="6"/>
      <c r="J36" s="5">
        <v>1</v>
      </c>
      <c r="K36" s="6"/>
      <c r="L36" s="5">
        <v>1</v>
      </c>
      <c r="M36" s="6"/>
      <c r="N36" s="6"/>
      <c r="O36" s="5">
        <v>1</v>
      </c>
      <c r="P36" s="6"/>
      <c r="Q36" s="5">
        <v>1</v>
      </c>
      <c r="R36" s="5">
        <v>1</v>
      </c>
      <c r="S36" s="5">
        <v>1</v>
      </c>
      <c r="T36" s="5">
        <v>1</v>
      </c>
      <c r="U36" s="6"/>
      <c r="V36" s="5">
        <v>1</v>
      </c>
      <c r="W36" s="6"/>
      <c r="X36" s="5">
        <v>1</v>
      </c>
      <c r="Y36" s="6"/>
      <c r="Z36" s="5">
        <v>1</v>
      </c>
      <c r="AA36" s="5">
        <v>1</v>
      </c>
      <c r="AB36" s="5">
        <v>1</v>
      </c>
      <c r="AC36" s="6"/>
      <c r="AD36" s="6"/>
      <c r="AE36" s="6"/>
      <c r="AF36" s="6"/>
      <c r="AG36" s="6"/>
      <c r="AH36" s="6"/>
      <c r="AI36" s="5">
        <v>1</v>
      </c>
      <c r="AJ36" s="5">
        <v>1</v>
      </c>
      <c r="AK36" s="6"/>
      <c r="AL36" s="6"/>
      <c r="AM36" s="5">
        <v>1</v>
      </c>
    </row>
    <row r="37" spans="1:39" s="7" customFormat="1" x14ac:dyDescent="0.25">
      <c r="A37" s="5">
        <v>32</v>
      </c>
      <c r="B37" s="6"/>
      <c r="C37" s="6"/>
      <c r="D37" s="6"/>
      <c r="E37" s="6"/>
      <c r="F37" s="5">
        <v>1</v>
      </c>
      <c r="G37" s="6"/>
      <c r="H37" s="5">
        <v>1</v>
      </c>
      <c r="I37" s="5">
        <v>1</v>
      </c>
      <c r="J37" s="6"/>
      <c r="K37" s="5">
        <v>1</v>
      </c>
      <c r="L37" s="6"/>
      <c r="M37" s="5">
        <v>1</v>
      </c>
      <c r="N37" s="6"/>
      <c r="O37" s="6"/>
      <c r="P37" s="5">
        <v>1</v>
      </c>
      <c r="Q37" s="6"/>
      <c r="R37" s="6"/>
      <c r="S37" s="6"/>
      <c r="T37" s="6"/>
      <c r="U37" s="6"/>
      <c r="V37" s="6"/>
      <c r="W37" s="5">
        <v>1</v>
      </c>
      <c r="X37" s="6"/>
      <c r="Y37" s="6"/>
      <c r="Z37" s="6"/>
      <c r="AA37" s="6"/>
      <c r="AB37" s="6"/>
      <c r="AC37" s="5">
        <v>1</v>
      </c>
      <c r="AD37" s="5">
        <v>1</v>
      </c>
      <c r="AE37" s="5">
        <v>1</v>
      </c>
      <c r="AF37" s="5">
        <v>1</v>
      </c>
      <c r="AG37" s="6"/>
      <c r="AH37" s="5">
        <v>1</v>
      </c>
      <c r="AI37" s="6"/>
      <c r="AJ37" s="6"/>
      <c r="AK37" s="5">
        <v>1</v>
      </c>
      <c r="AL37" s="6"/>
      <c r="AM37" s="6"/>
    </row>
    <row r="38" spans="1:39" s="7" customFormat="1" x14ac:dyDescent="0.25">
      <c r="A38" s="5">
        <v>33</v>
      </c>
      <c r="B38" s="6"/>
      <c r="C38" s="6"/>
      <c r="D38" s="6"/>
      <c r="E38" s="6"/>
      <c r="F38" s="5">
        <v>1</v>
      </c>
      <c r="G38" s="6"/>
      <c r="H38" s="5">
        <v>1</v>
      </c>
      <c r="I38" s="5">
        <v>1</v>
      </c>
      <c r="J38" s="6"/>
      <c r="K38" s="5">
        <v>1</v>
      </c>
      <c r="L38" s="6"/>
      <c r="M38" s="5">
        <v>1</v>
      </c>
      <c r="N38" s="6"/>
      <c r="O38" s="6"/>
      <c r="P38" s="5">
        <v>1</v>
      </c>
      <c r="Q38" s="6"/>
      <c r="R38" s="6"/>
      <c r="S38" s="6"/>
      <c r="T38" s="6"/>
      <c r="U38" s="6"/>
      <c r="V38" s="6"/>
      <c r="W38" s="5">
        <v>1</v>
      </c>
      <c r="X38" s="6"/>
      <c r="Y38" s="6"/>
      <c r="Z38" s="6"/>
      <c r="AA38" s="6"/>
      <c r="AB38" s="6"/>
      <c r="AC38" s="5">
        <v>1</v>
      </c>
      <c r="AD38" s="5">
        <v>1</v>
      </c>
      <c r="AE38" s="5">
        <v>1</v>
      </c>
      <c r="AF38" s="5">
        <v>1</v>
      </c>
      <c r="AG38" s="6"/>
      <c r="AH38" s="5">
        <v>1</v>
      </c>
      <c r="AI38" s="6"/>
      <c r="AJ38" s="6"/>
      <c r="AK38" s="5">
        <v>1</v>
      </c>
      <c r="AL38" s="6"/>
      <c r="AM38" s="6"/>
    </row>
    <row r="39" spans="1:39" s="7" customFormat="1" x14ac:dyDescent="0.25">
      <c r="A39" s="5">
        <v>34</v>
      </c>
      <c r="B39" s="6"/>
      <c r="C39" s="6"/>
      <c r="D39" s="6"/>
      <c r="E39" s="5">
        <v>1</v>
      </c>
      <c r="F39" s="6"/>
      <c r="G39" s="6"/>
      <c r="H39" s="6"/>
      <c r="I39" s="6"/>
      <c r="J39" s="6"/>
      <c r="K39" s="6"/>
      <c r="L39" s="6"/>
      <c r="M39" s="6"/>
      <c r="N39" s="5">
        <v>1</v>
      </c>
      <c r="O39" s="6"/>
      <c r="P39" s="6"/>
      <c r="Q39" s="6"/>
      <c r="R39" s="6"/>
      <c r="S39" s="6"/>
      <c r="T39" s="6"/>
      <c r="U39" s="5">
        <v>1</v>
      </c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5">
        <v>1</v>
      </c>
      <c r="AH39" s="6"/>
      <c r="AI39" s="6"/>
      <c r="AJ39" s="6"/>
      <c r="AK39" s="6"/>
      <c r="AL39" s="6"/>
      <c r="AM39" s="6"/>
    </row>
    <row r="40" spans="1:39" s="7" customFormat="1" x14ac:dyDescent="0.25">
      <c r="A40" s="5">
        <v>34</v>
      </c>
      <c r="B40" s="6"/>
      <c r="C40" s="5">
        <v>1</v>
      </c>
      <c r="D40" s="6"/>
      <c r="E40" s="6"/>
      <c r="F40" s="6"/>
      <c r="G40" s="5">
        <v>1</v>
      </c>
      <c r="H40" s="5">
        <v>1</v>
      </c>
      <c r="I40" s="5">
        <v>1</v>
      </c>
      <c r="J40" s="5">
        <v>1</v>
      </c>
      <c r="K40" s="6"/>
      <c r="L40" s="6"/>
      <c r="M40" s="6"/>
      <c r="N40" s="6"/>
      <c r="O40" s="5">
        <v>1</v>
      </c>
      <c r="P40" s="5">
        <v>1</v>
      </c>
      <c r="Q40" s="6"/>
      <c r="R40" s="5">
        <v>1</v>
      </c>
      <c r="S40" s="5">
        <v>1</v>
      </c>
      <c r="T40" s="6"/>
      <c r="U40" s="6"/>
      <c r="V40" s="5">
        <v>1</v>
      </c>
      <c r="W40" s="5">
        <v>1</v>
      </c>
      <c r="X40" s="6"/>
      <c r="Y40" s="6"/>
      <c r="Z40" s="5">
        <v>1</v>
      </c>
      <c r="AA40" s="6"/>
      <c r="AB40" s="5">
        <v>1</v>
      </c>
      <c r="AC40" s="5">
        <v>1</v>
      </c>
      <c r="AD40" s="6"/>
      <c r="AE40" s="5">
        <v>1</v>
      </c>
      <c r="AF40" s="6"/>
      <c r="AG40" s="6"/>
      <c r="AH40" s="5">
        <v>1</v>
      </c>
      <c r="AI40" s="6"/>
      <c r="AJ40" s="5">
        <v>1</v>
      </c>
      <c r="AK40" s="5">
        <v>1</v>
      </c>
      <c r="AL40" s="6"/>
      <c r="AM40" s="5">
        <v>1</v>
      </c>
    </row>
    <row r="41" spans="1:39" s="7" customFormat="1" x14ac:dyDescent="0.25">
      <c r="A41" s="5">
        <v>35</v>
      </c>
      <c r="B41" s="6"/>
      <c r="C41" s="6"/>
      <c r="D41" s="6"/>
      <c r="E41" s="5">
        <v>1</v>
      </c>
      <c r="F41" s="6"/>
      <c r="G41" s="6"/>
      <c r="H41" s="6"/>
      <c r="I41" s="6"/>
      <c r="J41" s="6"/>
      <c r="K41" s="6"/>
      <c r="L41" s="6"/>
      <c r="M41" s="6"/>
      <c r="N41" s="5">
        <v>1</v>
      </c>
      <c r="O41" s="6"/>
      <c r="P41" s="6"/>
      <c r="Q41" s="6"/>
      <c r="R41" s="6"/>
      <c r="S41" s="6"/>
      <c r="T41" s="6"/>
      <c r="U41" s="5">
        <v>1</v>
      </c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5">
        <v>1</v>
      </c>
      <c r="AH41" s="6"/>
      <c r="AI41" s="6"/>
      <c r="AJ41" s="6"/>
      <c r="AK41" s="6"/>
      <c r="AL41" s="6"/>
      <c r="AM41" s="6"/>
    </row>
    <row r="42" spans="1:39" s="7" customFormat="1" x14ac:dyDescent="0.25">
      <c r="A42" s="6">
        <v>35</v>
      </c>
      <c r="B42" s="6"/>
      <c r="C42" s="5">
        <v>1</v>
      </c>
      <c r="D42" s="6"/>
      <c r="E42" s="6"/>
      <c r="F42" s="6"/>
      <c r="G42" s="5">
        <v>1</v>
      </c>
      <c r="H42" s="5">
        <v>1</v>
      </c>
      <c r="I42" s="5">
        <v>1</v>
      </c>
      <c r="J42" s="5">
        <v>1</v>
      </c>
      <c r="K42" s="6"/>
      <c r="L42" s="6"/>
      <c r="M42" s="6"/>
      <c r="N42" s="6"/>
      <c r="O42" s="5">
        <v>1</v>
      </c>
      <c r="P42" s="5">
        <v>1</v>
      </c>
      <c r="Q42" s="6"/>
      <c r="R42" s="5">
        <v>1</v>
      </c>
      <c r="S42" s="5">
        <v>1</v>
      </c>
      <c r="T42" s="6"/>
      <c r="U42" s="6"/>
      <c r="V42" s="5">
        <v>1</v>
      </c>
      <c r="W42" s="5">
        <v>1</v>
      </c>
      <c r="X42" s="6"/>
      <c r="Y42" s="6"/>
      <c r="Z42" s="5">
        <v>1</v>
      </c>
      <c r="AA42" s="6"/>
      <c r="AB42" s="5">
        <v>1</v>
      </c>
      <c r="AC42" s="5">
        <v>1</v>
      </c>
      <c r="AD42" s="6"/>
      <c r="AE42" s="5">
        <v>1</v>
      </c>
      <c r="AF42" s="6"/>
      <c r="AG42" s="6"/>
      <c r="AH42" s="5">
        <v>1</v>
      </c>
      <c r="AI42" s="6"/>
      <c r="AJ42" s="5">
        <v>1</v>
      </c>
      <c r="AK42" s="5">
        <v>1</v>
      </c>
      <c r="AL42" s="6"/>
      <c r="AM42" s="5">
        <v>1</v>
      </c>
    </row>
    <row r="43" spans="1:39" s="7" customFormat="1" x14ac:dyDescent="0.25">
      <c r="A43" s="5">
        <v>36</v>
      </c>
      <c r="B43" s="6"/>
      <c r="C43" s="6"/>
      <c r="D43" s="6"/>
      <c r="E43" s="6"/>
      <c r="F43" s="6"/>
      <c r="G43" s="6"/>
      <c r="H43" s="5">
        <v>1</v>
      </c>
      <c r="I43" s="6"/>
      <c r="J43" s="6"/>
      <c r="K43" s="6"/>
      <c r="L43" s="6"/>
      <c r="M43" s="6"/>
      <c r="N43" s="5">
        <v>1</v>
      </c>
      <c r="O43" s="6"/>
      <c r="P43" s="5">
        <v>1</v>
      </c>
      <c r="Q43" s="6"/>
      <c r="R43" s="6"/>
      <c r="S43" s="5">
        <v>1</v>
      </c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5">
        <v>1</v>
      </c>
      <c r="AF43" s="6"/>
      <c r="AG43" s="5">
        <v>1</v>
      </c>
      <c r="AH43" s="5">
        <v>1</v>
      </c>
      <c r="AI43" s="6"/>
      <c r="AJ43" s="5">
        <v>1</v>
      </c>
      <c r="AK43" s="6"/>
      <c r="AL43" s="6"/>
      <c r="AM43" s="6"/>
    </row>
    <row r="44" spans="1:39" s="7" customFormat="1" x14ac:dyDescent="0.25">
      <c r="A44" s="5">
        <v>37</v>
      </c>
      <c r="B44" s="5">
        <v>1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5">
        <v>1</v>
      </c>
      <c r="AG44" s="6"/>
      <c r="AH44" s="6"/>
      <c r="AI44" s="6"/>
      <c r="AJ44" s="6"/>
      <c r="AK44" s="6"/>
      <c r="AL44" s="6"/>
      <c r="AM44" s="6"/>
    </row>
    <row r="45" spans="1:39" s="7" customFormat="1" x14ac:dyDescent="0.25">
      <c r="A45" s="5">
        <v>37</v>
      </c>
      <c r="B45" s="6"/>
      <c r="C45" s="6"/>
      <c r="D45" s="6"/>
      <c r="E45" s="6"/>
      <c r="F45" s="5">
        <v>1</v>
      </c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</row>
    <row r="46" spans="1:39" s="7" customFormat="1" x14ac:dyDescent="0.25">
      <c r="A46" s="5">
        <v>37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5">
        <v>1</v>
      </c>
      <c r="O46" s="6"/>
      <c r="P46" s="5">
        <v>1</v>
      </c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5">
        <v>1</v>
      </c>
      <c r="AH46" s="5">
        <v>1</v>
      </c>
      <c r="AI46" s="6"/>
      <c r="AJ46" s="6"/>
      <c r="AK46" s="6"/>
      <c r="AL46" s="6"/>
      <c r="AM46" s="6"/>
    </row>
    <row r="47" spans="1:39" s="7" customFormat="1" x14ac:dyDescent="0.25">
      <c r="A47" s="5">
        <v>37</v>
      </c>
      <c r="B47" s="6"/>
      <c r="C47" s="6"/>
      <c r="D47" s="6"/>
      <c r="E47" s="6"/>
      <c r="F47" s="6"/>
      <c r="G47" s="6"/>
      <c r="H47" s="5">
        <v>1</v>
      </c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5">
        <v>1</v>
      </c>
      <c r="AB47" s="6"/>
      <c r="AC47" s="6"/>
      <c r="AD47" s="6"/>
      <c r="AE47" s="5">
        <v>1</v>
      </c>
      <c r="AF47" s="6"/>
      <c r="AG47" s="6"/>
      <c r="AH47" s="6"/>
      <c r="AI47" s="6"/>
      <c r="AJ47" s="6"/>
      <c r="AK47" s="6"/>
      <c r="AL47" s="6"/>
      <c r="AM47" s="6"/>
    </row>
    <row r="48" spans="1:39" s="7" customFormat="1" x14ac:dyDescent="0.25">
      <c r="A48" s="5">
        <v>37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5">
        <v>1</v>
      </c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5">
        <v>1</v>
      </c>
      <c r="AK48" s="6"/>
      <c r="AL48" s="6"/>
      <c r="AM48" s="6"/>
    </row>
    <row r="49" spans="1:39" s="7" customFormat="1" x14ac:dyDescent="0.25">
      <c r="A49" s="5">
        <v>38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5">
        <v>1</v>
      </c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5">
        <v>1</v>
      </c>
      <c r="AH49" s="6"/>
      <c r="AI49" s="6"/>
      <c r="AJ49" s="6"/>
      <c r="AK49" s="6"/>
      <c r="AL49" s="6"/>
      <c r="AM49" s="6"/>
    </row>
    <row r="50" spans="1:39" s="7" customFormat="1" x14ac:dyDescent="0.25">
      <c r="A50" s="5">
        <v>38</v>
      </c>
      <c r="B50" s="6"/>
      <c r="C50" s="6"/>
      <c r="D50" s="6"/>
      <c r="E50" s="6"/>
      <c r="F50" s="6"/>
      <c r="G50" s="6"/>
      <c r="H50" s="5">
        <v>1</v>
      </c>
      <c r="I50" s="6"/>
      <c r="J50" s="6"/>
      <c r="K50" s="6"/>
      <c r="L50" s="6"/>
      <c r="M50" s="6"/>
      <c r="N50" s="6"/>
      <c r="O50" s="6"/>
      <c r="P50" s="5">
        <v>1</v>
      </c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5">
        <v>1</v>
      </c>
      <c r="AF50" s="6"/>
      <c r="AG50" s="6"/>
      <c r="AH50" s="5">
        <v>1</v>
      </c>
      <c r="AI50" s="6"/>
      <c r="AJ50" s="6"/>
      <c r="AK50" s="6"/>
      <c r="AL50" s="6"/>
      <c r="AM50" s="6"/>
    </row>
    <row r="51" spans="1:39" s="7" customFormat="1" x14ac:dyDescent="0.25">
      <c r="A51" s="5">
        <v>38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5">
        <v>1</v>
      </c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5">
        <v>1</v>
      </c>
      <c r="AK51" s="6"/>
      <c r="AL51" s="6"/>
      <c r="AM51" s="6"/>
    </row>
    <row r="52" spans="1:39" s="7" customFormat="1" x14ac:dyDescent="0.25">
      <c r="A52" s="5">
        <v>38</v>
      </c>
      <c r="B52" s="6"/>
      <c r="C52" s="6"/>
      <c r="D52" s="6"/>
      <c r="E52" s="5">
        <v>1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</row>
    <row r="53" spans="1:39" s="7" customFormat="1" x14ac:dyDescent="0.25">
      <c r="A53" s="5">
        <v>38</v>
      </c>
      <c r="B53" s="6"/>
      <c r="C53" s="6"/>
      <c r="D53" s="6"/>
      <c r="E53" s="6"/>
      <c r="F53" s="6"/>
      <c r="G53" s="6"/>
      <c r="H53" s="6"/>
      <c r="I53" s="5">
        <v>1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5">
        <v>1</v>
      </c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</row>
    <row r="54" spans="1:39" s="7" customFormat="1" x14ac:dyDescent="0.25">
      <c r="A54" s="5">
        <v>38</v>
      </c>
      <c r="B54" s="6"/>
      <c r="C54" s="6"/>
      <c r="D54" s="6"/>
      <c r="E54" s="6"/>
      <c r="F54" s="6"/>
      <c r="G54" s="6"/>
      <c r="H54" s="6"/>
      <c r="I54" s="6"/>
      <c r="J54" s="5">
        <v>1</v>
      </c>
      <c r="K54" s="6"/>
      <c r="L54" s="6"/>
      <c r="M54" s="6"/>
      <c r="N54" s="6"/>
      <c r="O54" s="5">
        <v>1</v>
      </c>
      <c r="P54" s="6"/>
      <c r="Q54" s="6"/>
      <c r="R54" s="5">
        <v>1</v>
      </c>
      <c r="S54" s="6"/>
      <c r="T54" s="6"/>
      <c r="U54" s="6"/>
      <c r="V54" s="6"/>
      <c r="W54" s="6"/>
      <c r="X54" s="6"/>
      <c r="Y54" s="6"/>
      <c r="Z54" s="6"/>
      <c r="AA54" s="6"/>
      <c r="AB54" s="5">
        <v>1</v>
      </c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</row>
    <row r="55" spans="1:39" s="7" customFormat="1" x14ac:dyDescent="0.25">
      <c r="A55" s="5">
        <v>39</v>
      </c>
      <c r="B55" s="5">
        <v>1</v>
      </c>
      <c r="C55" s="5">
        <v>1</v>
      </c>
      <c r="D55" s="5">
        <v>1</v>
      </c>
      <c r="E55" s="5">
        <v>1</v>
      </c>
      <c r="F55" s="5">
        <v>1</v>
      </c>
      <c r="G55" s="5">
        <v>1</v>
      </c>
      <c r="H55" s="5">
        <v>1</v>
      </c>
      <c r="I55" s="5">
        <v>1</v>
      </c>
      <c r="J55" s="5">
        <v>1</v>
      </c>
      <c r="K55" s="5">
        <v>1</v>
      </c>
      <c r="L55" s="5">
        <v>1</v>
      </c>
      <c r="M55" s="5">
        <v>1</v>
      </c>
      <c r="N55" s="5">
        <v>1</v>
      </c>
      <c r="O55" s="5">
        <v>1</v>
      </c>
      <c r="P55" s="5">
        <v>1</v>
      </c>
      <c r="Q55" s="5">
        <v>1</v>
      </c>
      <c r="R55" s="5">
        <v>1</v>
      </c>
      <c r="S55" s="5">
        <v>1</v>
      </c>
      <c r="T55" s="5">
        <v>1</v>
      </c>
      <c r="U55" s="5">
        <v>1</v>
      </c>
      <c r="V55" s="5">
        <v>1</v>
      </c>
      <c r="W55" s="5">
        <v>1</v>
      </c>
      <c r="X55" s="5">
        <v>1</v>
      </c>
      <c r="Y55" s="5">
        <v>1</v>
      </c>
      <c r="Z55" s="5">
        <v>1</v>
      </c>
      <c r="AA55" s="5">
        <v>1</v>
      </c>
      <c r="AB55" s="5">
        <v>1</v>
      </c>
      <c r="AC55" s="5">
        <v>1</v>
      </c>
      <c r="AD55" s="5">
        <v>1</v>
      </c>
      <c r="AE55" s="5">
        <v>1</v>
      </c>
      <c r="AF55" s="5">
        <v>1</v>
      </c>
      <c r="AG55" s="5">
        <v>1</v>
      </c>
      <c r="AH55" s="5">
        <v>1</v>
      </c>
      <c r="AI55" s="5">
        <v>1</v>
      </c>
      <c r="AJ55" s="5">
        <v>1</v>
      </c>
      <c r="AK55" s="5">
        <v>1</v>
      </c>
      <c r="AL55" s="5">
        <v>1</v>
      </c>
      <c r="AM55" s="5">
        <v>1</v>
      </c>
    </row>
    <row r="56" spans="1:39" s="7" customFormat="1" x14ac:dyDescent="0.25">
      <c r="A56" s="5">
        <v>40</v>
      </c>
      <c r="B56" s="6"/>
      <c r="C56" s="5">
        <v>1</v>
      </c>
      <c r="D56" s="6"/>
      <c r="E56" s="6"/>
      <c r="F56" s="5">
        <v>1</v>
      </c>
      <c r="G56" s="5">
        <v>1</v>
      </c>
      <c r="H56" s="5">
        <v>1</v>
      </c>
      <c r="I56" s="5">
        <v>1</v>
      </c>
      <c r="J56" s="5">
        <v>1</v>
      </c>
      <c r="K56" s="5">
        <v>1</v>
      </c>
      <c r="L56" s="5">
        <v>1</v>
      </c>
      <c r="M56" s="5">
        <v>1</v>
      </c>
      <c r="N56" s="6"/>
      <c r="O56" s="5">
        <v>1</v>
      </c>
      <c r="P56" s="5">
        <v>1</v>
      </c>
      <c r="Q56" s="5">
        <v>1</v>
      </c>
      <c r="R56" s="5">
        <v>1</v>
      </c>
      <c r="S56" s="5">
        <v>1</v>
      </c>
      <c r="T56" s="5">
        <v>1</v>
      </c>
      <c r="U56" s="6"/>
      <c r="V56" s="5">
        <v>1</v>
      </c>
      <c r="W56" s="5">
        <v>1</v>
      </c>
      <c r="X56" s="5">
        <v>1</v>
      </c>
      <c r="Y56" s="6"/>
      <c r="Z56" s="5">
        <v>1</v>
      </c>
      <c r="AA56" s="5">
        <v>1</v>
      </c>
      <c r="AB56" s="5">
        <v>1</v>
      </c>
      <c r="AC56" s="5">
        <v>1</v>
      </c>
      <c r="AD56" s="5">
        <v>1</v>
      </c>
      <c r="AE56" s="5">
        <v>1</v>
      </c>
      <c r="AF56" s="5">
        <v>1</v>
      </c>
      <c r="AG56" s="6"/>
      <c r="AH56" s="5">
        <v>1</v>
      </c>
      <c r="AI56" s="5">
        <v>1</v>
      </c>
      <c r="AJ56" s="5">
        <v>1</v>
      </c>
      <c r="AK56" s="5">
        <v>1</v>
      </c>
      <c r="AL56" s="6"/>
      <c r="AM56" s="5">
        <v>1</v>
      </c>
    </row>
    <row r="57" spans="1:39" s="7" customFormat="1" x14ac:dyDescent="0.25">
      <c r="A57" s="5">
        <v>41</v>
      </c>
      <c r="B57" s="6"/>
      <c r="C57" s="5">
        <v>1</v>
      </c>
      <c r="D57" s="6"/>
      <c r="E57" s="6"/>
      <c r="F57" s="5">
        <v>1</v>
      </c>
      <c r="G57" s="5">
        <v>1</v>
      </c>
      <c r="H57" s="5">
        <v>1</v>
      </c>
      <c r="I57" s="5">
        <v>1</v>
      </c>
      <c r="J57" s="5">
        <v>1</v>
      </c>
      <c r="K57" s="5">
        <v>1</v>
      </c>
      <c r="L57" s="5">
        <v>1</v>
      </c>
      <c r="M57" s="5">
        <v>1</v>
      </c>
      <c r="N57" s="6"/>
      <c r="O57" s="5">
        <v>1</v>
      </c>
      <c r="P57" s="5">
        <v>1</v>
      </c>
      <c r="Q57" s="5">
        <v>1</v>
      </c>
      <c r="R57" s="5">
        <v>1</v>
      </c>
      <c r="S57" s="5">
        <v>1</v>
      </c>
      <c r="T57" s="5">
        <v>1</v>
      </c>
      <c r="U57" s="6"/>
      <c r="V57" s="5">
        <v>1</v>
      </c>
      <c r="W57" s="5">
        <v>1</v>
      </c>
      <c r="X57" s="5">
        <v>1</v>
      </c>
      <c r="Y57" s="6"/>
      <c r="Z57" s="5">
        <v>1</v>
      </c>
      <c r="AA57" s="5">
        <v>1</v>
      </c>
      <c r="AB57" s="5">
        <v>1</v>
      </c>
      <c r="AC57" s="5">
        <v>1</v>
      </c>
      <c r="AD57" s="5">
        <v>1</v>
      </c>
      <c r="AE57" s="5">
        <v>1</v>
      </c>
      <c r="AF57" s="5">
        <v>1</v>
      </c>
      <c r="AG57" s="6"/>
      <c r="AH57" s="5">
        <v>1</v>
      </c>
      <c r="AI57" s="5">
        <v>1</v>
      </c>
      <c r="AJ57" s="5">
        <v>1</v>
      </c>
      <c r="AK57" s="5">
        <v>1</v>
      </c>
      <c r="AL57" s="6"/>
      <c r="AM57" s="5">
        <v>1</v>
      </c>
    </row>
    <row r="58" spans="1:39" s="7" customFormat="1" x14ac:dyDescent="0.25">
      <c r="A58" s="5">
        <v>42</v>
      </c>
      <c r="B58" s="5">
        <v>1</v>
      </c>
      <c r="C58" s="5">
        <v>1</v>
      </c>
      <c r="D58" s="5">
        <v>1</v>
      </c>
      <c r="E58" s="5">
        <v>1</v>
      </c>
      <c r="F58" s="5">
        <v>1</v>
      </c>
      <c r="G58" s="5">
        <v>1</v>
      </c>
      <c r="H58" s="5">
        <v>1</v>
      </c>
      <c r="I58" s="6"/>
      <c r="J58" s="6"/>
      <c r="K58" s="5">
        <v>1</v>
      </c>
      <c r="L58" s="6"/>
      <c r="M58" s="6"/>
      <c r="N58" s="5">
        <v>1</v>
      </c>
      <c r="O58" s="6"/>
      <c r="P58" s="6"/>
      <c r="Q58" s="5">
        <v>1</v>
      </c>
      <c r="R58" s="5">
        <v>1</v>
      </c>
      <c r="S58" s="5">
        <v>1</v>
      </c>
      <c r="T58" s="5">
        <v>1</v>
      </c>
      <c r="U58" s="5">
        <v>1</v>
      </c>
      <c r="V58" s="6"/>
      <c r="W58" s="5">
        <v>1</v>
      </c>
      <c r="X58" s="6"/>
      <c r="Y58" s="5">
        <v>1</v>
      </c>
      <c r="Z58" s="6"/>
      <c r="AA58" s="5">
        <v>1</v>
      </c>
      <c r="AB58" s="5">
        <v>1</v>
      </c>
      <c r="AC58" s="6"/>
      <c r="AD58" s="5">
        <v>1</v>
      </c>
      <c r="AE58" s="5">
        <v>1</v>
      </c>
      <c r="AF58" s="6"/>
      <c r="AG58" s="5">
        <v>1</v>
      </c>
      <c r="AH58" s="6"/>
      <c r="AI58" s="5">
        <v>1</v>
      </c>
      <c r="AJ58" s="5">
        <v>1</v>
      </c>
      <c r="AK58" s="5">
        <v>1</v>
      </c>
      <c r="AL58" s="5">
        <v>1</v>
      </c>
      <c r="AM58" s="5">
        <v>1</v>
      </c>
    </row>
    <row r="59" spans="1:39" s="7" customFormat="1" x14ac:dyDescent="0.25">
      <c r="A59" s="5">
        <v>43</v>
      </c>
      <c r="B59" s="6"/>
      <c r="C59" s="6"/>
      <c r="D59" s="6"/>
      <c r="E59" s="6"/>
      <c r="F59" s="6"/>
      <c r="G59" s="6"/>
      <c r="H59" s="6"/>
      <c r="I59" s="5">
        <v>1</v>
      </c>
      <c r="J59" s="5">
        <v>1</v>
      </c>
      <c r="K59" s="6"/>
      <c r="L59" s="5">
        <v>1</v>
      </c>
      <c r="M59" s="5">
        <v>1</v>
      </c>
      <c r="N59" s="6"/>
      <c r="O59" s="5">
        <v>1</v>
      </c>
      <c r="P59" s="5">
        <v>1</v>
      </c>
      <c r="Q59" s="6"/>
      <c r="R59" s="6"/>
      <c r="S59" s="6"/>
      <c r="T59" s="6"/>
      <c r="U59" s="6"/>
      <c r="V59" s="5">
        <v>1</v>
      </c>
      <c r="W59" s="6"/>
      <c r="X59" s="5">
        <v>1</v>
      </c>
      <c r="Y59" s="6"/>
      <c r="Z59" s="5">
        <v>1</v>
      </c>
      <c r="AA59" s="6"/>
      <c r="AB59" s="6"/>
      <c r="AC59" s="5">
        <v>1</v>
      </c>
      <c r="AD59" s="6"/>
      <c r="AE59" s="6"/>
      <c r="AF59" s="5">
        <v>1</v>
      </c>
      <c r="AG59" s="6"/>
      <c r="AH59" s="5">
        <v>1</v>
      </c>
      <c r="AI59" s="6"/>
      <c r="AJ59" s="6"/>
      <c r="AK59" s="6"/>
      <c r="AL59" s="6"/>
      <c r="AM59" s="6"/>
    </row>
    <row r="60" spans="1:39" s="7" customFormat="1" x14ac:dyDescent="0.25">
      <c r="A60" s="5">
        <v>44</v>
      </c>
      <c r="B60" s="6"/>
      <c r="C60" s="6"/>
      <c r="D60" s="6"/>
      <c r="E60" s="6"/>
      <c r="F60" s="6"/>
      <c r="G60" s="6"/>
      <c r="H60" s="6"/>
      <c r="I60" s="5">
        <v>1</v>
      </c>
      <c r="J60" s="5">
        <v>1</v>
      </c>
      <c r="K60" s="6"/>
      <c r="L60" s="5">
        <v>1</v>
      </c>
      <c r="M60" s="5">
        <v>1</v>
      </c>
      <c r="N60" s="6"/>
      <c r="O60" s="5">
        <v>1</v>
      </c>
      <c r="P60" s="5">
        <v>1</v>
      </c>
      <c r="Q60" s="6"/>
      <c r="R60" s="6"/>
      <c r="S60" s="6"/>
      <c r="T60" s="6"/>
      <c r="U60" s="6"/>
      <c r="V60" s="5">
        <v>1</v>
      </c>
      <c r="W60" s="6"/>
      <c r="X60" s="5">
        <v>1</v>
      </c>
      <c r="Y60" s="6"/>
      <c r="Z60" s="5">
        <v>1</v>
      </c>
      <c r="AA60" s="6"/>
      <c r="AB60" s="6"/>
      <c r="AC60" s="5">
        <v>1</v>
      </c>
      <c r="AD60" s="6"/>
      <c r="AE60" s="6"/>
      <c r="AF60" s="5">
        <v>1</v>
      </c>
      <c r="AG60" s="6"/>
      <c r="AH60" s="5">
        <v>1</v>
      </c>
      <c r="AI60" s="6"/>
      <c r="AJ60" s="6"/>
      <c r="AK60" s="6"/>
      <c r="AL60" s="6"/>
      <c r="AM60" s="6"/>
    </row>
    <row r="61" spans="1:39" s="7" customFormat="1" x14ac:dyDescent="0.25">
      <c r="A61" s="5">
        <v>45</v>
      </c>
      <c r="B61" s="6"/>
      <c r="C61" s="6"/>
      <c r="D61" s="6"/>
      <c r="E61" s="6"/>
      <c r="F61" s="6"/>
      <c r="G61" s="6"/>
      <c r="H61" s="6"/>
      <c r="I61" s="5">
        <v>1</v>
      </c>
      <c r="J61" s="5">
        <v>1</v>
      </c>
      <c r="K61" s="6"/>
      <c r="L61" s="5">
        <v>1</v>
      </c>
      <c r="M61" s="5">
        <v>1</v>
      </c>
      <c r="N61" s="6"/>
      <c r="O61" s="5">
        <v>1</v>
      </c>
      <c r="P61" s="5">
        <v>1</v>
      </c>
      <c r="Q61" s="6"/>
      <c r="R61" s="6"/>
      <c r="S61" s="6"/>
      <c r="T61" s="6"/>
      <c r="U61" s="6"/>
      <c r="V61" s="5">
        <v>1</v>
      </c>
      <c r="W61" s="6"/>
      <c r="X61" s="5">
        <v>1</v>
      </c>
      <c r="Y61" s="6"/>
      <c r="Z61" s="5">
        <v>1</v>
      </c>
      <c r="AA61" s="6"/>
      <c r="AB61" s="6"/>
      <c r="AC61" s="5">
        <v>1</v>
      </c>
      <c r="AD61" s="6"/>
      <c r="AE61" s="6"/>
      <c r="AF61" s="5">
        <v>1</v>
      </c>
      <c r="AG61" s="6"/>
      <c r="AH61" s="5">
        <v>1</v>
      </c>
      <c r="AI61" s="6"/>
      <c r="AJ61" s="6"/>
      <c r="AK61" s="6"/>
      <c r="AL61" s="6"/>
      <c r="AM61" s="6"/>
    </row>
    <row r="62" spans="1:39" s="7" customFormat="1" x14ac:dyDescent="0.25">
      <c r="A62" s="5">
        <v>46</v>
      </c>
      <c r="B62" s="6"/>
      <c r="C62" s="6"/>
      <c r="D62" s="6"/>
      <c r="E62" s="6"/>
      <c r="F62" s="6"/>
      <c r="G62" s="6"/>
      <c r="H62" s="6"/>
      <c r="I62" s="5">
        <v>1</v>
      </c>
      <c r="J62" s="5">
        <v>1</v>
      </c>
      <c r="K62" s="6"/>
      <c r="L62" s="5">
        <v>1</v>
      </c>
      <c r="M62" s="5">
        <v>1</v>
      </c>
      <c r="N62" s="6"/>
      <c r="O62" s="5">
        <v>1</v>
      </c>
      <c r="P62" s="5">
        <v>1</v>
      </c>
      <c r="Q62" s="6"/>
      <c r="R62" s="6"/>
      <c r="S62" s="6"/>
      <c r="T62" s="6"/>
      <c r="U62" s="6"/>
      <c r="V62" s="5">
        <v>1</v>
      </c>
      <c r="W62" s="6"/>
      <c r="X62" s="5">
        <v>1</v>
      </c>
      <c r="Y62" s="6"/>
      <c r="Z62" s="5">
        <v>1</v>
      </c>
      <c r="AA62" s="6"/>
      <c r="AB62" s="6"/>
      <c r="AC62" s="5">
        <v>1</v>
      </c>
      <c r="AD62" s="6"/>
      <c r="AE62" s="6"/>
      <c r="AF62" s="5">
        <v>1</v>
      </c>
      <c r="AG62" s="6"/>
      <c r="AH62" s="5">
        <v>1</v>
      </c>
      <c r="AI62" s="6"/>
      <c r="AJ62" s="6"/>
      <c r="AK62" s="6"/>
      <c r="AL62" s="6"/>
      <c r="AM62" s="6"/>
    </row>
    <row r="63" spans="1:39" s="7" customFormat="1" x14ac:dyDescent="0.25">
      <c r="A63" s="5">
        <v>47</v>
      </c>
      <c r="B63" s="6"/>
      <c r="C63" s="6"/>
      <c r="D63" s="6"/>
      <c r="E63" s="6"/>
      <c r="F63" s="6"/>
      <c r="G63" s="6"/>
      <c r="H63" s="6"/>
      <c r="I63" s="5">
        <v>1</v>
      </c>
      <c r="J63" s="5">
        <v>1</v>
      </c>
      <c r="K63" s="6"/>
      <c r="L63" s="5">
        <v>1</v>
      </c>
      <c r="M63" s="5">
        <v>1</v>
      </c>
      <c r="N63" s="6"/>
      <c r="O63" s="5">
        <v>1</v>
      </c>
      <c r="P63" s="5">
        <v>1</v>
      </c>
      <c r="Q63" s="6"/>
      <c r="R63" s="6"/>
      <c r="S63" s="6"/>
      <c r="T63" s="6"/>
      <c r="U63" s="6"/>
      <c r="V63" s="5">
        <v>1</v>
      </c>
      <c r="W63" s="6"/>
      <c r="X63" s="5">
        <v>1</v>
      </c>
      <c r="Y63" s="6"/>
      <c r="Z63" s="5">
        <v>1</v>
      </c>
      <c r="AA63" s="6"/>
      <c r="AB63" s="6"/>
      <c r="AC63" s="5">
        <v>1</v>
      </c>
      <c r="AD63" s="6"/>
      <c r="AE63" s="6"/>
      <c r="AF63" s="5">
        <v>1</v>
      </c>
      <c r="AG63" s="6"/>
      <c r="AH63" s="5">
        <v>1</v>
      </c>
      <c r="AI63" s="6"/>
      <c r="AJ63" s="6"/>
      <c r="AK63" s="6"/>
      <c r="AL63" s="6"/>
      <c r="AM63" s="6"/>
    </row>
    <row r="64" spans="1:39" s="7" customFormat="1" x14ac:dyDescent="0.25">
      <c r="A64" s="5">
        <v>48</v>
      </c>
      <c r="B64" s="6"/>
      <c r="C64" s="6"/>
      <c r="D64" s="6"/>
      <c r="E64" s="6"/>
      <c r="F64" s="6"/>
      <c r="G64" s="6"/>
      <c r="H64" s="6"/>
      <c r="I64" s="5">
        <v>1</v>
      </c>
      <c r="J64" s="5">
        <v>1</v>
      </c>
      <c r="K64" s="6"/>
      <c r="L64" s="5">
        <v>1</v>
      </c>
      <c r="M64" s="5">
        <v>1</v>
      </c>
      <c r="N64" s="6"/>
      <c r="O64" s="5">
        <v>1</v>
      </c>
      <c r="P64" s="5">
        <v>1</v>
      </c>
      <c r="Q64" s="6"/>
      <c r="R64" s="6"/>
      <c r="S64" s="6"/>
      <c r="T64" s="6"/>
      <c r="U64" s="6"/>
      <c r="V64" s="5">
        <v>1</v>
      </c>
      <c r="W64" s="6"/>
      <c r="X64" s="5">
        <v>1</v>
      </c>
      <c r="Y64" s="6"/>
      <c r="Z64" s="5">
        <v>1</v>
      </c>
      <c r="AA64" s="6"/>
      <c r="AB64" s="6"/>
      <c r="AC64" s="5">
        <v>1</v>
      </c>
      <c r="AD64" s="6"/>
      <c r="AE64" s="6"/>
      <c r="AF64" s="5">
        <v>1</v>
      </c>
      <c r="AG64" s="6"/>
      <c r="AH64" s="5">
        <v>1</v>
      </c>
      <c r="AI64" s="6"/>
      <c r="AJ64" s="6"/>
      <c r="AK64" s="6"/>
      <c r="AL64" s="6"/>
      <c r="AM64" s="6"/>
    </row>
    <row r="65" spans="1:39" s="7" customFormat="1" x14ac:dyDescent="0.25">
      <c r="A65" s="5">
        <v>49</v>
      </c>
      <c r="B65" s="5">
        <v>1</v>
      </c>
      <c r="C65" s="5">
        <v>1</v>
      </c>
      <c r="D65" s="5">
        <v>1</v>
      </c>
      <c r="E65" s="5">
        <v>1</v>
      </c>
      <c r="F65" s="5">
        <v>1</v>
      </c>
      <c r="G65" s="5">
        <v>1</v>
      </c>
      <c r="H65" s="5">
        <v>1</v>
      </c>
      <c r="I65" s="5">
        <v>1</v>
      </c>
      <c r="J65" s="5">
        <v>1</v>
      </c>
      <c r="K65" s="5">
        <v>1</v>
      </c>
      <c r="L65" s="5">
        <v>1</v>
      </c>
      <c r="M65" s="5">
        <v>1</v>
      </c>
      <c r="N65" s="5">
        <v>1</v>
      </c>
      <c r="O65" s="5">
        <v>1</v>
      </c>
      <c r="P65" s="5">
        <v>1</v>
      </c>
      <c r="Q65" s="5">
        <v>1</v>
      </c>
      <c r="R65" s="5">
        <v>1</v>
      </c>
      <c r="S65" s="5">
        <v>1</v>
      </c>
      <c r="T65" s="5">
        <v>1</v>
      </c>
      <c r="U65" s="5">
        <v>1</v>
      </c>
      <c r="V65" s="5">
        <v>1</v>
      </c>
      <c r="W65" s="5">
        <v>1</v>
      </c>
      <c r="X65" s="5">
        <v>1</v>
      </c>
      <c r="Y65" s="5">
        <v>1</v>
      </c>
      <c r="Z65" s="5">
        <v>1</v>
      </c>
      <c r="AA65" s="5">
        <v>1</v>
      </c>
      <c r="AB65" s="5">
        <v>1</v>
      </c>
      <c r="AC65" s="5">
        <v>1</v>
      </c>
      <c r="AD65" s="5">
        <v>1</v>
      </c>
      <c r="AE65" s="5">
        <v>1</v>
      </c>
      <c r="AF65" s="5">
        <v>1</v>
      </c>
      <c r="AG65" s="5">
        <v>1</v>
      </c>
      <c r="AH65" s="5">
        <v>1</v>
      </c>
      <c r="AI65" s="5">
        <v>1</v>
      </c>
      <c r="AJ65" s="5">
        <v>1</v>
      </c>
      <c r="AK65" s="5">
        <v>1</v>
      </c>
      <c r="AL65" s="5">
        <v>1</v>
      </c>
      <c r="AM65" s="5">
        <v>1</v>
      </c>
    </row>
    <row r="66" spans="1:39" s="7" customFormat="1" x14ac:dyDescent="0.25">
      <c r="A66" s="5">
        <v>51</v>
      </c>
      <c r="B66" s="5">
        <v>1</v>
      </c>
      <c r="C66" s="5">
        <v>1</v>
      </c>
      <c r="D66" s="5">
        <v>1</v>
      </c>
      <c r="E66" s="5">
        <v>1</v>
      </c>
      <c r="F66" s="5">
        <v>1</v>
      </c>
      <c r="G66" s="5">
        <v>1</v>
      </c>
      <c r="H66" s="5">
        <v>1</v>
      </c>
      <c r="I66" s="5">
        <v>1</v>
      </c>
      <c r="J66" s="5">
        <v>1</v>
      </c>
      <c r="K66" s="5">
        <v>1</v>
      </c>
      <c r="L66" s="5">
        <v>1</v>
      </c>
      <c r="M66" s="5">
        <v>1</v>
      </c>
      <c r="N66" s="6"/>
      <c r="O66" s="5">
        <v>1</v>
      </c>
      <c r="P66" s="6"/>
      <c r="Q66" s="5">
        <v>1</v>
      </c>
      <c r="R66" s="5">
        <v>1</v>
      </c>
      <c r="S66" s="5">
        <v>1</v>
      </c>
      <c r="T66" s="5">
        <v>1</v>
      </c>
      <c r="U66" s="5">
        <v>1</v>
      </c>
      <c r="V66" s="5">
        <v>1</v>
      </c>
      <c r="W66" s="5">
        <v>1</v>
      </c>
      <c r="X66" s="5">
        <v>1</v>
      </c>
      <c r="Y66" s="5">
        <v>1</v>
      </c>
      <c r="Z66" s="5">
        <v>1</v>
      </c>
      <c r="AA66" s="5">
        <v>1</v>
      </c>
      <c r="AB66" s="5">
        <v>1</v>
      </c>
      <c r="AC66" s="5">
        <v>1</v>
      </c>
      <c r="AD66" s="5">
        <v>1</v>
      </c>
      <c r="AE66" s="6"/>
      <c r="AF66" s="5">
        <v>1</v>
      </c>
      <c r="AG66" s="5">
        <v>1</v>
      </c>
      <c r="AH66" s="5">
        <v>1</v>
      </c>
      <c r="AI66" s="5">
        <v>1</v>
      </c>
      <c r="AJ66" s="6"/>
      <c r="AK66" s="5">
        <v>1</v>
      </c>
      <c r="AL66" s="5">
        <v>1</v>
      </c>
      <c r="AM66" s="5">
        <v>1</v>
      </c>
    </row>
    <row r="67" spans="1:39" s="7" customFormat="1" x14ac:dyDescent="0.25">
      <c r="A67" s="5">
        <v>56</v>
      </c>
      <c r="B67" s="5">
        <v>1</v>
      </c>
      <c r="C67" s="5">
        <v>1</v>
      </c>
      <c r="D67" s="5">
        <v>1</v>
      </c>
      <c r="E67" s="5">
        <v>1</v>
      </c>
      <c r="F67" s="5">
        <v>1</v>
      </c>
      <c r="G67" s="5">
        <v>1</v>
      </c>
      <c r="H67" s="5">
        <v>1</v>
      </c>
      <c r="I67" s="5">
        <v>1</v>
      </c>
      <c r="J67" s="5">
        <v>1</v>
      </c>
      <c r="K67" s="5">
        <v>1</v>
      </c>
      <c r="L67" s="5">
        <v>1</v>
      </c>
      <c r="M67" s="5">
        <v>1</v>
      </c>
      <c r="N67" s="6"/>
      <c r="O67" s="5">
        <v>1</v>
      </c>
      <c r="P67" s="6"/>
      <c r="Q67" s="5">
        <v>1</v>
      </c>
      <c r="R67" s="5">
        <v>1</v>
      </c>
      <c r="S67" s="5">
        <v>1</v>
      </c>
      <c r="T67" s="5">
        <v>1</v>
      </c>
      <c r="U67" s="5">
        <v>1</v>
      </c>
      <c r="V67" s="5">
        <v>1</v>
      </c>
      <c r="W67" s="5">
        <v>1</v>
      </c>
      <c r="X67" s="5">
        <v>1</v>
      </c>
      <c r="Y67" s="5">
        <v>1</v>
      </c>
      <c r="Z67" s="5">
        <v>1</v>
      </c>
      <c r="AA67" s="5">
        <v>1</v>
      </c>
      <c r="AB67" s="5">
        <v>1</v>
      </c>
      <c r="AC67" s="5">
        <v>1</v>
      </c>
      <c r="AD67" s="5">
        <v>1</v>
      </c>
      <c r="AE67" s="6"/>
      <c r="AF67" s="5">
        <v>1</v>
      </c>
      <c r="AG67" s="5">
        <v>1</v>
      </c>
      <c r="AH67" s="5">
        <v>1</v>
      </c>
      <c r="AI67" s="5">
        <v>1</v>
      </c>
      <c r="AJ67" s="6"/>
      <c r="AK67" s="5">
        <v>1</v>
      </c>
      <c r="AL67" s="5">
        <v>1</v>
      </c>
      <c r="AM67" s="5">
        <v>1</v>
      </c>
    </row>
    <row r="68" spans="1:39" s="7" customFormat="1" x14ac:dyDescent="0.25">
      <c r="A68" s="5">
        <v>57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5">
        <v>1</v>
      </c>
      <c r="O68" s="6"/>
      <c r="P68" s="5">
        <v>1</v>
      </c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5">
        <v>1</v>
      </c>
      <c r="AF68" s="6"/>
      <c r="AG68" s="6"/>
      <c r="AH68" s="6"/>
      <c r="AI68" s="6"/>
      <c r="AJ68" s="5">
        <v>1</v>
      </c>
      <c r="AK68" s="6"/>
      <c r="AL68" s="6"/>
      <c r="AM68" s="6"/>
    </row>
    <row r="69" spans="1:39" s="7" customFormat="1" x14ac:dyDescent="0.25">
      <c r="A69" s="5">
        <v>58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5">
        <v>1</v>
      </c>
      <c r="O69" s="6"/>
      <c r="P69" s="5">
        <v>1</v>
      </c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5">
        <v>1</v>
      </c>
      <c r="AF69" s="6"/>
      <c r="AG69" s="6"/>
      <c r="AH69" s="6"/>
      <c r="AI69" s="6"/>
      <c r="AJ69" s="5">
        <v>1</v>
      </c>
      <c r="AK69" s="6"/>
      <c r="AL69" s="6"/>
      <c r="AM69" s="6"/>
    </row>
    <row r="70" spans="1:39" s="7" customFormat="1" x14ac:dyDescent="0.25">
      <c r="A70" s="5">
        <v>59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5">
        <v>1</v>
      </c>
      <c r="O70" s="6"/>
      <c r="P70" s="5">
        <v>1</v>
      </c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5">
        <v>1</v>
      </c>
      <c r="AF70" s="6"/>
      <c r="AG70" s="6"/>
      <c r="AH70" s="6"/>
      <c r="AI70" s="6"/>
      <c r="AJ70" s="5">
        <v>1</v>
      </c>
      <c r="AK70" s="6"/>
      <c r="AL70" s="6"/>
      <c r="AM70" s="6"/>
    </row>
    <row r="71" spans="1:39" s="7" customFormat="1" x14ac:dyDescent="0.25">
      <c r="A71" s="5">
        <v>60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5">
        <v>1</v>
      </c>
      <c r="M71" s="6"/>
      <c r="N71" s="6"/>
      <c r="O71" s="6"/>
      <c r="P71" s="6"/>
      <c r="Q71" s="5">
        <v>1</v>
      </c>
      <c r="R71" s="6"/>
      <c r="S71" s="6"/>
      <c r="T71" s="5">
        <v>1</v>
      </c>
      <c r="U71" s="6"/>
      <c r="V71" s="6"/>
      <c r="W71" s="6"/>
      <c r="X71" s="5">
        <v>1</v>
      </c>
      <c r="Y71" s="6"/>
      <c r="Z71" s="6"/>
      <c r="AA71" s="5">
        <v>1</v>
      </c>
      <c r="AB71" s="6"/>
      <c r="AC71" s="6"/>
      <c r="AD71" s="6"/>
      <c r="AE71" s="6"/>
      <c r="AF71" s="6"/>
      <c r="AG71" s="6"/>
      <c r="AH71" s="6"/>
      <c r="AI71" s="5">
        <v>1</v>
      </c>
      <c r="AJ71" s="6"/>
      <c r="AK71" s="6"/>
      <c r="AL71" s="6"/>
      <c r="AM71" s="6"/>
    </row>
    <row r="72" spans="1:39" s="7" customFormat="1" x14ac:dyDescent="0.25">
      <c r="A72" s="5">
        <v>60</v>
      </c>
      <c r="B72" s="6"/>
      <c r="C72" s="5">
        <v>1</v>
      </c>
      <c r="D72" s="6"/>
      <c r="E72" s="6"/>
      <c r="F72" s="6"/>
      <c r="G72" s="5">
        <v>1</v>
      </c>
      <c r="H72" s="6"/>
      <c r="I72" s="6"/>
      <c r="J72" s="5">
        <v>1</v>
      </c>
      <c r="K72" s="6"/>
      <c r="L72" s="6"/>
      <c r="M72" s="6"/>
      <c r="N72" s="6"/>
      <c r="O72" s="5">
        <v>1</v>
      </c>
      <c r="P72" s="6"/>
      <c r="Q72" s="6"/>
      <c r="R72" s="5">
        <v>1</v>
      </c>
      <c r="S72" s="5">
        <v>1</v>
      </c>
      <c r="T72" s="6"/>
      <c r="U72" s="6"/>
      <c r="V72" s="5">
        <v>1</v>
      </c>
      <c r="W72" s="6"/>
      <c r="X72" s="6"/>
      <c r="Y72" s="6"/>
      <c r="Z72" s="5">
        <v>1</v>
      </c>
      <c r="AA72" s="6"/>
      <c r="AB72" s="5">
        <v>1</v>
      </c>
      <c r="AC72" s="6"/>
      <c r="AD72" s="6"/>
      <c r="AE72" s="6"/>
      <c r="AF72" s="6"/>
      <c r="AG72" s="6"/>
      <c r="AH72" s="6"/>
      <c r="AI72" s="6"/>
      <c r="AJ72" s="5">
        <v>1</v>
      </c>
      <c r="AK72" s="6"/>
      <c r="AL72" s="6"/>
      <c r="AM72" s="5">
        <v>1</v>
      </c>
    </row>
    <row r="73" spans="1:39" s="7" customFormat="1" x14ac:dyDescent="0.25">
      <c r="A73" s="5">
        <v>61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5">
        <v>1</v>
      </c>
      <c r="M73" s="6"/>
      <c r="N73" s="6"/>
      <c r="O73" s="6"/>
      <c r="P73" s="6"/>
      <c r="Q73" s="5">
        <v>1</v>
      </c>
      <c r="R73" s="6"/>
      <c r="S73" s="6"/>
      <c r="T73" s="5">
        <v>1</v>
      </c>
      <c r="U73" s="6"/>
      <c r="V73" s="6"/>
      <c r="W73" s="6"/>
      <c r="X73" s="5">
        <v>1</v>
      </c>
      <c r="Y73" s="6"/>
      <c r="Z73" s="6"/>
      <c r="AA73" s="5">
        <v>1</v>
      </c>
      <c r="AB73" s="6"/>
      <c r="AC73" s="6"/>
      <c r="AD73" s="6"/>
      <c r="AE73" s="6"/>
      <c r="AF73" s="6"/>
      <c r="AG73" s="6"/>
      <c r="AH73" s="6"/>
      <c r="AI73" s="5">
        <v>1</v>
      </c>
      <c r="AJ73" s="6"/>
      <c r="AK73" s="6"/>
      <c r="AL73" s="6"/>
      <c r="AM73" s="6"/>
    </row>
    <row r="74" spans="1:39" s="7" customFormat="1" x14ac:dyDescent="0.25">
      <c r="A74" s="5">
        <v>61</v>
      </c>
      <c r="B74" s="6"/>
      <c r="C74" s="5">
        <v>1</v>
      </c>
      <c r="D74" s="6"/>
      <c r="E74" s="6"/>
      <c r="F74" s="6"/>
      <c r="G74" s="5">
        <v>1</v>
      </c>
      <c r="H74" s="6"/>
      <c r="I74" s="6"/>
      <c r="J74" s="5">
        <v>1</v>
      </c>
      <c r="K74" s="6"/>
      <c r="L74" s="6"/>
      <c r="M74" s="6"/>
      <c r="N74" s="6"/>
      <c r="O74" s="5">
        <v>1</v>
      </c>
      <c r="P74" s="6"/>
      <c r="Q74" s="6"/>
      <c r="R74" s="5">
        <v>1</v>
      </c>
      <c r="S74" s="5">
        <v>1</v>
      </c>
      <c r="T74" s="6"/>
      <c r="U74" s="6"/>
      <c r="V74" s="5">
        <v>1</v>
      </c>
      <c r="W74" s="6"/>
      <c r="X74" s="6"/>
      <c r="Y74" s="6"/>
      <c r="Z74" s="5">
        <v>1</v>
      </c>
      <c r="AA74" s="6"/>
      <c r="AB74" s="5">
        <v>1</v>
      </c>
      <c r="AC74" s="6"/>
      <c r="AD74" s="6"/>
      <c r="AE74" s="6"/>
      <c r="AF74" s="6"/>
      <c r="AG74" s="6"/>
      <c r="AH74" s="6"/>
      <c r="AI74" s="6"/>
      <c r="AJ74" s="5">
        <v>1</v>
      </c>
      <c r="AK74" s="6"/>
      <c r="AL74" s="6"/>
      <c r="AM74" s="5">
        <v>1</v>
      </c>
    </row>
    <row r="75" spans="1:39" s="7" customFormat="1" x14ac:dyDescent="0.25">
      <c r="A75" s="5">
        <v>62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5">
        <v>1</v>
      </c>
      <c r="M75" s="6"/>
      <c r="N75" s="6"/>
      <c r="O75" s="6"/>
      <c r="P75" s="6"/>
      <c r="Q75" s="5">
        <v>1</v>
      </c>
      <c r="R75" s="6"/>
      <c r="S75" s="6"/>
      <c r="T75" s="5">
        <v>1</v>
      </c>
      <c r="U75" s="6"/>
      <c r="V75" s="6"/>
      <c r="W75" s="6"/>
      <c r="X75" s="5">
        <v>1</v>
      </c>
      <c r="Y75" s="6"/>
      <c r="Z75" s="6"/>
      <c r="AA75" s="5">
        <v>1</v>
      </c>
      <c r="AB75" s="6"/>
      <c r="AC75" s="6"/>
      <c r="AD75" s="6"/>
      <c r="AE75" s="6"/>
      <c r="AF75" s="6"/>
      <c r="AG75" s="6"/>
      <c r="AH75" s="6"/>
      <c r="AI75" s="5">
        <v>1</v>
      </c>
      <c r="AJ75" s="6"/>
      <c r="AK75" s="6"/>
      <c r="AL75" s="6"/>
      <c r="AM75" s="6"/>
    </row>
    <row r="76" spans="1:39" s="7" customFormat="1" x14ac:dyDescent="0.25">
      <c r="A76" s="5">
        <v>62</v>
      </c>
      <c r="B76" s="6"/>
      <c r="C76" s="5">
        <v>1</v>
      </c>
      <c r="D76" s="6"/>
      <c r="E76" s="6"/>
      <c r="F76" s="6"/>
      <c r="G76" s="5">
        <v>1</v>
      </c>
      <c r="H76" s="6"/>
      <c r="I76" s="6"/>
      <c r="J76" s="5">
        <v>1</v>
      </c>
      <c r="K76" s="6"/>
      <c r="L76" s="6"/>
      <c r="M76" s="6"/>
      <c r="N76" s="6"/>
      <c r="O76" s="5">
        <v>1</v>
      </c>
      <c r="P76" s="6"/>
      <c r="Q76" s="6"/>
      <c r="R76" s="5">
        <v>1</v>
      </c>
      <c r="S76" s="5">
        <v>1</v>
      </c>
      <c r="T76" s="6"/>
      <c r="U76" s="6"/>
      <c r="V76" s="5">
        <v>1</v>
      </c>
      <c r="W76" s="6"/>
      <c r="X76" s="6"/>
      <c r="Y76" s="6"/>
      <c r="Z76" s="5">
        <v>1</v>
      </c>
      <c r="AA76" s="6"/>
      <c r="AB76" s="5">
        <v>1</v>
      </c>
      <c r="AC76" s="6"/>
      <c r="AD76" s="6"/>
      <c r="AE76" s="6"/>
      <c r="AF76" s="6"/>
      <c r="AG76" s="6"/>
      <c r="AH76" s="6"/>
      <c r="AI76" s="6"/>
      <c r="AJ76" s="5">
        <v>1</v>
      </c>
      <c r="AK76" s="6"/>
      <c r="AL76" s="6"/>
      <c r="AM76" s="5">
        <v>1</v>
      </c>
    </row>
    <row r="77" spans="1:39" s="7" customFormat="1" x14ac:dyDescent="0.25">
      <c r="A77" s="5">
        <v>63</v>
      </c>
      <c r="B77" s="6"/>
      <c r="C77" s="5">
        <v>1</v>
      </c>
      <c r="D77" s="6"/>
      <c r="E77" s="6"/>
      <c r="F77" s="6"/>
      <c r="G77" s="5">
        <v>1</v>
      </c>
      <c r="H77" s="6"/>
      <c r="I77" s="6"/>
      <c r="J77" s="5">
        <v>1</v>
      </c>
      <c r="K77" s="6"/>
      <c r="L77" s="5">
        <v>1</v>
      </c>
      <c r="M77" s="6"/>
      <c r="N77" s="6"/>
      <c r="O77" s="5">
        <v>1</v>
      </c>
      <c r="P77" s="6"/>
      <c r="Q77" s="5">
        <v>1</v>
      </c>
      <c r="R77" s="5">
        <v>1</v>
      </c>
      <c r="S77" s="5">
        <v>1</v>
      </c>
      <c r="T77" s="5">
        <v>1</v>
      </c>
      <c r="U77" s="6"/>
      <c r="V77" s="5">
        <v>1</v>
      </c>
      <c r="W77" s="6"/>
      <c r="X77" s="5">
        <v>1</v>
      </c>
      <c r="Y77" s="6"/>
      <c r="Z77" s="5">
        <v>1</v>
      </c>
      <c r="AA77" s="5">
        <v>1</v>
      </c>
      <c r="AB77" s="5">
        <v>1</v>
      </c>
      <c r="AC77" s="6"/>
      <c r="AD77" s="6"/>
      <c r="AE77" s="6"/>
      <c r="AF77" s="6"/>
      <c r="AG77" s="6"/>
      <c r="AH77" s="6"/>
      <c r="AI77" s="5">
        <v>1</v>
      </c>
      <c r="AJ77" s="5">
        <v>1</v>
      </c>
      <c r="AK77" s="6"/>
      <c r="AL77" s="6"/>
      <c r="AM77" s="5">
        <v>1</v>
      </c>
    </row>
    <row r="78" spans="1:39" s="7" customFormat="1" x14ac:dyDescent="0.25">
      <c r="A78" s="5">
        <v>64</v>
      </c>
      <c r="B78" s="6"/>
      <c r="C78" s="5">
        <v>1</v>
      </c>
      <c r="D78" s="6"/>
      <c r="E78" s="6"/>
      <c r="F78" s="6"/>
      <c r="G78" s="5">
        <v>1</v>
      </c>
      <c r="H78" s="6"/>
      <c r="I78" s="6"/>
      <c r="J78" s="5">
        <v>1</v>
      </c>
      <c r="K78" s="6"/>
      <c r="L78" s="5">
        <v>1</v>
      </c>
      <c r="M78" s="6"/>
      <c r="N78" s="6"/>
      <c r="O78" s="5">
        <v>1</v>
      </c>
      <c r="P78" s="6"/>
      <c r="Q78" s="5">
        <v>1</v>
      </c>
      <c r="R78" s="5">
        <v>1</v>
      </c>
      <c r="S78" s="5">
        <v>1</v>
      </c>
      <c r="T78" s="5">
        <v>1</v>
      </c>
      <c r="U78" s="6"/>
      <c r="V78" s="5">
        <v>1</v>
      </c>
      <c r="W78" s="6"/>
      <c r="X78" s="5">
        <v>1</v>
      </c>
      <c r="Y78" s="6"/>
      <c r="Z78" s="5">
        <v>1</v>
      </c>
      <c r="AA78" s="5">
        <v>1</v>
      </c>
      <c r="AB78" s="5">
        <v>1</v>
      </c>
      <c r="AC78" s="6"/>
      <c r="AD78" s="6"/>
      <c r="AE78" s="6"/>
      <c r="AF78" s="6"/>
      <c r="AG78" s="6"/>
      <c r="AH78" s="6"/>
      <c r="AI78" s="5">
        <v>1</v>
      </c>
      <c r="AJ78" s="5">
        <v>1</v>
      </c>
      <c r="AK78" s="6"/>
      <c r="AL78" s="6"/>
      <c r="AM78" s="5">
        <v>1</v>
      </c>
    </row>
    <row r="79" spans="1:39" s="7" customFormat="1" x14ac:dyDescent="0.25">
      <c r="A79" s="5">
        <v>65</v>
      </c>
      <c r="B79" s="6"/>
      <c r="C79" s="5">
        <v>1</v>
      </c>
      <c r="D79" s="6"/>
      <c r="E79" s="6"/>
      <c r="F79" s="6"/>
      <c r="G79" s="5">
        <v>1</v>
      </c>
      <c r="H79" s="6"/>
      <c r="I79" s="6"/>
      <c r="J79" s="5">
        <v>1</v>
      </c>
      <c r="K79" s="6"/>
      <c r="L79" s="5">
        <v>1</v>
      </c>
      <c r="M79" s="6"/>
      <c r="N79" s="6"/>
      <c r="O79" s="5">
        <v>1</v>
      </c>
      <c r="P79" s="6"/>
      <c r="Q79" s="5">
        <v>1</v>
      </c>
      <c r="R79" s="5">
        <v>1</v>
      </c>
      <c r="S79" s="5">
        <v>1</v>
      </c>
      <c r="T79" s="5">
        <v>1</v>
      </c>
      <c r="U79" s="6"/>
      <c r="V79" s="5">
        <v>1</v>
      </c>
      <c r="W79" s="6"/>
      <c r="X79" s="5">
        <v>1</v>
      </c>
      <c r="Y79" s="6"/>
      <c r="Z79" s="5">
        <v>1</v>
      </c>
      <c r="AA79" s="5">
        <v>1</v>
      </c>
      <c r="AB79" s="5">
        <v>1</v>
      </c>
      <c r="AC79" s="6"/>
      <c r="AD79" s="6"/>
      <c r="AE79" s="6"/>
      <c r="AF79" s="6"/>
      <c r="AG79" s="6"/>
      <c r="AH79" s="6"/>
      <c r="AI79" s="5">
        <v>1</v>
      </c>
      <c r="AJ79" s="5">
        <v>1</v>
      </c>
      <c r="AK79" s="6"/>
      <c r="AL79" s="6"/>
      <c r="AM79" s="5">
        <v>1</v>
      </c>
    </row>
    <row r="80" spans="1:39" s="7" customFormat="1" x14ac:dyDescent="0.25">
      <c r="A80" s="5">
        <v>66</v>
      </c>
      <c r="B80" s="6"/>
      <c r="C80" s="5">
        <v>1</v>
      </c>
      <c r="D80" s="6"/>
      <c r="E80" s="6"/>
      <c r="F80" s="6"/>
      <c r="G80" s="5">
        <v>1</v>
      </c>
      <c r="H80" s="6"/>
      <c r="I80" s="6"/>
      <c r="J80" s="5">
        <v>1</v>
      </c>
      <c r="K80" s="6"/>
      <c r="L80" s="5">
        <v>1</v>
      </c>
      <c r="M80" s="6"/>
      <c r="N80" s="6"/>
      <c r="O80" s="5">
        <v>1</v>
      </c>
      <c r="P80" s="6"/>
      <c r="Q80" s="5">
        <v>1</v>
      </c>
      <c r="R80" s="5">
        <v>1</v>
      </c>
      <c r="S80" s="5">
        <v>1</v>
      </c>
      <c r="T80" s="5">
        <v>1</v>
      </c>
      <c r="U80" s="6"/>
      <c r="V80" s="5">
        <v>1</v>
      </c>
      <c r="W80" s="6"/>
      <c r="X80" s="5">
        <v>1</v>
      </c>
      <c r="Y80" s="6"/>
      <c r="Z80" s="5">
        <v>1</v>
      </c>
      <c r="AA80" s="5">
        <v>1</v>
      </c>
      <c r="AB80" s="5">
        <v>1</v>
      </c>
      <c r="AC80" s="6"/>
      <c r="AD80" s="6"/>
      <c r="AE80" s="6"/>
      <c r="AF80" s="6"/>
      <c r="AG80" s="6"/>
      <c r="AH80" s="6"/>
      <c r="AI80" s="5">
        <v>1</v>
      </c>
      <c r="AJ80" s="5">
        <v>1</v>
      </c>
      <c r="AK80" s="6"/>
      <c r="AL80" s="6"/>
      <c r="AM80" s="5">
        <v>1</v>
      </c>
    </row>
    <row r="81" spans="1:39" s="7" customFormat="1" x14ac:dyDescent="0.25">
      <c r="A81" s="5">
        <v>67</v>
      </c>
      <c r="B81" s="6"/>
      <c r="C81" s="5">
        <v>1</v>
      </c>
      <c r="D81" s="6"/>
      <c r="E81" s="6"/>
      <c r="F81" s="6"/>
      <c r="G81" s="5">
        <v>1</v>
      </c>
      <c r="H81" s="6"/>
      <c r="I81" s="6"/>
      <c r="J81" s="5">
        <v>1</v>
      </c>
      <c r="K81" s="6"/>
      <c r="L81" s="5">
        <v>1</v>
      </c>
      <c r="M81" s="6"/>
      <c r="N81" s="6"/>
      <c r="O81" s="5">
        <v>1</v>
      </c>
      <c r="P81" s="6"/>
      <c r="Q81" s="5">
        <v>1</v>
      </c>
      <c r="R81" s="5">
        <v>1</v>
      </c>
      <c r="S81" s="5">
        <v>1</v>
      </c>
      <c r="T81" s="5">
        <v>1</v>
      </c>
      <c r="U81" s="6"/>
      <c r="V81" s="5">
        <v>1</v>
      </c>
      <c r="W81" s="6"/>
      <c r="X81" s="5">
        <v>1</v>
      </c>
      <c r="Y81" s="6"/>
      <c r="Z81" s="5">
        <v>1</v>
      </c>
      <c r="AA81" s="5">
        <v>1</v>
      </c>
      <c r="AB81" s="5">
        <v>1</v>
      </c>
      <c r="AC81" s="6"/>
      <c r="AD81" s="6"/>
      <c r="AE81" s="6"/>
      <c r="AF81" s="6"/>
      <c r="AG81" s="6"/>
      <c r="AH81" s="6"/>
      <c r="AI81" s="5">
        <v>1</v>
      </c>
      <c r="AJ81" s="5">
        <v>1</v>
      </c>
      <c r="AK81" s="6"/>
      <c r="AL81" s="6"/>
      <c r="AM81" s="5">
        <v>1</v>
      </c>
    </row>
    <row r="82" spans="1:39" s="7" customFormat="1" x14ac:dyDescent="0.25">
      <c r="A82" s="5">
        <v>68</v>
      </c>
      <c r="B82" s="6"/>
      <c r="C82" s="5">
        <v>1</v>
      </c>
      <c r="D82" s="6"/>
      <c r="E82" s="6"/>
      <c r="F82" s="6"/>
      <c r="G82" s="5">
        <v>1</v>
      </c>
      <c r="H82" s="6"/>
      <c r="I82" s="6"/>
      <c r="J82" s="5">
        <v>1</v>
      </c>
      <c r="K82" s="6"/>
      <c r="L82" s="5">
        <v>1</v>
      </c>
      <c r="M82" s="6"/>
      <c r="N82" s="6"/>
      <c r="O82" s="5">
        <v>1</v>
      </c>
      <c r="P82" s="6"/>
      <c r="Q82" s="5">
        <v>1</v>
      </c>
      <c r="R82" s="5">
        <v>1</v>
      </c>
      <c r="S82" s="5">
        <v>1</v>
      </c>
      <c r="T82" s="5">
        <v>1</v>
      </c>
      <c r="U82" s="6"/>
      <c r="V82" s="5">
        <v>1</v>
      </c>
      <c r="W82" s="6"/>
      <c r="X82" s="5">
        <v>1</v>
      </c>
      <c r="Y82" s="6"/>
      <c r="Z82" s="5">
        <v>1</v>
      </c>
      <c r="AA82" s="5">
        <v>1</v>
      </c>
      <c r="AB82" s="5">
        <v>1</v>
      </c>
      <c r="AC82" s="6"/>
      <c r="AD82" s="6"/>
      <c r="AE82" s="6"/>
      <c r="AF82" s="6"/>
      <c r="AG82" s="6"/>
      <c r="AH82" s="6"/>
      <c r="AI82" s="5">
        <v>1</v>
      </c>
      <c r="AJ82" s="5">
        <v>1</v>
      </c>
      <c r="AK82" s="6"/>
      <c r="AL82" s="6"/>
      <c r="AM82" s="5">
        <v>1</v>
      </c>
    </row>
    <row r="83" spans="1:39" s="7" customFormat="1" x14ac:dyDescent="0.25">
      <c r="A83" s="5">
        <v>69</v>
      </c>
      <c r="B83" s="6"/>
      <c r="C83" s="6"/>
      <c r="D83" s="5">
        <v>1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5">
        <v>1</v>
      </c>
      <c r="AE83" s="6"/>
      <c r="AF83" s="6"/>
      <c r="AG83" s="6"/>
      <c r="AH83" s="6"/>
      <c r="AI83" s="5">
        <v>1</v>
      </c>
      <c r="AJ83" s="6"/>
      <c r="AK83" s="6"/>
      <c r="AL83" s="5">
        <v>1</v>
      </c>
      <c r="AM83" s="6"/>
    </row>
    <row r="84" spans="1:39" s="7" customFormat="1" x14ac:dyDescent="0.25">
      <c r="A84" s="5">
        <v>70</v>
      </c>
      <c r="B84" s="6"/>
      <c r="C84" s="6"/>
      <c r="D84" s="5">
        <v>1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5">
        <v>1</v>
      </c>
      <c r="AE84" s="6"/>
      <c r="AF84" s="6"/>
      <c r="AG84" s="6"/>
      <c r="AH84" s="6"/>
      <c r="AI84" s="5">
        <v>1</v>
      </c>
      <c r="AJ84" s="6"/>
      <c r="AK84" s="6"/>
      <c r="AL84" s="5">
        <v>1</v>
      </c>
      <c r="AM84" s="6"/>
    </row>
    <row r="85" spans="1:39" s="7" customFormat="1" x14ac:dyDescent="0.25">
      <c r="A85" s="5">
        <v>71</v>
      </c>
      <c r="B85" s="6"/>
      <c r="C85" s="6"/>
      <c r="D85" s="5">
        <v>1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5">
        <v>1</v>
      </c>
      <c r="AE85" s="6"/>
      <c r="AF85" s="6"/>
      <c r="AG85" s="6"/>
      <c r="AH85" s="6"/>
      <c r="AI85" s="5">
        <v>1</v>
      </c>
      <c r="AJ85" s="6"/>
      <c r="AK85" s="6"/>
      <c r="AL85" s="5">
        <v>1</v>
      </c>
      <c r="AM85" s="6"/>
    </row>
    <row r="86" spans="1:39" s="7" customFormat="1" x14ac:dyDescent="0.25">
      <c r="A86" s="5">
        <v>72</v>
      </c>
      <c r="B86" s="6"/>
      <c r="C86" s="6"/>
      <c r="D86" s="5">
        <v>1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5">
        <v>1</v>
      </c>
      <c r="AE86" s="6"/>
      <c r="AF86" s="6"/>
      <c r="AG86" s="6"/>
      <c r="AH86" s="6"/>
      <c r="AI86" s="5">
        <v>1</v>
      </c>
      <c r="AJ86" s="6"/>
      <c r="AK86" s="6"/>
      <c r="AL86" s="5">
        <v>1</v>
      </c>
      <c r="AM86" s="6"/>
    </row>
    <row r="87" spans="1:39" s="7" customFormat="1" x14ac:dyDescent="0.25">
      <c r="A87" s="5">
        <v>73</v>
      </c>
      <c r="B87" s="6"/>
      <c r="C87" s="5">
        <v>1</v>
      </c>
      <c r="D87" s="6"/>
      <c r="E87" s="5">
        <v>1</v>
      </c>
      <c r="F87" s="6"/>
      <c r="G87" s="5">
        <v>1</v>
      </c>
      <c r="H87" s="6"/>
      <c r="I87" s="5">
        <v>1</v>
      </c>
      <c r="J87" s="5">
        <v>1</v>
      </c>
      <c r="K87" s="6"/>
      <c r="L87" s="6"/>
      <c r="M87" s="6"/>
      <c r="N87" s="6"/>
      <c r="O87" s="5">
        <v>1</v>
      </c>
      <c r="P87" s="6"/>
      <c r="Q87" s="6"/>
      <c r="R87" s="5">
        <v>1</v>
      </c>
      <c r="S87" s="6"/>
      <c r="T87" s="6"/>
      <c r="U87" s="5">
        <v>1</v>
      </c>
      <c r="V87" s="5">
        <v>1</v>
      </c>
      <c r="W87" s="5">
        <v>1</v>
      </c>
      <c r="X87" s="6"/>
      <c r="Y87" s="6"/>
      <c r="Z87" s="5">
        <v>1</v>
      </c>
      <c r="AA87" s="6"/>
      <c r="AB87" s="5">
        <v>1</v>
      </c>
      <c r="AC87" s="5">
        <v>1</v>
      </c>
      <c r="AD87" s="6"/>
      <c r="AE87" s="6"/>
      <c r="AF87" s="6"/>
      <c r="AG87" s="6"/>
      <c r="AH87" s="6"/>
      <c r="AI87" s="6"/>
      <c r="AJ87" s="6"/>
      <c r="AK87" s="5">
        <v>1</v>
      </c>
      <c r="AL87" s="6"/>
      <c r="AM87" s="5">
        <v>1</v>
      </c>
    </row>
    <row r="88" spans="1:39" s="7" customFormat="1" x14ac:dyDescent="0.25">
      <c r="A88" s="5">
        <v>74</v>
      </c>
      <c r="B88" s="6"/>
      <c r="C88" s="5">
        <v>1</v>
      </c>
      <c r="D88" s="6"/>
      <c r="E88" s="5">
        <v>1</v>
      </c>
      <c r="F88" s="6"/>
      <c r="G88" s="5">
        <v>1</v>
      </c>
      <c r="H88" s="6"/>
      <c r="I88" s="5">
        <v>1</v>
      </c>
      <c r="J88" s="5">
        <v>1</v>
      </c>
      <c r="K88" s="6"/>
      <c r="L88" s="6"/>
      <c r="M88" s="6"/>
      <c r="N88" s="6"/>
      <c r="O88" s="5">
        <v>1</v>
      </c>
      <c r="P88" s="6"/>
      <c r="Q88" s="6"/>
      <c r="R88" s="5">
        <v>1</v>
      </c>
      <c r="S88" s="6"/>
      <c r="T88" s="6"/>
      <c r="U88" s="5">
        <v>1</v>
      </c>
      <c r="V88" s="5">
        <v>1</v>
      </c>
      <c r="W88" s="5">
        <v>1</v>
      </c>
      <c r="X88" s="6"/>
      <c r="Y88" s="6"/>
      <c r="Z88" s="5">
        <v>1</v>
      </c>
      <c r="AA88" s="6"/>
      <c r="AB88" s="5">
        <v>1</v>
      </c>
      <c r="AC88" s="5">
        <v>1</v>
      </c>
      <c r="AD88" s="6"/>
      <c r="AE88" s="6"/>
      <c r="AF88" s="6"/>
      <c r="AG88" s="6"/>
      <c r="AH88" s="6"/>
      <c r="AI88" s="6"/>
      <c r="AJ88" s="6"/>
      <c r="AK88" s="5">
        <v>1</v>
      </c>
      <c r="AL88" s="6"/>
      <c r="AM88" s="5">
        <v>1</v>
      </c>
    </row>
    <row r="89" spans="1:39" s="7" customFormat="1" x14ac:dyDescent="0.25">
      <c r="A89" s="5">
        <v>75</v>
      </c>
      <c r="B89" s="6"/>
      <c r="C89" s="5">
        <v>1</v>
      </c>
      <c r="D89" s="6"/>
      <c r="E89" s="5">
        <v>1</v>
      </c>
      <c r="F89" s="6"/>
      <c r="G89" s="5">
        <v>1</v>
      </c>
      <c r="H89" s="6"/>
      <c r="I89" s="5">
        <v>1</v>
      </c>
      <c r="J89" s="5">
        <v>1</v>
      </c>
      <c r="K89" s="6"/>
      <c r="L89" s="6"/>
      <c r="M89" s="6"/>
      <c r="N89" s="6"/>
      <c r="O89" s="5">
        <v>1</v>
      </c>
      <c r="P89" s="6"/>
      <c r="Q89" s="6"/>
      <c r="R89" s="5">
        <v>1</v>
      </c>
      <c r="S89" s="6"/>
      <c r="T89" s="6"/>
      <c r="U89" s="5">
        <v>1</v>
      </c>
      <c r="V89" s="5">
        <v>1</v>
      </c>
      <c r="W89" s="5">
        <v>1</v>
      </c>
      <c r="X89" s="6"/>
      <c r="Y89" s="6"/>
      <c r="Z89" s="5">
        <v>1</v>
      </c>
      <c r="AA89" s="6"/>
      <c r="AB89" s="5">
        <v>1</v>
      </c>
      <c r="AC89" s="5">
        <v>1</v>
      </c>
      <c r="AD89" s="6"/>
      <c r="AE89" s="6"/>
      <c r="AF89" s="6"/>
      <c r="AG89" s="6"/>
      <c r="AH89" s="6"/>
      <c r="AI89" s="6"/>
      <c r="AJ89" s="6"/>
      <c r="AK89" s="5">
        <v>1</v>
      </c>
      <c r="AL89" s="6"/>
      <c r="AM89" s="5">
        <v>1</v>
      </c>
    </row>
    <row r="90" spans="1:39" s="7" customFormat="1" x14ac:dyDescent="0.25">
      <c r="A90" s="5">
        <v>76</v>
      </c>
      <c r="B90" s="6"/>
      <c r="C90" s="5">
        <v>1</v>
      </c>
      <c r="D90" s="6"/>
      <c r="E90" s="5">
        <v>1</v>
      </c>
      <c r="F90" s="6"/>
      <c r="G90" s="5">
        <v>1</v>
      </c>
      <c r="H90" s="6"/>
      <c r="I90" s="5">
        <v>1</v>
      </c>
      <c r="J90" s="5">
        <v>1</v>
      </c>
      <c r="K90" s="6"/>
      <c r="L90" s="6"/>
      <c r="M90" s="6"/>
      <c r="N90" s="6"/>
      <c r="O90" s="5">
        <v>1</v>
      </c>
      <c r="P90" s="6"/>
      <c r="Q90" s="6"/>
      <c r="R90" s="5">
        <v>1</v>
      </c>
      <c r="S90" s="6"/>
      <c r="T90" s="6"/>
      <c r="U90" s="5">
        <v>1</v>
      </c>
      <c r="V90" s="5">
        <v>1</v>
      </c>
      <c r="W90" s="5">
        <v>1</v>
      </c>
      <c r="X90" s="6"/>
      <c r="Y90" s="6"/>
      <c r="Z90" s="5">
        <v>1</v>
      </c>
      <c r="AA90" s="6"/>
      <c r="AB90" s="5">
        <v>1</v>
      </c>
      <c r="AC90" s="5">
        <v>1</v>
      </c>
      <c r="AD90" s="6"/>
      <c r="AE90" s="6"/>
      <c r="AF90" s="6"/>
      <c r="AG90" s="6"/>
      <c r="AH90" s="6"/>
      <c r="AI90" s="6"/>
      <c r="AJ90" s="6"/>
      <c r="AK90" s="5">
        <v>1</v>
      </c>
      <c r="AL90" s="6"/>
      <c r="AM90" s="5">
        <v>1</v>
      </c>
    </row>
    <row r="91" spans="1:39" s="7" customFormat="1" x14ac:dyDescent="0.25">
      <c r="A91" s="5">
        <v>77</v>
      </c>
      <c r="B91" s="6"/>
      <c r="C91" s="5">
        <v>1</v>
      </c>
      <c r="D91" s="6"/>
      <c r="E91" s="6"/>
      <c r="F91" s="5">
        <v>1</v>
      </c>
      <c r="G91" s="5">
        <v>1</v>
      </c>
      <c r="H91" s="5">
        <v>1</v>
      </c>
      <c r="I91" s="5">
        <v>1</v>
      </c>
      <c r="J91" s="5">
        <v>1</v>
      </c>
      <c r="K91" s="5">
        <v>1</v>
      </c>
      <c r="L91" s="5">
        <v>1</v>
      </c>
      <c r="M91" s="5">
        <v>1</v>
      </c>
      <c r="N91" s="6"/>
      <c r="O91" s="5">
        <v>1</v>
      </c>
      <c r="P91" s="5">
        <v>1</v>
      </c>
      <c r="Q91" s="5">
        <v>1</v>
      </c>
      <c r="R91" s="5">
        <v>1</v>
      </c>
      <c r="S91" s="5">
        <v>1</v>
      </c>
      <c r="T91" s="5">
        <v>1</v>
      </c>
      <c r="U91" s="6"/>
      <c r="V91" s="5">
        <v>1</v>
      </c>
      <c r="W91" s="5">
        <v>1</v>
      </c>
      <c r="X91" s="5">
        <v>1</v>
      </c>
      <c r="Y91" s="6"/>
      <c r="Z91" s="5">
        <v>1</v>
      </c>
      <c r="AA91" s="5">
        <v>1</v>
      </c>
      <c r="AB91" s="5">
        <v>1</v>
      </c>
      <c r="AC91" s="5">
        <v>1</v>
      </c>
      <c r="AD91" s="5">
        <v>1</v>
      </c>
      <c r="AE91" s="5">
        <v>1</v>
      </c>
      <c r="AF91" s="5">
        <v>1</v>
      </c>
      <c r="AG91" s="6"/>
      <c r="AH91" s="5">
        <v>1</v>
      </c>
      <c r="AI91" s="5">
        <v>1</v>
      </c>
      <c r="AJ91" s="5">
        <v>1</v>
      </c>
      <c r="AK91" s="5">
        <v>1</v>
      </c>
      <c r="AL91" s="6"/>
      <c r="AM91" s="5">
        <v>1</v>
      </c>
    </row>
    <row r="92" spans="1:39" s="7" customFormat="1" x14ac:dyDescent="0.25">
      <c r="A92" s="5">
        <v>77</v>
      </c>
      <c r="B92" s="5">
        <v>1</v>
      </c>
      <c r="C92" s="6"/>
      <c r="D92" s="5">
        <v>1</v>
      </c>
      <c r="E92" s="5">
        <v>1</v>
      </c>
      <c r="F92" s="6"/>
      <c r="G92" s="6"/>
      <c r="H92" s="6"/>
      <c r="I92" s="6"/>
      <c r="J92" s="6"/>
      <c r="K92" s="6"/>
      <c r="L92" s="6"/>
      <c r="M92" s="6"/>
      <c r="N92" s="5">
        <v>1</v>
      </c>
      <c r="O92" s="6"/>
      <c r="P92" s="6"/>
      <c r="Q92" s="6"/>
      <c r="R92" s="6"/>
      <c r="S92" s="6"/>
      <c r="T92" s="6"/>
      <c r="U92" s="5">
        <v>1</v>
      </c>
      <c r="V92" s="6"/>
      <c r="W92" s="6"/>
      <c r="X92" s="6"/>
      <c r="Y92" s="5">
        <v>1</v>
      </c>
      <c r="Z92" s="6"/>
      <c r="AA92" s="6"/>
      <c r="AB92" s="6"/>
      <c r="AC92" s="6"/>
      <c r="AD92" s="6"/>
      <c r="AE92" s="6"/>
      <c r="AF92" s="6"/>
      <c r="AG92" s="5">
        <v>1</v>
      </c>
      <c r="AH92" s="6"/>
      <c r="AI92" s="6"/>
      <c r="AJ92" s="6"/>
      <c r="AK92" s="6"/>
      <c r="AL92" s="5">
        <v>1</v>
      </c>
      <c r="AM92" s="6"/>
    </row>
    <row r="93" spans="1:39" s="7" customFormat="1" x14ac:dyDescent="0.25">
      <c r="A93" s="5">
        <v>78</v>
      </c>
      <c r="B93" s="6"/>
      <c r="C93" s="6"/>
      <c r="D93" s="6"/>
      <c r="E93" s="6"/>
      <c r="F93" s="6"/>
      <c r="G93" s="6"/>
      <c r="H93" s="5">
        <v>1</v>
      </c>
      <c r="I93" s="6"/>
      <c r="J93" s="6"/>
      <c r="K93" s="6"/>
      <c r="L93" s="6"/>
      <c r="M93" s="6"/>
      <c r="N93" s="5">
        <v>1</v>
      </c>
      <c r="O93" s="6"/>
      <c r="P93" s="5">
        <v>1</v>
      </c>
      <c r="Q93" s="6"/>
      <c r="R93" s="6"/>
      <c r="S93" s="5">
        <v>1</v>
      </c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5">
        <v>1</v>
      </c>
      <c r="AF93" s="6"/>
      <c r="AG93" s="5">
        <v>1</v>
      </c>
      <c r="AH93" s="5">
        <v>1</v>
      </c>
      <c r="AI93" s="6"/>
      <c r="AJ93" s="5">
        <v>1</v>
      </c>
      <c r="AK93" s="6"/>
      <c r="AL93" s="6"/>
      <c r="AM93" s="6"/>
    </row>
    <row r="94" spans="1:39" s="7" customFormat="1" x14ac:dyDescent="0.25">
      <c r="A94" s="5">
        <v>79</v>
      </c>
      <c r="B94" s="6"/>
      <c r="C94" s="6"/>
      <c r="D94" s="6"/>
      <c r="E94" s="6"/>
      <c r="F94" s="6"/>
      <c r="G94" s="6"/>
      <c r="H94" s="5">
        <v>1</v>
      </c>
      <c r="I94" s="6"/>
      <c r="J94" s="6"/>
      <c r="K94" s="6"/>
      <c r="L94" s="6"/>
      <c r="M94" s="6"/>
      <c r="N94" s="5">
        <v>1</v>
      </c>
      <c r="O94" s="6"/>
      <c r="P94" s="5">
        <v>1</v>
      </c>
      <c r="Q94" s="6"/>
      <c r="R94" s="6"/>
      <c r="S94" s="5">
        <v>1</v>
      </c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5">
        <v>1</v>
      </c>
      <c r="AF94" s="6"/>
      <c r="AG94" s="5">
        <v>1</v>
      </c>
      <c r="AH94" s="5">
        <v>1</v>
      </c>
      <c r="AI94" s="6"/>
      <c r="AJ94" s="5">
        <v>1</v>
      </c>
      <c r="AK94" s="6"/>
      <c r="AL94" s="6"/>
      <c r="AM94" s="6"/>
    </row>
    <row r="95" spans="1:39" s="7" customFormat="1" x14ac:dyDescent="0.25">
      <c r="A95" s="5">
        <v>80</v>
      </c>
      <c r="B95" s="6"/>
      <c r="C95" s="6"/>
      <c r="D95" s="6"/>
      <c r="E95" s="6"/>
      <c r="F95" s="6"/>
      <c r="G95" s="6"/>
      <c r="H95" s="5">
        <v>1</v>
      </c>
      <c r="I95" s="6"/>
      <c r="J95" s="6"/>
      <c r="K95" s="6"/>
      <c r="L95" s="6"/>
      <c r="M95" s="6"/>
      <c r="N95" s="5">
        <v>1</v>
      </c>
      <c r="O95" s="6"/>
      <c r="P95" s="5">
        <v>1</v>
      </c>
      <c r="Q95" s="6"/>
      <c r="R95" s="6"/>
      <c r="S95" s="5">
        <v>1</v>
      </c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5">
        <v>1</v>
      </c>
      <c r="AF95" s="6"/>
      <c r="AG95" s="5">
        <v>1</v>
      </c>
      <c r="AH95" s="5">
        <v>1</v>
      </c>
      <c r="AI95" s="6"/>
      <c r="AJ95" s="5">
        <v>1</v>
      </c>
      <c r="AK95" s="6"/>
      <c r="AL95" s="6"/>
      <c r="AM95" s="6"/>
    </row>
    <row r="96" spans="1:39" s="7" customFormat="1" x14ac:dyDescent="0.25">
      <c r="A96" s="5">
        <v>81</v>
      </c>
      <c r="B96" s="6"/>
      <c r="C96" s="6"/>
      <c r="D96" s="6"/>
      <c r="E96" s="6"/>
      <c r="F96" s="6"/>
      <c r="G96" s="6"/>
      <c r="H96" s="5">
        <v>1</v>
      </c>
      <c r="I96" s="6"/>
      <c r="J96" s="6"/>
      <c r="K96" s="6"/>
      <c r="L96" s="6"/>
      <c r="M96" s="6"/>
      <c r="N96" s="5">
        <v>1</v>
      </c>
      <c r="O96" s="6"/>
      <c r="P96" s="5">
        <v>1</v>
      </c>
      <c r="Q96" s="6"/>
      <c r="R96" s="6"/>
      <c r="S96" s="5">
        <v>1</v>
      </c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5">
        <v>1</v>
      </c>
      <c r="AF96" s="6"/>
      <c r="AG96" s="5">
        <v>1</v>
      </c>
      <c r="AH96" s="5">
        <v>1</v>
      </c>
      <c r="AI96" s="6"/>
      <c r="AJ96" s="5">
        <v>1</v>
      </c>
      <c r="AK96" s="6"/>
      <c r="AL96" s="6"/>
      <c r="AM96" s="6"/>
    </row>
    <row r="97" spans="1:39" s="7" customFormat="1" x14ac:dyDescent="0.25">
      <c r="A97" s="5">
        <v>82</v>
      </c>
      <c r="B97" s="5">
        <v>1</v>
      </c>
      <c r="C97" s="6"/>
      <c r="D97" s="6"/>
      <c r="E97" s="6"/>
      <c r="F97" s="5">
        <v>1</v>
      </c>
      <c r="G97" s="6"/>
      <c r="H97" s="5">
        <v>1</v>
      </c>
      <c r="I97" s="6"/>
      <c r="J97" s="6"/>
      <c r="K97" s="6"/>
      <c r="L97" s="6"/>
      <c r="M97" s="6"/>
      <c r="N97" s="5">
        <v>1</v>
      </c>
      <c r="O97" s="6"/>
      <c r="P97" s="5">
        <v>1</v>
      </c>
      <c r="Q97" s="6"/>
      <c r="R97" s="6"/>
      <c r="S97" s="5">
        <v>1</v>
      </c>
      <c r="T97" s="6"/>
      <c r="U97" s="6"/>
      <c r="V97" s="6"/>
      <c r="W97" s="6"/>
      <c r="X97" s="6"/>
      <c r="Y97" s="6"/>
      <c r="Z97" s="6"/>
      <c r="AA97" s="5">
        <v>1</v>
      </c>
      <c r="AB97" s="6"/>
      <c r="AC97" s="6"/>
      <c r="AD97" s="6"/>
      <c r="AE97" s="5">
        <v>1</v>
      </c>
      <c r="AF97" s="5">
        <v>1</v>
      </c>
      <c r="AG97" s="5">
        <v>1</v>
      </c>
      <c r="AH97" s="5">
        <v>1</v>
      </c>
      <c r="AI97" s="6"/>
      <c r="AJ97" s="5">
        <v>1</v>
      </c>
      <c r="AK97" s="6"/>
      <c r="AL97" s="6"/>
      <c r="AM97" s="6"/>
    </row>
    <row r="98" spans="1:39" s="7" customFormat="1" x14ac:dyDescent="0.25">
      <c r="A98" s="5">
        <v>83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5">
        <v>1</v>
      </c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</row>
    <row r="99" spans="1:39" s="7" customFormat="1" x14ac:dyDescent="0.25">
      <c r="A99" s="5">
        <v>83</v>
      </c>
      <c r="B99" s="6"/>
      <c r="C99" s="6"/>
      <c r="D99" s="6"/>
      <c r="E99" s="5">
        <v>1</v>
      </c>
      <c r="F99" s="6"/>
      <c r="G99" s="6"/>
      <c r="H99" s="6"/>
      <c r="I99" s="6"/>
      <c r="J99" s="6"/>
      <c r="K99" s="5">
        <v>1</v>
      </c>
      <c r="L99" s="6"/>
      <c r="M99" s="5">
        <v>1</v>
      </c>
      <c r="N99" s="6"/>
      <c r="O99" s="6"/>
      <c r="P99" s="6"/>
      <c r="Q99" s="6"/>
      <c r="R99" s="6"/>
      <c r="S99" s="6"/>
      <c r="T99" s="6"/>
      <c r="U99" s="5">
        <v>1</v>
      </c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</row>
    <row r="100" spans="1:39" s="7" customFormat="1" x14ac:dyDescent="0.25">
      <c r="A100" s="5">
        <v>83</v>
      </c>
      <c r="B100" s="6"/>
      <c r="C100" s="6"/>
      <c r="D100" s="6"/>
      <c r="E100" s="6"/>
      <c r="F100" s="6"/>
      <c r="G100" s="6"/>
      <c r="H100" s="6"/>
      <c r="I100" s="5">
        <v>1</v>
      </c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5">
        <v>1</v>
      </c>
      <c r="X100" s="6"/>
      <c r="Y100" s="6"/>
      <c r="Z100" s="6"/>
      <c r="AA100" s="6"/>
      <c r="AB100" s="6"/>
      <c r="AC100" s="5">
        <v>1</v>
      </c>
      <c r="AD100" s="6"/>
      <c r="AE100" s="6"/>
      <c r="AF100" s="6"/>
      <c r="AG100" s="6"/>
      <c r="AH100" s="6"/>
      <c r="AI100" s="6"/>
      <c r="AJ100" s="6"/>
      <c r="AK100" s="5">
        <v>1</v>
      </c>
      <c r="AL100" s="6"/>
      <c r="AM100" s="6"/>
    </row>
    <row r="101" spans="1:39" s="7" customFormat="1" x14ac:dyDescent="0.25">
      <c r="A101" s="5">
        <v>83</v>
      </c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5">
        <v>1</v>
      </c>
      <c r="M101" s="6"/>
      <c r="N101" s="6"/>
      <c r="O101" s="6"/>
      <c r="P101" s="6"/>
      <c r="Q101" s="5">
        <v>1</v>
      </c>
      <c r="R101" s="6"/>
      <c r="S101" s="6"/>
      <c r="T101" s="5">
        <v>1</v>
      </c>
      <c r="U101" s="6"/>
      <c r="V101" s="6"/>
      <c r="W101" s="6"/>
      <c r="X101" s="5">
        <v>1</v>
      </c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</row>
    <row r="102" spans="1:39" s="7" customFormat="1" x14ac:dyDescent="0.25">
      <c r="A102" s="5">
        <v>83</v>
      </c>
      <c r="B102" s="6"/>
      <c r="C102" s="5">
        <v>1</v>
      </c>
      <c r="D102" s="6"/>
      <c r="E102" s="6"/>
      <c r="F102" s="6"/>
      <c r="G102" s="5">
        <v>1</v>
      </c>
      <c r="H102" s="6"/>
      <c r="I102" s="6"/>
      <c r="J102" s="5">
        <v>1</v>
      </c>
      <c r="K102" s="6"/>
      <c r="L102" s="6"/>
      <c r="M102" s="6"/>
      <c r="N102" s="6"/>
      <c r="O102" s="5">
        <v>1</v>
      </c>
      <c r="P102" s="6"/>
      <c r="Q102" s="6"/>
      <c r="R102" s="5">
        <v>1</v>
      </c>
      <c r="S102" s="6"/>
      <c r="T102" s="6"/>
      <c r="U102" s="6"/>
      <c r="V102" s="5">
        <v>1</v>
      </c>
      <c r="W102" s="6"/>
      <c r="X102" s="6"/>
      <c r="Y102" s="6"/>
      <c r="Z102" s="5">
        <v>1</v>
      </c>
      <c r="AA102" s="6"/>
      <c r="AB102" s="5">
        <v>1</v>
      </c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5">
        <v>1</v>
      </c>
    </row>
    <row r="103" spans="1:39" s="7" customFormat="1" x14ac:dyDescent="0.25">
      <c r="A103" s="5">
        <v>84</v>
      </c>
      <c r="B103" s="6"/>
      <c r="C103" s="5">
        <v>1</v>
      </c>
      <c r="D103" s="6"/>
      <c r="E103" s="5">
        <v>1</v>
      </c>
      <c r="F103" s="6"/>
      <c r="G103" s="5">
        <v>1</v>
      </c>
      <c r="H103" s="6"/>
      <c r="I103" s="5">
        <v>1</v>
      </c>
      <c r="J103" s="5">
        <v>1</v>
      </c>
      <c r="K103" s="5">
        <v>1</v>
      </c>
      <c r="L103" s="5">
        <v>1</v>
      </c>
      <c r="M103" s="5">
        <v>1</v>
      </c>
      <c r="N103" s="6"/>
      <c r="O103" s="5">
        <v>1</v>
      </c>
      <c r="P103" s="6"/>
      <c r="Q103" s="5">
        <v>1</v>
      </c>
      <c r="R103" s="5">
        <v>1</v>
      </c>
      <c r="S103" s="6"/>
      <c r="T103" s="5">
        <v>1</v>
      </c>
      <c r="U103" s="5">
        <v>1</v>
      </c>
      <c r="V103" s="5">
        <v>1</v>
      </c>
      <c r="W103" s="5">
        <v>1</v>
      </c>
      <c r="X103" s="5">
        <v>1</v>
      </c>
      <c r="Y103" s="5">
        <v>1</v>
      </c>
      <c r="Z103" s="5">
        <v>1</v>
      </c>
      <c r="AA103" s="6"/>
      <c r="AB103" s="5">
        <v>1</v>
      </c>
      <c r="AC103" s="5">
        <v>1</v>
      </c>
      <c r="AD103" s="6"/>
      <c r="AE103" s="6"/>
      <c r="AF103" s="6"/>
      <c r="AG103" s="6"/>
      <c r="AH103" s="6"/>
      <c r="AI103" s="6"/>
      <c r="AJ103" s="6"/>
      <c r="AK103" s="5">
        <v>1</v>
      </c>
      <c r="AL103" s="6"/>
      <c r="AM103" s="5">
        <v>1</v>
      </c>
    </row>
    <row r="104" spans="1:39" s="7" customFormat="1" x14ac:dyDescent="0.25">
      <c r="A104" s="5">
        <v>85</v>
      </c>
      <c r="B104" s="6"/>
      <c r="C104" s="5">
        <v>1</v>
      </c>
      <c r="D104" s="6"/>
      <c r="E104" s="5">
        <v>1</v>
      </c>
      <c r="F104" s="6"/>
      <c r="G104" s="5">
        <v>1</v>
      </c>
      <c r="H104" s="6"/>
      <c r="I104" s="5">
        <v>1</v>
      </c>
      <c r="J104" s="5">
        <v>1</v>
      </c>
      <c r="K104" s="5">
        <v>1</v>
      </c>
      <c r="L104" s="5">
        <v>1</v>
      </c>
      <c r="M104" s="5">
        <v>1</v>
      </c>
      <c r="N104" s="6"/>
      <c r="O104" s="5">
        <v>1</v>
      </c>
      <c r="P104" s="6"/>
      <c r="Q104" s="5">
        <v>1</v>
      </c>
      <c r="R104" s="5">
        <v>1</v>
      </c>
      <c r="S104" s="6"/>
      <c r="T104" s="5">
        <v>1</v>
      </c>
      <c r="U104" s="5">
        <v>1</v>
      </c>
      <c r="V104" s="5">
        <v>1</v>
      </c>
      <c r="W104" s="5">
        <v>1</v>
      </c>
      <c r="X104" s="5">
        <v>1</v>
      </c>
      <c r="Y104" s="5">
        <v>1</v>
      </c>
      <c r="Z104" s="5">
        <v>1</v>
      </c>
      <c r="AA104" s="6"/>
      <c r="AB104" s="5">
        <v>1</v>
      </c>
      <c r="AC104" s="5">
        <v>1</v>
      </c>
      <c r="AD104" s="6"/>
      <c r="AE104" s="6"/>
      <c r="AF104" s="6"/>
      <c r="AG104" s="6"/>
      <c r="AH104" s="6"/>
      <c r="AI104" s="6"/>
      <c r="AJ104" s="6"/>
      <c r="AK104" s="5">
        <v>1</v>
      </c>
      <c r="AL104" s="6"/>
      <c r="AM104" s="5">
        <v>1</v>
      </c>
    </row>
    <row r="105" spans="1:39" s="7" customFormat="1" x14ac:dyDescent="0.25">
      <c r="A105" s="5">
        <v>86</v>
      </c>
      <c r="B105" s="6"/>
      <c r="C105" s="5">
        <v>1</v>
      </c>
      <c r="D105" s="6"/>
      <c r="E105" s="5">
        <v>1</v>
      </c>
      <c r="F105" s="6"/>
      <c r="G105" s="5">
        <v>1</v>
      </c>
      <c r="H105" s="6"/>
      <c r="I105" s="5">
        <v>1</v>
      </c>
      <c r="J105" s="5">
        <v>1</v>
      </c>
      <c r="K105" s="5">
        <v>1</v>
      </c>
      <c r="L105" s="5">
        <v>1</v>
      </c>
      <c r="M105" s="5">
        <v>1</v>
      </c>
      <c r="N105" s="6"/>
      <c r="O105" s="5">
        <v>1</v>
      </c>
      <c r="P105" s="6"/>
      <c r="Q105" s="5">
        <v>1</v>
      </c>
      <c r="R105" s="5">
        <v>1</v>
      </c>
      <c r="S105" s="6"/>
      <c r="T105" s="5">
        <v>1</v>
      </c>
      <c r="U105" s="5">
        <v>1</v>
      </c>
      <c r="V105" s="5">
        <v>1</v>
      </c>
      <c r="W105" s="5">
        <v>1</v>
      </c>
      <c r="X105" s="5">
        <v>1</v>
      </c>
      <c r="Y105" s="5">
        <v>1</v>
      </c>
      <c r="Z105" s="5">
        <v>1</v>
      </c>
      <c r="AA105" s="6"/>
      <c r="AB105" s="5">
        <v>1</v>
      </c>
      <c r="AC105" s="5">
        <v>1</v>
      </c>
      <c r="AD105" s="6"/>
      <c r="AE105" s="6"/>
      <c r="AF105" s="6"/>
      <c r="AG105" s="6"/>
      <c r="AH105" s="6"/>
      <c r="AI105" s="6"/>
      <c r="AJ105" s="6"/>
      <c r="AK105" s="5">
        <v>1</v>
      </c>
      <c r="AL105" s="6"/>
      <c r="AM105" s="5">
        <v>1</v>
      </c>
    </row>
    <row r="106" spans="1:39" s="7" customFormat="1" x14ac:dyDescent="0.25">
      <c r="A106" s="5">
        <v>87</v>
      </c>
      <c r="B106" s="6"/>
      <c r="C106" s="5">
        <v>1</v>
      </c>
      <c r="D106" s="6"/>
      <c r="E106" s="5">
        <v>1</v>
      </c>
      <c r="F106" s="6"/>
      <c r="G106" s="5">
        <v>1</v>
      </c>
      <c r="H106" s="6"/>
      <c r="I106" s="5">
        <v>1</v>
      </c>
      <c r="J106" s="5">
        <v>1</v>
      </c>
      <c r="K106" s="5">
        <v>1</v>
      </c>
      <c r="L106" s="5">
        <v>1</v>
      </c>
      <c r="M106" s="5">
        <v>1</v>
      </c>
      <c r="N106" s="6"/>
      <c r="O106" s="5">
        <v>1</v>
      </c>
      <c r="P106" s="6"/>
      <c r="Q106" s="5">
        <v>1</v>
      </c>
      <c r="R106" s="5">
        <v>1</v>
      </c>
      <c r="S106" s="6"/>
      <c r="T106" s="5">
        <v>1</v>
      </c>
      <c r="U106" s="5">
        <v>1</v>
      </c>
      <c r="V106" s="5">
        <v>1</v>
      </c>
      <c r="W106" s="5">
        <v>1</v>
      </c>
      <c r="X106" s="5">
        <v>1</v>
      </c>
      <c r="Y106" s="5">
        <v>1</v>
      </c>
      <c r="Z106" s="5">
        <v>1</v>
      </c>
      <c r="AA106" s="6"/>
      <c r="AB106" s="5">
        <v>1</v>
      </c>
      <c r="AC106" s="5">
        <v>1</v>
      </c>
      <c r="AD106" s="6"/>
      <c r="AE106" s="6"/>
      <c r="AF106" s="6"/>
      <c r="AG106" s="6"/>
      <c r="AH106" s="6"/>
      <c r="AI106" s="6"/>
      <c r="AJ106" s="6"/>
      <c r="AK106" s="5">
        <v>1</v>
      </c>
      <c r="AL106" s="6"/>
      <c r="AM106" s="5">
        <v>1</v>
      </c>
    </row>
    <row r="107" spans="1:39" s="7" customFormat="1" x14ac:dyDescent="0.25">
      <c r="A107" s="5">
        <v>88</v>
      </c>
      <c r="B107" s="5">
        <v>1</v>
      </c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5">
        <v>1</v>
      </c>
      <c r="AG107" s="6"/>
      <c r="AH107" s="6"/>
      <c r="AI107" s="6"/>
      <c r="AJ107" s="6"/>
      <c r="AK107" s="6"/>
      <c r="AL107" s="6"/>
      <c r="AM107" s="6"/>
    </row>
    <row r="108" spans="1:39" s="7" customFormat="1" x14ac:dyDescent="0.25">
      <c r="A108" s="5">
        <v>88</v>
      </c>
      <c r="B108" s="6"/>
      <c r="C108" s="6"/>
      <c r="D108" s="6"/>
      <c r="E108" s="6"/>
      <c r="F108" s="5">
        <v>1</v>
      </c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</row>
    <row r="109" spans="1:39" s="7" customFormat="1" x14ac:dyDescent="0.25">
      <c r="A109" s="5">
        <v>88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5">
        <v>1</v>
      </c>
      <c r="O109" s="6"/>
      <c r="P109" s="5">
        <v>1</v>
      </c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5">
        <v>1</v>
      </c>
      <c r="AH109" s="5">
        <v>1</v>
      </c>
      <c r="AI109" s="6"/>
      <c r="AJ109" s="6"/>
      <c r="AK109" s="6"/>
      <c r="AL109" s="6"/>
      <c r="AM109" s="6"/>
    </row>
    <row r="110" spans="1:39" s="7" customFormat="1" x14ac:dyDescent="0.25">
      <c r="A110" s="5">
        <v>88</v>
      </c>
      <c r="B110" s="6"/>
      <c r="C110" s="6"/>
      <c r="D110" s="6"/>
      <c r="E110" s="6"/>
      <c r="F110" s="6"/>
      <c r="G110" s="6"/>
      <c r="H110" s="5">
        <v>1</v>
      </c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5">
        <v>1</v>
      </c>
      <c r="AB110" s="6"/>
      <c r="AC110" s="6"/>
      <c r="AD110" s="6"/>
      <c r="AE110" s="5">
        <v>1</v>
      </c>
      <c r="AF110" s="6"/>
      <c r="AG110" s="6"/>
      <c r="AH110" s="6"/>
      <c r="AI110" s="6"/>
      <c r="AJ110" s="6"/>
      <c r="AK110" s="6"/>
      <c r="AL110" s="6"/>
      <c r="AM110" s="6"/>
    </row>
    <row r="111" spans="1:39" s="7" customFormat="1" x14ac:dyDescent="0.25">
      <c r="A111" s="5">
        <v>88</v>
      </c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5">
        <v>1</v>
      </c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5">
        <v>1</v>
      </c>
      <c r="AK111" s="6"/>
      <c r="AL111" s="6"/>
      <c r="AM111" s="6"/>
    </row>
    <row r="112" spans="1:39" s="7" customFormat="1" x14ac:dyDescent="0.25">
      <c r="A112" s="5">
        <v>88</v>
      </c>
      <c r="B112" s="6"/>
      <c r="C112" s="6"/>
      <c r="D112" s="5">
        <v>1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5">
        <v>1</v>
      </c>
      <c r="AM112" s="6"/>
    </row>
    <row r="113" spans="1:39" s="7" customFormat="1" x14ac:dyDescent="0.25">
      <c r="A113" s="5">
        <v>88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5">
        <v>1</v>
      </c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5">
        <v>1</v>
      </c>
      <c r="Z113" s="6"/>
      <c r="AA113" s="6"/>
      <c r="AB113" s="6"/>
      <c r="AC113" s="6"/>
      <c r="AD113" s="5">
        <v>1</v>
      </c>
      <c r="AE113" s="6"/>
      <c r="AF113" s="6"/>
      <c r="AG113" s="6"/>
      <c r="AH113" s="6"/>
      <c r="AI113" s="6"/>
      <c r="AJ113" s="6"/>
      <c r="AK113" s="6"/>
      <c r="AL113" s="6"/>
      <c r="AM113" s="6"/>
    </row>
    <row r="114" spans="1:39" s="7" customFormat="1" x14ac:dyDescent="0.25">
      <c r="A114" s="5">
        <v>88</v>
      </c>
      <c r="B114" s="6"/>
      <c r="C114" s="6"/>
      <c r="D114" s="6"/>
      <c r="E114" s="5">
        <v>1</v>
      </c>
      <c r="F114" s="6"/>
      <c r="G114" s="6"/>
      <c r="H114" s="6"/>
      <c r="I114" s="5">
        <v>1</v>
      </c>
      <c r="J114" s="6"/>
      <c r="K114" s="5">
        <v>1</v>
      </c>
      <c r="L114" s="6"/>
      <c r="M114" s="6"/>
      <c r="N114" s="6"/>
      <c r="O114" s="6"/>
      <c r="P114" s="6"/>
      <c r="Q114" s="6"/>
      <c r="R114" s="6"/>
      <c r="S114" s="6"/>
      <c r="T114" s="6"/>
      <c r="U114" s="5">
        <v>1</v>
      </c>
      <c r="V114" s="6"/>
      <c r="W114" s="6"/>
      <c r="X114" s="6"/>
      <c r="Y114" s="6"/>
      <c r="Z114" s="6"/>
      <c r="AA114" s="6"/>
      <c r="AB114" s="6"/>
      <c r="AC114" s="5">
        <v>1</v>
      </c>
      <c r="AD114" s="6"/>
      <c r="AE114" s="6"/>
      <c r="AF114" s="6"/>
      <c r="AG114" s="6"/>
      <c r="AH114" s="6"/>
      <c r="AI114" s="6"/>
      <c r="AJ114" s="6"/>
      <c r="AK114" s="6"/>
      <c r="AL114" s="6"/>
      <c r="AM114" s="6"/>
    </row>
    <row r="115" spans="1:39" s="7" customFormat="1" x14ac:dyDescent="0.25">
      <c r="A115" s="5">
        <v>88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5">
        <v>1</v>
      </c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5">
        <v>1</v>
      </c>
      <c r="X115" s="5">
        <v>1</v>
      </c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5">
        <v>1</v>
      </c>
      <c r="AJ115" s="6"/>
      <c r="AK115" s="5">
        <v>1</v>
      </c>
      <c r="AL115" s="6"/>
      <c r="AM115" s="6"/>
    </row>
    <row r="116" spans="1:39" s="7" customFormat="1" x14ac:dyDescent="0.25">
      <c r="A116" s="5">
        <v>88</v>
      </c>
      <c r="B116" s="6"/>
      <c r="C116" s="6"/>
      <c r="D116" s="6"/>
      <c r="E116" s="6"/>
      <c r="F116" s="6"/>
      <c r="G116" s="6"/>
      <c r="H116" s="6"/>
      <c r="I116" s="6"/>
      <c r="J116" s="5">
        <v>1</v>
      </c>
      <c r="K116" s="6"/>
      <c r="L116" s="6"/>
      <c r="M116" s="6"/>
      <c r="N116" s="6"/>
      <c r="O116" s="5">
        <v>1</v>
      </c>
      <c r="P116" s="6"/>
      <c r="Q116" s="5">
        <v>1</v>
      </c>
      <c r="R116" s="6"/>
      <c r="S116" s="6"/>
      <c r="T116" s="5">
        <v>1</v>
      </c>
      <c r="U116" s="6"/>
      <c r="V116" s="5">
        <v>1</v>
      </c>
      <c r="W116" s="6"/>
      <c r="X116" s="6"/>
      <c r="Y116" s="6"/>
      <c r="Z116" s="5">
        <v>1</v>
      </c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</row>
    <row r="117" spans="1:39" s="7" customFormat="1" x14ac:dyDescent="0.25">
      <c r="A117" s="5">
        <v>88</v>
      </c>
      <c r="B117" s="6"/>
      <c r="C117" s="5">
        <v>1</v>
      </c>
      <c r="D117" s="6"/>
      <c r="E117" s="6"/>
      <c r="F117" s="6"/>
      <c r="G117" s="5">
        <v>1</v>
      </c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5">
        <v>1</v>
      </c>
      <c r="S117" s="6"/>
      <c r="T117" s="6"/>
      <c r="U117" s="6"/>
      <c r="V117" s="6"/>
      <c r="W117" s="6"/>
      <c r="X117" s="6"/>
      <c r="Y117" s="6"/>
      <c r="Z117" s="6"/>
      <c r="AA117" s="6"/>
      <c r="AB117" s="5">
        <v>1</v>
      </c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5">
        <v>1</v>
      </c>
    </row>
    <row r="118" spans="1:39" s="7" customFormat="1" x14ac:dyDescent="0.25">
      <c r="A118" s="5">
        <v>92</v>
      </c>
      <c r="B118" s="5">
        <v>1</v>
      </c>
      <c r="C118" s="5">
        <v>1</v>
      </c>
      <c r="D118" s="5">
        <v>1</v>
      </c>
      <c r="E118" s="5">
        <v>1</v>
      </c>
      <c r="F118" s="5">
        <v>1</v>
      </c>
      <c r="G118" s="5">
        <v>1</v>
      </c>
      <c r="H118" s="5">
        <v>1</v>
      </c>
      <c r="I118" s="5">
        <v>1</v>
      </c>
      <c r="J118" s="5">
        <v>1</v>
      </c>
      <c r="K118" s="5">
        <v>1</v>
      </c>
      <c r="L118" s="5">
        <v>1</v>
      </c>
      <c r="M118" s="5">
        <v>1</v>
      </c>
      <c r="N118" s="5">
        <v>1</v>
      </c>
      <c r="O118" s="5">
        <v>1</v>
      </c>
      <c r="P118" s="5">
        <v>1</v>
      </c>
      <c r="Q118" s="5">
        <v>1</v>
      </c>
      <c r="R118" s="5">
        <v>1</v>
      </c>
      <c r="S118" s="5">
        <v>1</v>
      </c>
      <c r="T118" s="5">
        <v>1</v>
      </c>
      <c r="U118" s="5">
        <v>1</v>
      </c>
      <c r="V118" s="5">
        <v>1</v>
      </c>
      <c r="W118" s="5">
        <v>1</v>
      </c>
      <c r="X118" s="5">
        <v>1</v>
      </c>
      <c r="Y118" s="5">
        <v>1</v>
      </c>
      <c r="Z118" s="5">
        <v>1</v>
      </c>
      <c r="AA118" s="5">
        <v>1</v>
      </c>
      <c r="AB118" s="5">
        <v>1</v>
      </c>
      <c r="AC118" s="5">
        <v>1</v>
      </c>
      <c r="AD118" s="5">
        <v>1</v>
      </c>
      <c r="AE118" s="5">
        <v>1</v>
      </c>
      <c r="AF118" s="5">
        <v>1</v>
      </c>
      <c r="AG118" s="5">
        <v>1</v>
      </c>
      <c r="AH118" s="5">
        <v>1</v>
      </c>
      <c r="AI118" s="5">
        <v>1</v>
      </c>
      <c r="AJ118" s="5">
        <v>1</v>
      </c>
      <c r="AK118" s="5">
        <v>1</v>
      </c>
      <c r="AL118" s="6"/>
      <c r="AM118" s="5">
        <v>1</v>
      </c>
    </row>
    <row r="119" spans="1:39" s="7" customFormat="1" x14ac:dyDescent="0.25">
      <c r="A119" s="5">
        <v>94</v>
      </c>
      <c r="B119" s="5">
        <v>1</v>
      </c>
      <c r="C119" s="5">
        <v>1</v>
      </c>
      <c r="D119" s="5">
        <v>1</v>
      </c>
      <c r="E119" s="5">
        <v>1</v>
      </c>
      <c r="F119" s="5">
        <v>1</v>
      </c>
      <c r="G119" s="5">
        <v>1</v>
      </c>
      <c r="H119" s="5">
        <v>1</v>
      </c>
      <c r="I119" s="5">
        <v>1</v>
      </c>
      <c r="J119" s="5">
        <v>1</v>
      </c>
      <c r="K119" s="5">
        <v>1</v>
      </c>
      <c r="L119" s="5">
        <v>1</v>
      </c>
      <c r="M119" s="5">
        <v>1</v>
      </c>
      <c r="N119" s="5">
        <v>1</v>
      </c>
      <c r="O119" s="5">
        <v>1</v>
      </c>
      <c r="P119" s="5">
        <v>1</v>
      </c>
      <c r="Q119" s="5">
        <v>1</v>
      </c>
      <c r="R119" s="5">
        <v>1</v>
      </c>
      <c r="S119" s="5">
        <v>1</v>
      </c>
      <c r="T119" s="5">
        <v>1</v>
      </c>
      <c r="U119" s="5">
        <v>1</v>
      </c>
      <c r="V119" s="5">
        <v>1</v>
      </c>
      <c r="W119" s="5">
        <v>1</v>
      </c>
      <c r="X119" s="5">
        <v>1</v>
      </c>
      <c r="Y119" s="5">
        <v>1</v>
      </c>
      <c r="Z119" s="5">
        <v>1</v>
      </c>
      <c r="AA119" s="5">
        <v>1</v>
      </c>
      <c r="AB119" s="5">
        <v>1</v>
      </c>
      <c r="AC119" s="5">
        <v>1</v>
      </c>
      <c r="AD119" s="5">
        <v>1</v>
      </c>
      <c r="AE119" s="5">
        <v>1</v>
      </c>
      <c r="AF119" s="5">
        <v>1</v>
      </c>
      <c r="AG119" s="5">
        <v>1</v>
      </c>
      <c r="AH119" s="5">
        <v>1</v>
      </c>
      <c r="AI119" s="5">
        <v>1</v>
      </c>
      <c r="AJ119" s="5">
        <v>1</v>
      </c>
      <c r="AK119" s="5">
        <v>1</v>
      </c>
      <c r="AL119" s="6"/>
      <c r="AM119" s="5">
        <v>1</v>
      </c>
    </row>
    <row r="120" spans="1:39" s="7" customFormat="1" x14ac:dyDescent="0.25">
      <c r="A120" s="5">
        <v>95</v>
      </c>
      <c r="B120" s="5">
        <v>1</v>
      </c>
      <c r="C120" s="5">
        <v>1</v>
      </c>
      <c r="D120" s="5">
        <v>1</v>
      </c>
      <c r="E120" s="5">
        <v>1</v>
      </c>
      <c r="F120" s="5">
        <v>1</v>
      </c>
      <c r="G120" s="5">
        <v>1</v>
      </c>
      <c r="H120" s="5">
        <v>1</v>
      </c>
      <c r="I120" s="5">
        <v>1</v>
      </c>
      <c r="J120" s="5">
        <v>1</v>
      </c>
      <c r="K120" s="5">
        <v>1</v>
      </c>
      <c r="L120" s="5">
        <v>1</v>
      </c>
      <c r="M120" s="5">
        <v>1</v>
      </c>
      <c r="N120" s="5">
        <v>1</v>
      </c>
      <c r="O120" s="5">
        <v>1</v>
      </c>
      <c r="P120" s="5">
        <v>1</v>
      </c>
      <c r="Q120" s="5">
        <v>1</v>
      </c>
      <c r="R120" s="5">
        <v>1</v>
      </c>
      <c r="S120" s="5">
        <v>1</v>
      </c>
      <c r="T120" s="5">
        <v>1</v>
      </c>
      <c r="U120" s="5">
        <v>1</v>
      </c>
      <c r="V120" s="5">
        <v>1</v>
      </c>
      <c r="W120" s="5">
        <v>1</v>
      </c>
      <c r="X120" s="5">
        <v>1</v>
      </c>
      <c r="Y120" s="5">
        <v>1</v>
      </c>
      <c r="Z120" s="5">
        <v>1</v>
      </c>
      <c r="AA120" s="5">
        <v>1</v>
      </c>
      <c r="AB120" s="5">
        <v>1</v>
      </c>
      <c r="AC120" s="5">
        <v>1</v>
      </c>
      <c r="AD120" s="5">
        <v>1</v>
      </c>
      <c r="AE120" s="5">
        <v>1</v>
      </c>
      <c r="AF120" s="5">
        <v>1</v>
      </c>
      <c r="AG120" s="5">
        <v>1</v>
      </c>
      <c r="AH120" s="5">
        <v>1</v>
      </c>
      <c r="AI120" s="5">
        <v>1</v>
      </c>
      <c r="AJ120" s="5">
        <v>1</v>
      </c>
      <c r="AK120" s="5">
        <v>1</v>
      </c>
      <c r="AL120" s="6"/>
      <c r="AM120" s="5">
        <v>1</v>
      </c>
    </row>
    <row r="121" spans="1:39" s="7" customFormat="1" x14ac:dyDescent="0.25">
      <c r="A121" s="5">
        <v>96</v>
      </c>
      <c r="B121" s="6"/>
      <c r="C121" s="5">
        <v>1</v>
      </c>
      <c r="D121" s="6"/>
      <c r="E121" s="5">
        <v>1</v>
      </c>
      <c r="F121" s="6"/>
      <c r="G121" s="5">
        <v>1</v>
      </c>
      <c r="H121" s="5">
        <v>1</v>
      </c>
      <c r="I121" s="5">
        <v>1</v>
      </c>
      <c r="J121" s="5">
        <v>1</v>
      </c>
      <c r="K121" s="6"/>
      <c r="L121" s="6"/>
      <c r="M121" s="6"/>
      <c r="N121" s="5">
        <v>1</v>
      </c>
      <c r="O121" s="5">
        <v>1</v>
      </c>
      <c r="P121" s="5">
        <v>1</v>
      </c>
      <c r="Q121" s="6"/>
      <c r="R121" s="5">
        <v>1</v>
      </c>
      <c r="S121" s="5">
        <v>1</v>
      </c>
      <c r="T121" s="6"/>
      <c r="U121" s="5">
        <v>1</v>
      </c>
      <c r="V121" s="5">
        <v>1</v>
      </c>
      <c r="W121" s="5">
        <v>1</v>
      </c>
      <c r="X121" s="6"/>
      <c r="Y121" s="6"/>
      <c r="Z121" s="5">
        <v>1</v>
      </c>
      <c r="AA121" s="6"/>
      <c r="AB121" s="5">
        <v>1</v>
      </c>
      <c r="AC121" s="5">
        <v>1</v>
      </c>
      <c r="AD121" s="6"/>
      <c r="AE121" s="5">
        <v>1</v>
      </c>
      <c r="AF121" s="6"/>
      <c r="AG121" s="5">
        <v>1</v>
      </c>
      <c r="AH121" s="5">
        <v>1</v>
      </c>
      <c r="AI121" s="6"/>
      <c r="AJ121" s="5">
        <v>1</v>
      </c>
      <c r="AK121" s="5">
        <v>1</v>
      </c>
      <c r="AL121" s="6"/>
      <c r="AM121" s="5">
        <v>1</v>
      </c>
    </row>
    <row r="122" spans="1:39" s="7" customFormat="1" x14ac:dyDescent="0.25">
      <c r="A122" s="5">
        <v>97</v>
      </c>
      <c r="B122" s="6"/>
      <c r="C122" s="5">
        <v>1</v>
      </c>
      <c r="D122" s="6"/>
      <c r="E122" s="5">
        <v>1</v>
      </c>
      <c r="F122" s="6"/>
      <c r="G122" s="5">
        <v>1</v>
      </c>
      <c r="H122" s="5">
        <v>1</v>
      </c>
      <c r="I122" s="5">
        <v>1</v>
      </c>
      <c r="J122" s="5">
        <v>1</v>
      </c>
      <c r="K122" s="6"/>
      <c r="L122" s="6"/>
      <c r="M122" s="6"/>
      <c r="N122" s="5">
        <v>1</v>
      </c>
      <c r="O122" s="5">
        <v>1</v>
      </c>
      <c r="P122" s="5">
        <v>1</v>
      </c>
      <c r="Q122" s="6"/>
      <c r="R122" s="5">
        <v>1</v>
      </c>
      <c r="S122" s="5">
        <v>1</v>
      </c>
      <c r="T122" s="6"/>
      <c r="U122" s="5">
        <v>1</v>
      </c>
      <c r="V122" s="5">
        <v>1</v>
      </c>
      <c r="W122" s="5">
        <v>1</v>
      </c>
      <c r="X122" s="6"/>
      <c r="Y122" s="6"/>
      <c r="Z122" s="5">
        <v>1</v>
      </c>
      <c r="AA122" s="6"/>
      <c r="AB122" s="5">
        <v>1</v>
      </c>
      <c r="AC122" s="5">
        <v>1</v>
      </c>
      <c r="AD122" s="6"/>
      <c r="AE122" s="5">
        <v>1</v>
      </c>
      <c r="AF122" s="6"/>
      <c r="AG122" s="5">
        <v>1</v>
      </c>
      <c r="AH122" s="5">
        <v>1</v>
      </c>
      <c r="AI122" s="6"/>
      <c r="AJ122" s="5">
        <v>1</v>
      </c>
      <c r="AK122" s="5">
        <v>1</v>
      </c>
      <c r="AL122" s="6"/>
      <c r="AM122" s="5">
        <v>1</v>
      </c>
    </row>
    <row r="123" spans="1:39" s="7" customFormat="1" x14ac:dyDescent="0.25">
      <c r="A123" s="5">
        <v>98</v>
      </c>
      <c r="B123" s="6"/>
      <c r="C123" s="5">
        <v>1</v>
      </c>
      <c r="D123" s="6"/>
      <c r="E123" s="5">
        <v>1</v>
      </c>
      <c r="F123" s="6"/>
      <c r="G123" s="5">
        <v>1</v>
      </c>
      <c r="H123" s="5">
        <v>1</v>
      </c>
      <c r="I123" s="5">
        <v>1</v>
      </c>
      <c r="J123" s="5">
        <v>1</v>
      </c>
      <c r="K123" s="6"/>
      <c r="L123" s="6"/>
      <c r="M123" s="6"/>
      <c r="N123" s="5">
        <v>1</v>
      </c>
      <c r="O123" s="5">
        <v>1</v>
      </c>
      <c r="P123" s="5">
        <v>1</v>
      </c>
      <c r="Q123" s="6"/>
      <c r="R123" s="5">
        <v>1</v>
      </c>
      <c r="S123" s="5">
        <v>1</v>
      </c>
      <c r="T123" s="6"/>
      <c r="U123" s="5">
        <v>1</v>
      </c>
      <c r="V123" s="5">
        <v>1</v>
      </c>
      <c r="W123" s="5">
        <v>1</v>
      </c>
      <c r="X123" s="6"/>
      <c r="Y123" s="6"/>
      <c r="Z123" s="5">
        <v>1</v>
      </c>
      <c r="AA123" s="6"/>
      <c r="AB123" s="5">
        <v>1</v>
      </c>
      <c r="AC123" s="5">
        <v>1</v>
      </c>
      <c r="AD123" s="6"/>
      <c r="AE123" s="5">
        <v>1</v>
      </c>
      <c r="AF123" s="6"/>
      <c r="AG123" s="5">
        <v>1</v>
      </c>
      <c r="AH123" s="5">
        <v>1</v>
      </c>
      <c r="AI123" s="6"/>
      <c r="AJ123" s="5">
        <v>1</v>
      </c>
      <c r="AK123" s="5">
        <v>1</v>
      </c>
      <c r="AL123" s="6"/>
      <c r="AM123" s="5">
        <v>1</v>
      </c>
    </row>
    <row r="124" spans="1:39" s="7" customFormat="1" x14ac:dyDescent="0.25">
      <c r="A124" s="5">
        <v>99</v>
      </c>
      <c r="B124" s="6"/>
      <c r="C124" s="5">
        <v>1</v>
      </c>
      <c r="D124" s="6"/>
      <c r="E124" s="5">
        <v>1</v>
      </c>
      <c r="F124" s="6"/>
      <c r="G124" s="5">
        <v>1</v>
      </c>
      <c r="H124" s="5">
        <v>1</v>
      </c>
      <c r="I124" s="5">
        <v>1</v>
      </c>
      <c r="J124" s="5">
        <v>1</v>
      </c>
      <c r="K124" s="6"/>
      <c r="L124" s="6"/>
      <c r="M124" s="6"/>
      <c r="N124" s="5">
        <v>1</v>
      </c>
      <c r="O124" s="5">
        <v>1</v>
      </c>
      <c r="P124" s="5">
        <v>1</v>
      </c>
      <c r="Q124" s="6"/>
      <c r="R124" s="5">
        <v>1</v>
      </c>
      <c r="S124" s="5">
        <v>1</v>
      </c>
      <c r="T124" s="6"/>
      <c r="U124" s="5">
        <v>1</v>
      </c>
      <c r="V124" s="5">
        <v>1</v>
      </c>
      <c r="W124" s="5">
        <v>1</v>
      </c>
      <c r="X124" s="6"/>
      <c r="Y124" s="6"/>
      <c r="Z124" s="5">
        <v>1</v>
      </c>
      <c r="AA124" s="6"/>
      <c r="AB124" s="5">
        <v>1</v>
      </c>
      <c r="AC124" s="5">
        <v>1</v>
      </c>
      <c r="AD124" s="6"/>
      <c r="AE124" s="5">
        <v>1</v>
      </c>
      <c r="AF124" s="6"/>
      <c r="AG124" s="5">
        <v>1</v>
      </c>
      <c r="AH124" s="5">
        <v>1</v>
      </c>
      <c r="AI124" s="6"/>
      <c r="AJ124" s="5">
        <v>1</v>
      </c>
      <c r="AK124" s="5">
        <v>1</v>
      </c>
      <c r="AL124" s="6"/>
      <c r="AM124" s="5">
        <v>1</v>
      </c>
    </row>
    <row r="125" spans="1:39" s="7" customFormat="1" x14ac:dyDescent="0.25">
      <c r="A125" s="5">
        <v>100</v>
      </c>
      <c r="B125" s="6"/>
      <c r="C125" s="5">
        <v>1</v>
      </c>
      <c r="D125" s="6"/>
      <c r="E125" s="5">
        <v>1</v>
      </c>
      <c r="F125" s="6"/>
      <c r="G125" s="5">
        <v>1</v>
      </c>
      <c r="H125" s="5">
        <v>1</v>
      </c>
      <c r="I125" s="5">
        <v>1</v>
      </c>
      <c r="J125" s="5">
        <v>1</v>
      </c>
      <c r="K125" s="6"/>
      <c r="L125" s="6"/>
      <c r="M125" s="6"/>
      <c r="N125" s="5">
        <v>1</v>
      </c>
      <c r="O125" s="5">
        <v>1</v>
      </c>
      <c r="P125" s="5">
        <v>1</v>
      </c>
      <c r="Q125" s="6"/>
      <c r="R125" s="5">
        <v>1</v>
      </c>
      <c r="S125" s="5">
        <v>1</v>
      </c>
      <c r="T125" s="6"/>
      <c r="U125" s="5">
        <v>1</v>
      </c>
      <c r="V125" s="5">
        <v>1</v>
      </c>
      <c r="W125" s="5">
        <v>1</v>
      </c>
      <c r="X125" s="6"/>
      <c r="Y125" s="6"/>
      <c r="Z125" s="5">
        <v>1</v>
      </c>
      <c r="AA125" s="6"/>
      <c r="AB125" s="5">
        <v>1</v>
      </c>
      <c r="AC125" s="5">
        <v>1</v>
      </c>
      <c r="AD125" s="6"/>
      <c r="AE125" s="5">
        <v>1</v>
      </c>
      <c r="AF125" s="6"/>
      <c r="AG125" s="5">
        <v>1</v>
      </c>
      <c r="AH125" s="5">
        <v>1</v>
      </c>
      <c r="AI125" s="6"/>
      <c r="AJ125" s="5">
        <v>1</v>
      </c>
      <c r="AK125" s="5">
        <v>1</v>
      </c>
      <c r="AL125" s="6"/>
      <c r="AM125" s="5">
        <v>1</v>
      </c>
    </row>
    <row r="126" spans="1:39" s="7" customFormat="1" x14ac:dyDescent="0.25">
      <c r="A126" s="5">
        <v>101</v>
      </c>
      <c r="B126" s="6"/>
      <c r="C126" s="5">
        <v>1</v>
      </c>
      <c r="D126" s="6"/>
      <c r="E126" s="5">
        <v>1</v>
      </c>
      <c r="F126" s="6"/>
      <c r="G126" s="5">
        <v>1</v>
      </c>
      <c r="H126" s="5">
        <v>1</v>
      </c>
      <c r="I126" s="5">
        <v>1</v>
      </c>
      <c r="J126" s="5">
        <v>1</v>
      </c>
      <c r="K126" s="6"/>
      <c r="L126" s="6"/>
      <c r="M126" s="6"/>
      <c r="N126" s="5">
        <v>1</v>
      </c>
      <c r="O126" s="5">
        <v>1</v>
      </c>
      <c r="P126" s="5">
        <v>1</v>
      </c>
      <c r="Q126" s="6"/>
      <c r="R126" s="5">
        <v>1</v>
      </c>
      <c r="S126" s="5">
        <v>1</v>
      </c>
      <c r="T126" s="6"/>
      <c r="U126" s="5">
        <v>1</v>
      </c>
      <c r="V126" s="5">
        <v>1</v>
      </c>
      <c r="W126" s="5">
        <v>1</v>
      </c>
      <c r="X126" s="6"/>
      <c r="Y126" s="6"/>
      <c r="Z126" s="5">
        <v>1</v>
      </c>
      <c r="AA126" s="6"/>
      <c r="AB126" s="5">
        <v>1</v>
      </c>
      <c r="AC126" s="5">
        <v>1</v>
      </c>
      <c r="AD126" s="6"/>
      <c r="AE126" s="5">
        <v>1</v>
      </c>
      <c r="AF126" s="6"/>
      <c r="AG126" s="5">
        <v>1</v>
      </c>
      <c r="AH126" s="5">
        <v>1</v>
      </c>
      <c r="AI126" s="6"/>
      <c r="AJ126" s="5">
        <v>1</v>
      </c>
      <c r="AK126" s="5">
        <v>1</v>
      </c>
      <c r="AL126" s="6"/>
      <c r="AM126" s="5">
        <v>1</v>
      </c>
    </row>
    <row r="127" spans="1:39" s="7" customFormat="1" x14ac:dyDescent="0.25">
      <c r="A127" s="5">
        <v>102</v>
      </c>
      <c r="B127" s="5">
        <v>1</v>
      </c>
      <c r="C127" s="5"/>
      <c r="D127" s="6"/>
      <c r="E127" s="5"/>
      <c r="F127" s="5">
        <v>1</v>
      </c>
      <c r="G127" s="5"/>
      <c r="H127" s="5">
        <v>1</v>
      </c>
      <c r="I127" s="5"/>
      <c r="J127" s="5"/>
      <c r="K127" s="5"/>
      <c r="L127" s="5"/>
      <c r="M127" s="5"/>
      <c r="N127" s="5">
        <v>1</v>
      </c>
      <c r="O127" s="5"/>
      <c r="P127" s="5">
        <v>1</v>
      </c>
      <c r="Q127" s="5"/>
      <c r="R127" s="5"/>
      <c r="S127" s="5">
        <v>1</v>
      </c>
      <c r="T127" s="5"/>
      <c r="U127" s="5"/>
      <c r="V127" s="5"/>
      <c r="W127" s="5"/>
      <c r="X127" s="5"/>
      <c r="Y127" s="5"/>
      <c r="Z127" s="5"/>
      <c r="AA127" s="5">
        <v>1</v>
      </c>
      <c r="AB127" s="5"/>
      <c r="AC127" s="5"/>
      <c r="AD127" s="6"/>
      <c r="AE127" s="5">
        <v>1</v>
      </c>
      <c r="AF127" s="5">
        <v>1</v>
      </c>
      <c r="AG127" s="5">
        <v>1</v>
      </c>
      <c r="AH127" s="5">
        <v>1</v>
      </c>
      <c r="AI127" s="6"/>
      <c r="AJ127" s="5">
        <v>1</v>
      </c>
      <c r="AK127" s="5"/>
      <c r="AL127" s="6"/>
      <c r="AM127" s="5"/>
    </row>
    <row r="128" spans="1:39" s="7" customFormat="1" x14ac:dyDescent="0.25">
      <c r="A128" s="5">
        <v>103</v>
      </c>
      <c r="B128" s="5">
        <v>1</v>
      </c>
      <c r="C128" s="5">
        <v>1</v>
      </c>
      <c r="D128" s="6"/>
      <c r="E128" s="5">
        <v>1</v>
      </c>
      <c r="F128" s="5">
        <v>1</v>
      </c>
      <c r="G128" s="5">
        <v>1</v>
      </c>
      <c r="H128" s="5">
        <v>1</v>
      </c>
      <c r="I128" s="5">
        <v>1</v>
      </c>
      <c r="J128" s="5">
        <v>1</v>
      </c>
      <c r="K128" s="5">
        <v>1</v>
      </c>
      <c r="L128" s="5">
        <v>1</v>
      </c>
      <c r="M128" s="5">
        <v>1</v>
      </c>
      <c r="N128" s="5">
        <v>1</v>
      </c>
      <c r="O128" s="5">
        <v>1</v>
      </c>
      <c r="P128" s="5">
        <v>1</v>
      </c>
      <c r="Q128" s="5">
        <v>1</v>
      </c>
      <c r="R128" s="5">
        <v>1</v>
      </c>
      <c r="S128" s="5">
        <v>1</v>
      </c>
      <c r="T128" s="5">
        <v>1</v>
      </c>
      <c r="U128" s="5">
        <v>1</v>
      </c>
      <c r="V128" s="5">
        <v>1</v>
      </c>
      <c r="W128" s="5">
        <v>1</v>
      </c>
      <c r="X128" s="5">
        <v>1</v>
      </c>
      <c r="Y128" s="5">
        <v>1</v>
      </c>
      <c r="Z128" s="5">
        <v>1</v>
      </c>
      <c r="AA128" s="5">
        <v>1</v>
      </c>
      <c r="AB128" s="5">
        <v>1</v>
      </c>
      <c r="AC128" s="5">
        <v>1</v>
      </c>
      <c r="AD128" s="6"/>
      <c r="AE128" s="5">
        <v>1</v>
      </c>
      <c r="AF128" s="5">
        <v>1</v>
      </c>
      <c r="AG128" s="5">
        <v>1</v>
      </c>
      <c r="AH128" s="5">
        <v>1</v>
      </c>
      <c r="AI128" s="6"/>
      <c r="AJ128" s="5">
        <v>1</v>
      </c>
      <c r="AK128" s="5">
        <v>1</v>
      </c>
      <c r="AL128" s="6"/>
      <c r="AM128" s="5">
        <v>1</v>
      </c>
    </row>
    <row r="129" spans="1:39" s="7" customFormat="1" x14ac:dyDescent="0.25">
      <c r="A129" s="5">
        <v>104</v>
      </c>
      <c r="B129" s="5">
        <v>1</v>
      </c>
      <c r="C129" s="5"/>
      <c r="D129" s="6"/>
      <c r="E129" s="5"/>
      <c r="F129" s="5">
        <v>1</v>
      </c>
      <c r="G129" s="5"/>
      <c r="H129" s="5">
        <v>1</v>
      </c>
      <c r="I129" s="5"/>
      <c r="J129" s="5"/>
      <c r="K129" s="5"/>
      <c r="L129" s="5"/>
      <c r="M129" s="5"/>
      <c r="N129" s="5">
        <v>1</v>
      </c>
      <c r="O129" s="5"/>
      <c r="P129" s="5">
        <v>1</v>
      </c>
      <c r="Q129" s="5"/>
      <c r="R129" s="5"/>
      <c r="S129" s="5">
        <v>1</v>
      </c>
      <c r="T129" s="5"/>
      <c r="U129" s="5"/>
      <c r="V129" s="5"/>
      <c r="W129" s="5"/>
      <c r="X129" s="5"/>
      <c r="Y129" s="5"/>
      <c r="Z129" s="5"/>
      <c r="AA129" s="5">
        <v>1</v>
      </c>
      <c r="AB129" s="5"/>
      <c r="AC129" s="5"/>
      <c r="AD129" s="6"/>
      <c r="AE129" s="5">
        <v>1</v>
      </c>
      <c r="AF129" s="5">
        <v>1</v>
      </c>
      <c r="AG129" s="5">
        <v>1</v>
      </c>
      <c r="AH129" s="5">
        <v>1</v>
      </c>
      <c r="AI129" s="6"/>
      <c r="AJ129" s="5">
        <v>1</v>
      </c>
      <c r="AK129" s="5"/>
      <c r="AL129" s="6"/>
      <c r="AM129" s="5"/>
    </row>
    <row r="130" spans="1:39" s="7" customFormat="1" x14ac:dyDescent="0.25">
      <c r="A130" s="5">
        <v>105</v>
      </c>
      <c r="B130" s="6"/>
      <c r="C130" s="5">
        <v>1</v>
      </c>
      <c r="D130" s="6"/>
      <c r="E130" s="5">
        <v>1</v>
      </c>
      <c r="F130" s="6"/>
      <c r="G130" s="5">
        <v>1</v>
      </c>
      <c r="H130" s="6"/>
      <c r="I130" s="5">
        <v>1</v>
      </c>
      <c r="J130" s="5">
        <v>1</v>
      </c>
      <c r="K130" s="5">
        <v>1</v>
      </c>
      <c r="L130" s="5">
        <v>1</v>
      </c>
      <c r="M130" s="5">
        <v>1</v>
      </c>
      <c r="N130" s="6"/>
      <c r="O130" s="5">
        <v>1</v>
      </c>
      <c r="P130" s="6"/>
      <c r="Q130" s="5">
        <v>1</v>
      </c>
      <c r="R130" s="5">
        <v>1</v>
      </c>
      <c r="S130" s="6"/>
      <c r="T130" s="5">
        <v>1</v>
      </c>
      <c r="U130" s="5">
        <v>1</v>
      </c>
      <c r="V130" s="5">
        <v>1</v>
      </c>
      <c r="W130" s="5">
        <v>1</v>
      </c>
      <c r="X130" s="5">
        <v>1</v>
      </c>
      <c r="Y130" s="5">
        <v>1</v>
      </c>
      <c r="Z130" s="5">
        <v>1</v>
      </c>
      <c r="AA130" s="6"/>
      <c r="AB130" s="5">
        <v>1</v>
      </c>
      <c r="AC130" s="5">
        <v>1</v>
      </c>
      <c r="AD130" s="6"/>
      <c r="AE130" s="6"/>
      <c r="AF130" s="6"/>
      <c r="AG130" s="6"/>
      <c r="AH130" s="6"/>
      <c r="AI130" s="6"/>
      <c r="AJ130" s="6"/>
      <c r="AK130" s="5">
        <v>1</v>
      </c>
      <c r="AL130" s="6"/>
      <c r="AM130" s="5">
        <v>1</v>
      </c>
    </row>
    <row r="131" spans="1:39" s="7" customFormat="1" x14ac:dyDescent="0.25">
      <c r="A131" s="5">
        <v>106</v>
      </c>
      <c r="B131" s="6"/>
      <c r="C131" s="5">
        <v>1</v>
      </c>
      <c r="D131" s="6"/>
      <c r="E131" s="5">
        <v>1</v>
      </c>
      <c r="F131" s="6"/>
      <c r="G131" s="5">
        <v>1</v>
      </c>
      <c r="H131" s="6"/>
      <c r="I131" s="5">
        <v>1</v>
      </c>
      <c r="J131" s="5">
        <v>1</v>
      </c>
      <c r="K131" s="5">
        <v>1</v>
      </c>
      <c r="L131" s="5">
        <v>1</v>
      </c>
      <c r="M131" s="5">
        <v>1</v>
      </c>
      <c r="N131" s="6"/>
      <c r="O131" s="5">
        <v>1</v>
      </c>
      <c r="P131" s="6"/>
      <c r="Q131" s="5">
        <v>1</v>
      </c>
      <c r="R131" s="5">
        <v>1</v>
      </c>
      <c r="S131" s="6"/>
      <c r="T131" s="5">
        <v>1</v>
      </c>
      <c r="U131" s="5">
        <v>1</v>
      </c>
      <c r="V131" s="5">
        <v>1</v>
      </c>
      <c r="W131" s="5">
        <v>1</v>
      </c>
      <c r="X131" s="5">
        <v>1</v>
      </c>
      <c r="Y131" s="5">
        <v>1</v>
      </c>
      <c r="Z131" s="5">
        <v>1</v>
      </c>
      <c r="AA131" s="6"/>
      <c r="AB131" s="5">
        <v>1</v>
      </c>
      <c r="AC131" s="5">
        <v>1</v>
      </c>
      <c r="AD131" s="6"/>
      <c r="AE131" s="6"/>
      <c r="AF131" s="6"/>
      <c r="AG131" s="6"/>
      <c r="AH131" s="6"/>
      <c r="AI131" s="6"/>
      <c r="AJ131" s="6"/>
      <c r="AK131" s="5">
        <v>1</v>
      </c>
      <c r="AL131" s="6"/>
      <c r="AM131" s="5">
        <v>1</v>
      </c>
    </row>
    <row r="132" spans="1:39" s="7" customFormat="1" x14ac:dyDescent="0.25">
      <c r="A132" s="5">
        <v>107</v>
      </c>
      <c r="B132" s="6"/>
      <c r="C132" s="5">
        <v>1</v>
      </c>
      <c r="D132" s="6"/>
      <c r="E132" s="5">
        <v>1</v>
      </c>
      <c r="F132" s="6"/>
      <c r="G132" s="5">
        <v>1</v>
      </c>
      <c r="H132" s="6"/>
      <c r="I132" s="5">
        <v>1</v>
      </c>
      <c r="J132" s="5">
        <v>1</v>
      </c>
      <c r="K132" s="5">
        <v>1</v>
      </c>
      <c r="L132" s="5">
        <v>1</v>
      </c>
      <c r="M132" s="5">
        <v>1</v>
      </c>
      <c r="N132" s="6"/>
      <c r="O132" s="5">
        <v>1</v>
      </c>
      <c r="P132" s="6"/>
      <c r="Q132" s="5">
        <v>1</v>
      </c>
      <c r="R132" s="5">
        <v>1</v>
      </c>
      <c r="S132" s="6"/>
      <c r="T132" s="5">
        <v>1</v>
      </c>
      <c r="U132" s="5">
        <v>1</v>
      </c>
      <c r="V132" s="5">
        <v>1</v>
      </c>
      <c r="W132" s="5">
        <v>1</v>
      </c>
      <c r="X132" s="5">
        <v>1</v>
      </c>
      <c r="Y132" s="5">
        <v>1</v>
      </c>
      <c r="Z132" s="5">
        <v>1</v>
      </c>
      <c r="AA132" s="6"/>
      <c r="AB132" s="5">
        <v>1</v>
      </c>
      <c r="AC132" s="5">
        <v>1</v>
      </c>
      <c r="AD132" s="6"/>
      <c r="AE132" s="6"/>
      <c r="AF132" s="6"/>
      <c r="AG132" s="6"/>
      <c r="AH132" s="6"/>
      <c r="AI132" s="6"/>
      <c r="AJ132" s="6"/>
      <c r="AK132" s="5">
        <v>1</v>
      </c>
      <c r="AL132" s="6"/>
      <c r="AM132" s="5">
        <v>1</v>
      </c>
    </row>
    <row r="133" spans="1:39" s="7" customFormat="1" x14ac:dyDescent="0.25">
      <c r="A133" s="5">
        <v>108</v>
      </c>
      <c r="B133" s="6"/>
      <c r="C133" s="5">
        <v>1</v>
      </c>
      <c r="D133" s="6"/>
      <c r="E133" s="5">
        <v>1</v>
      </c>
      <c r="F133" s="6"/>
      <c r="G133" s="5">
        <v>1</v>
      </c>
      <c r="H133" s="6"/>
      <c r="I133" s="5">
        <v>1</v>
      </c>
      <c r="J133" s="5">
        <v>1</v>
      </c>
      <c r="K133" s="5">
        <v>1</v>
      </c>
      <c r="L133" s="5">
        <v>1</v>
      </c>
      <c r="M133" s="5">
        <v>1</v>
      </c>
      <c r="N133" s="6"/>
      <c r="O133" s="5">
        <v>1</v>
      </c>
      <c r="P133" s="6"/>
      <c r="Q133" s="5">
        <v>1</v>
      </c>
      <c r="R133" s="5">
        <v>1</v>
      </c>
      <c r="S133" s="6"/>
      <c r="T133" s="5">
        <v>1</v>
      </c>
      <c r="U133" s="5">
        <v>1</v>
      </c>
      <c r="V133" s="5">
        <v>1</v>
      </c>
      <c r="W133" s="5">
        <v>1</v>
      </c>
      <c r="X133" s="5">
        <v>1</v>
      </c>
      <c r="Y133" s="5">
        <v>1</v>
      </c>
      <c r="Z133" s="5">
        <v>1</v>
      </c>
      <c r="AA133" s="6"/>
      <c r="AB133" s="5">
        <v>1</v>
      </c>
      <c r="AC133" s="5">
        <v>1</v>
      </c>
      <c r="AD133" s="6"/>
      <c r="AE133" s="6"/>
      <c r="AF133" s="6"/>
      <c r="AG133" s="6"/>
      <c r="AH133" s="6"/>
      <c r="AI133" s="6"/>
      <c r="AJ133" s="6"/>
      <c r="AK133" s="5">
        <v>1</v>
      </c>
      <c r="AL133" s="6"/>
      <c r="AM133" s="5">
        <v>1</v>
      </c>
    </row>
    <row r="134" spans="1:39" s="7" customFormat="1" x14ac:dyDescent="0.25">
      <c r="A134" s="5">
        <v>109</v>
      </c>
      <c r="B134" s="5">
        <v>1</v>
      </c>
      <c r="C134" s="6"/>
      <c r="D134" s="6"/>
      <c r="E134" s="6"/>
      <c r="F134" s="5">
        <v>1</v>
      </c>
      <c r="G134" s="6"/>
      <c r="H134" s="5">
        <v>1</v>
      </c>
      <c r="I134" s="6"/>
      <c r="J134" s="6"/>
      <c r="K134" s="6"/>
      <c r="L134" s="6"/>
      <c r="M134" s="6"/>
      <c r="N134" s="5">
        <v>1</v>
      </c>
      <c r="O134" s="6"/>
      <c r="P134" s="5">
        <v>1</v>
      </c>
      <c r="Q134" s="6"/>
      <c r="R134" s="6"/>
      <c r="S134" s="5">
        <v>1</v>
      </c>
      <c r="T134" s="6"/>
      <c r="U134" s="6"/>
      <c r="V134" s="6"/>
      <c r="W134" s="6"/>
      <c r="X134" s="6"/>
      <c r="Y134" s="6"/>
      <c r="Z134" s="6"/>
      <c r="AA134" s="5">
        <v>1</v>
      </c>
      <c r="AB134" s="6"/>
      <c r="AC134" s="6"/>
      <c r="AD134" s="6"/>
      <c r="AE134" s="5">
        <v>1</v>
      </c>
      <c r="AF134" s="5">
        <v>1</v>
      </c>
      <c r="AG134" s="5">
        <v>1</v>
      </c>
      <c r="AH134" s="5">
        <v>1</v>
      </c>
      <c r="AI134" s="6"/>
      <c r="AJ134" s="5">
        <v>1</v>
      </c>
      <c r="AK134" s="6"/>
      <c r="AL134" s="6"/>
      <c r="AM134" s="6"/>
    </row>
    <row r="135" spans="1:39" s="7" customFormat="1" x14ac:dyDescent="0.25">
      <c r="A135" s="5">
        <v>110</v>
      </c>
      <c r="B135" s="5">
        <v>1</v>
      </c>
      <c r="C135" s="6"/>
      <c r="D135" s="6"/>
      <c r="E135" s="6"/>
      <c r="F135" s="5">
        <v>1</v>
      </c>
      <c r="G135" s="6"/>
      <c r="H135" s="5">
        <v>1</v>
      </c>
      <c r="I135" s="6"/>
      <c r="J135" s="6"/>
      <c r="K135" s="6"/>
      <c r="L135" s="6"/>
      <c r="M135" s="6"/>
      <c r="N135" s="5">
        <v>1</v>
      </c>
      <c r="O135" s="6"/>
      <c r="P135" s="5">
        <v>1</v>
      </c>
      <c r="Q135" s="6"/>
      <c r="R135" s="6"/>
      <c r="S135" s="5">
        <v>1</v>
      </c>
      <c r="T135" s="6"/>
      <c r="U135" s="6"/>
      <c r="V135" s="6"/>
      <c r="W135" s="6"/>
      <c r="X135" s="6"/>
      <c r="Y135" s="6"/>
      <c r="Z135" s="6"/>
      <c r="AA135" s="5">
        <v>1</v>
      </c>
      <c r="AB135" s="6"/>
      <c r="AC135" s="6"/>
      <c r="AD135" s="6"/>
      <c r="AE135" s="5">
        <v>1</v>
      </c>
      <c r="AF135" s="5">
        <v>1</v>
      </c>
      <c r="AG135" s="5">
        <v>1</v>
      </c>
      <c r="AH135" s="5">
        <v>1</v>
      </c>
      <c r="AI135" s="6"/>
      <c r="AJ135" s="5">
        <v>1</v>
      </c>
      <c r="AK135" s="6"/>
      <c r="AL135" s="6"/>
      <c r="AM135" s="6"/>
    </row>
    <row r="136" spans="1:39" s="7" customFormat="1" x14ac:dyDescent="0.25">
      <c r="A136" s="5">
        <v>111</v>
      </c>
      <c r="B136" s="5">
        <v>1</v>
      </c>
      <c r="C136" s="6"/>
      <c r="D136" s="6"/>
      <c r="E136" s="6"/>
      <c r="F136" s="5">
        <v>1</v>
      </c>
      <c r="G136" s="6"/>
      <c r="H136" s="5">
        <v>1</v>
      </c>
      <c r="I136" s="6"/>
      <c r="J136" s="6"/>
      <c r="K136" s="6"/>
      <c r="L136" s="6"/>
      <c r="M136" s="6"/>
      <c r="N136" s="5">
        <v>1</v>
      </c>
      <c r="O136" s="6"/>
      <c r="P136" s="5">
        <v>1</v>
      </c>
      <c r="Q136" s="6"/>
      <c r="R136" s="6"/>
      <c r="S136" s="5">
        <v>1</v>
      </c>
      <c r="T136" s="6"/>
      <c r="U136" s="6"/>
      <c r="V136" s="6"/>
      <c r="W136" s="6"/>
      <c r="X136" s="6"/>
      <c r="Y136" s="6"/>
      <c r="Z136" s="6"/>
      <c r="AA136" s="5">
        <v>1</v>
      </c>
      <c r="AB136" s="6"/>
      <c r="AC136" s="6"/>
      <c r="AD136" s="6"/>
      <c r="AE136" s="5">
        <v>1</v>
      </c>
      <c r="AF136" s="5">
        <v>1</v>
      </c>
      <c r="AG136" s="5">
        <v>1</v>
      </c>
      <c r="AH136" s="5">
        <v>1</v>
      </c>
      <c r="AI136" s="6"/>
      <c r="AJ136" s="5">
        <v>1</v>
      </c>
      <c r="AK136" s="6"/>
      <c r="AL136" s="6"/>
      <c r="AM136" s="6"/>
    </row>
    <row r="137" spans="1:39" s="7" customFormat="1" x14ac:dyDescent="0.25">
      <c r="A137" s="5">
        <v>112</v>
      </c>
      <c r="B137" s="5">
        <v>1</v>
      </c>
      <c r="C137" s="6"/>
      <c r="D137" s="6"/>
      <c r="E137" s="6"/>
      <c r="F137" s="5">
        <v>1</v>
      </c>
      <c r="G137" s="6"/>
      <c r="H137" s="5">
        <v>1</v>
      </c>
      <c r="I137" s="6"/>
      <c r="J137" s="6"/>
      <c r="K137" s="6"/>
      <c r="L137" s="6"/>
      <c r="M137" s="6"/>
      <c r="N137" s="5">
        <v>1</v>
      </c>
      <c r="O137" s="6"/>
      <c r="P137" s="5">
        <v>1</v>
      </c>
      <c r="Q137" s="6"/>
      <c r="R137" s="6"/>
      <c r="S137" s="5">
        <v>1</v>
      </c>
      <c r="T137" s="6"/>
      <c r="U137" s="6"/>
      <c r="V137" s="6"/>
      <c r="W137" s="6"/>
      <c r="X137" s="6"/>
      <c r="Y137" s="6"/>
      <c r="Z137" s="6"/>
      <c r="AA137" s="5">
        <v>1</v>
      </c>
      <c r="AB137" s="6"/>
      <c r="AC137" s="6"/>
      <c r="AD137" s="6"/>
      <c r="AE137" s="5">
        <v>1</v>
      </c>
      <c r="AF137" s="5">
        <v>1</v>
      </c>
      <c r="AG137" s="5">
        <v>1</v>
      </c>
      <c r="AH137" s="5">
        <v>1</v>
      </c>
      <c r="AI137" s="6"/>
      <c r="AJ137" s="5">
        <v>1</v>
      </c>
      <c r="AK137" s="6"/>
      <c r="AL137" s="6"/>
      <c r="AM137" s="6"/>
    </row>
    <row r="138" spans="1:39" s="7" customFormat="1" x14ac:dyDescent="0.25">
      <c r="A138" s="5">
        <v>113</v>
      </c>
      <c r="B138" s="5">
        <v>1</v>
      </c>
      <c r="C138" s="5"/>
      <c r="D138" s="6"/>
      <c r="E138" s="5"/>
      <c r="F138" s="5">
        <v>1</v>
      </c>
      <c r="G138" s="5"/>
      <c r="H138" s="5">
        <v>1</v>
      </c>
      <c r="I138" s="5"/>
      <c r="J138" s="5"/>
      <c r="K138" s="5"/>
      <c r="L138" s="5"/>
      <c r="M138" s="5"/>
      <c r="N138" s="5">
        <v>1</v>
      </c>
      <c r="O138" s="5"/>
      <c r="P138" s="5">
        <v>1</v>
      </c>
      <c r="Q138" s="5"/>
      <c r="R138" s="5"/>
      <c r="S138" s="5">
        <v>1</v>
      </c>
      <c r="T138" s="5"/>
      <c r="U138" s="5"/>
      <c r="V138" s="5"/>
      <c r="W138" s="5"/>
      <c r="X138" s="5"/>
      <c r="Y138" s="5"/>
      <c r="Z138" s="5"/>
      <c r="AA138" s="5">
        <v>1</v>
      </c>
      <c r="AB138" s="5"/>
      <c r="AC138" s="5"/>
      <c r="AD138" s="6"/>
      <c r="AE138" s="5">
        <v>1</v>
      </c>
      <c r="AF138" s="5">
        <v>1</v>
      </c>
      <c r="AG138" s="5">
        <v>1</v>
      </c>
      <c r="AH138" s="5">
        <v>1</v>
      </c>
      <c r="AI138" s="6"/>
      <c r="AJ138" s="5">
        <v>1</v>
      </c>
      <c r="AK138" s="5"/>
      <c r="AL138" s="6"/>
      <c r="AM138" s="5"/>
    </row>
    <row r="139" spans="1:39" s="7" customFormat="1" x14ac:dyDescent="0.25">
      <c r="A139" s="5">
        <v>114</v>
      </c>
      <c r="B139" s="5">
        <v>1</v>
      </c>
      <c r="C139" s="5">
        <v>1</v>
      </c>
      <c r="D139" s="6"/>
      <c r="E139" s="5">
        <v>1</v>
      </c>
      <c r="F139" s="5">
        <v>1</v>
      </c>
      <c r="G139" s="5">
        <v>1</v>
      </c>
      <c r="H139" s="5">
        <v>1</v>
      </c>
      <c r="I139" s="5">
        <v>1</v>
      </c>
      <c r="J139" s="5">
        <v>1</v>
      </c>
      <c r="K139" s="5">
        <v>1</v>
      </c>
      <c r="L139" s="5">
        <v>1</v>
      </c>
      <c r="M139" s="5">
        <v>1</v>
      </c>
      <c r="N139" s="5">
        <v>1</v>
      </c>
      <c r="O139" s="5">
        <v>1</v>
      </c>
      <c r="P139" s="5">
        <v>1</v>
      </c>
      <c r="Q139" s="5">
        <v>1</v>
      </c>
      <c r="R139" s="5">
        <v>1</v>
      </c>
      <c r="S139" s="5">
        <v>1</v>
      </c>
      <c r="T139" s="5">
        <v>1</v>
      </c>
      <c r="U139" s="5">
        <v>1</v>
      </c>
      <c r="V139" s="5">
        <v>1</v>
      </c>
      <c r="W139" s="5">
        <v>1</v>
      </c>
      <c r="X139" s="5">
        <v>1</v>
      </c>
      <c r="Y139" s="5">
        <v>1</v>
      </c>
      <c r="Z139" s="5">
        <v>1</v>
      </c>
      <c r="AA139" s="5">
        <v>1</v>
      </c>
      <c r="AB139" s="5">
        <v>1</v>
      </c>
      <c r="AC139" s="5">
        <v>1</v>
      </c>
      <c r="AD139" s="6"/>
      <c r="AE139" s="5">
        <v>1</v>
      </c>
      <c r="AF139" s="5">
        <v>1</v>
      </c>
      <c r="AG139" s="5">
        <v>1</v>
      </c>
      <c r="AH139" s="5">
        <v>1</v>
      </c>
      <c r="AI139" s="6"/>
      <c r="AJ139" s="5">
        <v>1</v>
      </c>
      <c r="AK139" s="5">
        <v>1</v>
      </c>
      <c r="AL139" s="6"/>
      <c r="AM139" s="5">
        <v>1</v>
      </c>
    </row>
    <row r="140" spans="1:39" s="7" customFormat="1" x14ac:dyDescent="0.25">
      <c r="A140" s="5">
        <v>115</v>
      </c>
      <c r="B140" s="5">
        <v>1</v>
      </c>
      <c r="C140" s="5">
        <v>1</v>
      </c>
      <c r="D140" s="5">
        <v>1</v>
      </c>
      <c r="E140" s="5">
        <v>1</v>
      </c>
      <c r="F140" s="5">
        <v>1</v>
      </c>
      <c r="G140" s="5">
        <v>1</v>
      </c>
      <c r="H140" s="5">
        <v>1</v>
      </c>
      <c r="I140" s="5">
        <v>1</v>
      </c>
      <c r="J140" s="5">
        <v>1</v>
      </c>
      <c r="K140" s="5">
        <v>1</v>
      </c>
      <c r="L140" s="5">
        <v>1</v>
      </c>
      <c r="M140" s="5">
        <v>1</v>
      </c>
      <c r="N140" s="5">
        <v>1</v>
      </c>
      <c r="O140" s="5">
        <v>1</v>
      </c>
      <c r="P140" s="5">
        <v>1</v>
      </c>
      <c r="Q140" s="5">
        <v>1</v>
      </c>
      <c r="R140" s="5">
        <v>1</v>
      </c>
      <c r="S140" s="5">
        <v>1</v>
      </c>
      <c r="T140" s="5">
        <v>1</v>
      </c>
      <c r="U140" s="5">
        <v>1</v>
      </c>
      <c r="V140" s="5">
        <v>1</v>
      </c>
      <c r="W140" s="5">
        <v>1</v>
      </c>
      <c r="X140" s="5">
        <v>1</v>
      </c>
      <c r="Y140" s="5">
        <v>1</v>
      </c>
      <c r="Z140" s="5">
        <v>1</v>
      </c>
      <c r="AA140" s="5">
        <v>1</v>
      </c>
      <c r="AB140" s="5">
        <v>1</v>
      </c>
      <c r="AC140" s="5">
        <v>1</v>
      </c>
      <c r="AD140" s="5">
        <v>1</v>
      </c>
      <c r="AE140" s="5">
        <v>1</v>
      </c>
      <c r="AF140" s="5">
        <v>1</v>
      </c>
      <c r="AG140" s="5">
        <v>1</v>
      </c>
      <c r="AH140" s="5">
        <v>1</v>
      </c>
      <c r="AI140" s="5">
        <v>1</v>
      </c>
      <c r="AJ140" s="5">
        <v>1</v>
      </c>
      <c r="AK140" s="5">
        <v>1</v>
      </c>
      <c r="AL140" s="5">
        <v>1</v>
      </c>
      <c r="AM140" s="5">
        <v>1</v>
      </c>
    </row>
    <row r="141" spans="1:39" s="7" customFormat="1" x14ac:dyDescent="0.25">
      <c r="A141" s="5">
        <v>116</v>
      </c>
      <c r="B141" s="5">
        <v>1</v>
      </c>
      <c r="C141" s="5">
        <v>1</v>
      </c>
      <c r="D141" s="5">
        <v>1</v>
      </c>
      <c r="E141" s="5">
        <v>1</v>
      </c>
      <c r="F141" s="5">
        <v>1</v>
      </c>
      <c r="G141" s="5">
        <v>1</v>
      </c>
      <c r="H141" s="5">
        <v>1</v>
      </c>
      <c r="I141" s="5">
        <v>1</v>
      </c>
      <c r="J141" s="5">
        <v>1</v>
      </c>
      <c r="K141" s="5">
        <v>1</v>
      </c>
      <c r="L141" s="5">
        <v>1</v>
      </c>
      <c r="M141" s="5">
        <v>1</v>
      </c>
      <c r="N141" s="5">
        <v>1</v>
      </c>
      <c r="O141" s="5">
        <v>1</v>
      </c>
      <c r="P141" s="5">
        <v>1</v>
      </c>
      <c r="Q141" s="5">
        <v>1</v>
      </c>
      <c r="R141" s="5">
        <v>1</v>
      </c>
      <c r="S141" s="5">
        <v>1</v>
      </c>
      <c r="T141" s="5">
        <v>1</v>
      </c>
      <c r="U141" s="5">
        <v>1</v>
      </c>
      <c r="V141" s="5">
        <v>1</v>
      </c>
      <c r="W141" s="5">
        <v>1</v>
      </c>
      <c r="X141" s="5">
        <v>1</v>
      </c>
      <c r="Y141" s="5">
        <v>1</v>
      </c>
      <c r="Z141" s="5">
        <v>1</v>
      </c>
      <c r="AA141" s="5">
        <v>1</v>
      </c>
      <c r="AB141" s="5">
        <v>1</v>
      </c>
      <c r="AC141" s="5">
        <v>1</v>
      </c>
      <c r="AD141" s="5">
        <v>1</v>
      </c>
      <c r="AE141" s="5">
        <v>1</v>
      </c>
      <c r="AF141" s="5">
        <v>1</v>
      </c>
      <c r="AG141" s="5">
        <v>1</v>
      </c>
      <c r="AH141" s="5">
        <v>1</v>
      </c>
      <c r="AI141" s="5">
        <v>1</v>
      </c>
      <c r="AJ141" s="5">
        <v>1</v>
      </c>
      <c r="AK141" s="5">
        <v>1</v>
      </c>
      <c r="AL141" s="5">
        <v>1</v>
      </c>
      <c r="AM141" s="5">
        <v>1</v>
      </c>
    </row>
    <row r="142" spans="1:39" s="7" customFormat="1" x14ac:dyDescent="0.25">
      <c r="A142" s="5">
        <v>124</v>
      </c>
      <c r="B142" s="6"/>
      <c r="C142" s="6"/>
      <c r="D142" s="5">
        <v>1</v>
      </c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5">
        <v>1</v>
      </c>
      <c r="AM142" s="6"/>
    </row>
    <row r="143" spans="1:39" s="7" customFormat="1" x14ac:dyDescent="0.25">
      <c r="A143" s="5">
        <v>124</v>
      </c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5">
        <v>1</v>
      </c>
      <c r="Z143" s="6"/>
      <c r="AA143" s="6"/>
      <c r="AB143" s="6"/>
      <c r="AC143" s="6"/>
      <c r="AD143" s="5">
        <v>1</v>
      </c>
      <c r="AE143" s="6"/>
      <c r="AF143" s="6"/>
      <c r="AG143" s="6"/>
      <c r="AH143" s="6"/>
      <c r="AI143" s="6"/>
      <c r="AJ143" s="6"/>
      <c r="AK143" s="6"/>
      <c r="AL143" s="6"/>
      <c r="AM143" s="6"/>
    </row>
    <row r="144" spans="1:39" s="7" customFormat="1" x14ac:dyDescent="0.25">
      <c r="A144" s="5">
        <v>124</v>
      </c>
      <c r="B144" s="6"/>
      <c r="C144" s="6"/>
      <c r="D144" s="6"/>
      <c r="E144" s="5">
        <v>1</v>
      </c>
      <c r="F144" s="6"/>
      <c r="G144" s="6"/>
      <c r="H144" s="6"/>
      <c r="I144" s="6"/>
      <c r="J144" s="6"/>
      <c r="K144" s="5">
        <v>1</v>
      </c>
      <c r="L144" s="6"/>
      <c r="M144" s="5">
        <v>1</v>
      </c>
      <c r="N144" s="6"/>
      <c r="O144" s="6"/>
      <c r="P144" s="6"/>
      <c r="Q144" s="6"/>
      <c r="R144" s="6"/>
      <c r="S144" s="6"/>
      <c r="T144" s="6"/>
      <c r="U144" s="5">
        <v>1</v>
      </c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</row>
    <row r="145" spans="1:39" s="7" customFormat="1" x14ac:dyDescent="0.25">
      <c r="A145" s="5">
        <v>124</v>
      </c>
      <c r="B145" s="6"/>
      <c r="C145" s="6"/>
      <c r="D145" s="6"/>
      <c r="E145" s="6"/>
      <c r="F145" s="6"/>
      <c r="G145" s="6"/>
      <c r="H145" s="6"/>
      <c r="I145" s="5">
        <v>1</v>
      </c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5">
        <v>1</v>
      </c>
      <c r="X145" s="6"/>
      <c r="Y145" s="6"/>
      <c r="Z145" s="6"/>
      <c r="AA145" s="6"/>
      <c r="AB145" s="6"/>
      <c r="AC145" s="5">
        <v>1</v>
      </c>
      <c r="AD145" s="6"/>
      <c r="AE145" s="6"/>
      <c r="AF145" s="6"/>
      <c r="AG145" s="6"/>
      <c r="AH145" s="6"/>
      <c r="AI145" s="5">
        <v>1</v>
      </c>
      <c r="AJ145" s="6"/>
      <c r="AK145" s="5">
        <v>1</v>
      </c>
      <c r="AL145" s="6"/>
      <c r="AM145" s="6"/>
    </row>
    <row r="146" spans="1:39" s="7" customFormat="1" x14ac:dyDescent="0.25">
      <c r="A146" s="5">
        <v>124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5">
        <v>1</v>
      </c>
      <c r="M146" s="6"/>
      <c r="N146" s="6"/>
      <c r="O146" s="6"/>
      <c r="P146" s="6"/>
      <c r="Q146" s="5">
        <v>1</v>
      </c>
      <c r="R146" s="6"/>
      <c r="S146" s="6"/>
      <c r="T146" s="5">
        <v>1</v>
      </c>
      <c r="U146" s="6"/>
      <c r="V146" s="6"/>
      <c r="W146" s="6"/>
      <c r="X146" s="5">
        <v>1</v>
      </c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</row>
    <row r="147" spans="1:39" s="7" customFormat="1" x14ac:dyDescent="0.25">
      <c r="A147" s="5">
        <v>124</v>
      </c>
      <c r="B147" s="6"/>
      <c r="C147" s="5">
        <v>1</v>
      </c>
      <c r="D147" s="6"/>
      <c r="E147" s="6"/>
      <c r="F147" s="6"/>
      <c r="G147" s="5">
        <v>1</v>
      </c>
      <c r="H147" s="6"/>
      <c r="I147" s="6"/>
      <c r="J147" s="5">
        <v>1</v>
      </c>
      <c r="K147" s="6"/>
      <c r="L147" s="6"/>
      <c r="M147" s="6"/>
      <c r="N147" s="6"/>
      <c r="O147" s="5">
        <v>1</v>
      </c>
      <c r="P147" s="6"/>
      <c r="Q147" s="6"/>
      <c r="R147" s="5">
        <v>1</v>
      </c>
      <c r="S147" s="6"/>
      <c r="T147" s="6"/>
      <c r="U147" s="6"/>
      <c r="V147" s="5">
        <v>1</v>
      </c>
      <c r="W147" s="6"/>
      <c r="X147" s="6"/>
      <c r="Y147" s="6"/>
      <c r="Z147" s="5">
        <v>1</v>
      </c>
      <c r="AA147" s="6"/>
      <c r="AB147" s="5">
        <v>1</v>
      </c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5">
        <v>1</v>
      </c>
    </row>
    <row r="148" spans="1:39" s="7" customFormat="1" x14ac:dyDescent="0.25">
      <c r="A148" s="5">
        <v>125</v>
      </c>
      <c r="B148" s="6"/>
      <c r="C148" s="6"/>
      <c r="D148" s="5">
        <v>1</v>
      </c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5">
        <v>1</v>
      </c>
      <c r="AM148" s="6"/>
    </row>
    <row r="149" spans="1:39" s="7" customFormat="1" x14ac:dyDescent="0.25">
      <c r="A149" s="5">
        <v>125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5">
        <v>1</v>
      </c>
      <c r="Z149" s="6"/>
      <c r="AA149" s="6"/>
      <c r="AB149" s="6"/>
      <c r="AC149" s="6"/>
      <c r="AD149" s="5">
        <v>1</v>
      </c>
      <c r="AE149" s="6"/>
      <c r="AF149" s="6"/>
      <c r="AG149" s="6"/>
      <c r="AH149" s="6"/>
      <c r="AI149" s="6"/>
      <c r="AJ149" s="6"/>
      <c r="AK149" s="6"/>
      <c r="AL149" s="6"/>
      <c r="AM149" s="6"/>
    </row>
    <row r="150" spans="1:39" s="7" customFormat="1" x14ac:dyDescent="0.25">
      <c r="A150" s="5">
        <v>125</v>
      </c>
      <c r="B150" s="6"/>
      <c r="C150" s="6"/>
      <c r="D150" s="6"/>
      <c r="E150" s="5">
        <v>1</v>
      </c>
      <c r="F150" s="6"/>
      <c r="G150" s="6"/>
      <c r="H150" s="6"/>
      <c r="I150" s="6"/>
      <c r="J150" s="6"/>
      <c r="K150" s="5">
        <v>1</v>
      </c>
      <c r="L150" s="6"/>
      <c r="M150" s="5">
        <v>1</v>
      </c>
      <c r="N150" s="6"/>
      <c r="O150" s="6"/>
      <c r="P150" s="6"/>
      <c r="Q150" s="6"/>
      <c r="R150" s="6"/>
      <c r="S150" s="6"/>
      <c r="T150" s="6"/>
      <c r="U150" s="5">
        <v>1</v>
      </c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</row>
    <row r="151" spans="1:39" s="7" customFormat="1" x14ac:dyDescent="0.25">
      <c r="A151" s="5">
        <v>125</v>
      </c>
      <c r="B151" s="6"/>
      <c r="C151" s="6"/>
      <c r="D151" s="6"/>
      <c r="E151" s="6"/>
      <c r="F151" s="6"/>
      <c r="G151" s="6"/>
      <c r="H151" s="6"/>
      <c r="I151" s="5">
        <v>1</v>
      </c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5">
        <v>1</v>
      </c>
      <c r="X151" s="6"/>
      <c r="Y151" s="6"/>
      <c r="Z151" s="6"/>
      <c r="AA151" s="6"/>
      <c r="AB151" s="6"/>
      <c r="AC151" s="5">
        <v>1</v>
      </c>
      <c r="AD151" s="6"/>
      <c r="AE151" s="6"/>
      <c r="AF151" s="6"/>
      <c r="AG151" s="6"/>
      <c r="AH151" s="6"/>
      <c r="AI151" s="5">
        <v>1</v>
      </c>
      <c r="AJ151" s="6"/>
      <c r="AK151" s="5">
        <v>1</v>
      </c>
      <c r="AL151" s="6"/>
      <c r="AM151" s="6"/>
    </row>
    <row r="152" spans="1:39" s="7" customFormat="1" x14ac:dyDescent="0.25">
      <c r="A152" s="5">
        <v>125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5">
        <v>1</v>
      </c>
      <c r="M152" s="6"/>
      <c r="N152" s="6"/>
      <c r="O152" s="6"/>
      <c r="P152" s="6"/>
      <c r="Q152" s="5">
        <v>1</v>
      </c>
      <c r="R152" s="6"/>
      <c r="S152" s="6"/>
      <c r="T152" s="5">
        <v>1</v>
      </c>
      <c r="U152" s="6"/>
      <c r="V152" s="6"/>
      <c r="W152" s="6"/>
      <c r="X152" s="5">
        <v>1</v>
      </c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</row>
    <row r="153" spans="1:39" s="7" customFormat="1" x14ac:dyDescent="0.25">
      <c r="A153" s="5">
        <v>125</v>
      </c>
      <c r="B153" s="6"/>
      <c r="C153" s="5">
        <v>1</v>
      </c>
      <c r="D153" s="6"/>
      <c r="E153" s="6"/>
      <c r="F153" s="6"/>
      <c r="G153" s="5">
        <v>1</v>
      </c>
      <c r="H153" s="6"/>
      <c r="I153" s="6"/>
      <c r="J153" s="5">
        <v>1</v>
      </c>
      <c r="K153" s="6"/>
      <c r="L153" s="6"/>
      <c r="M153" s="6"/>
      <c r="N153" s="6"/>
      <c r="O153" s="5">
        <v>1</v>
      </c>
      <c r="P153" s="6"/>
      <c r="Q153" s="6"/>
      <c r="R153" s="5">
        <v>1</v>
      </c>
      <c r="S153" s="6"/>
      <c r="T153" s="6"/>
      <c r="U153" s="6"/>
      <c r="V153" s="5">
        <v>1</v>
      </c>
      <c r="W153" s="6"/>
      <c r="X153" s="6"/>
      <c r="Y153" s="6"/>
      <c r="Z153" s="5">
        <v>1</v>
      </c>
      <c r="AA153" s="6"/>
      <c r="AB153" s="5">
        <v>1</v>
      </c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5">
        <v>1</v>
      </c>
    </row>
    <row r="154" spans="1:39" s="7" customFormat="1" x14ac:dyDescent="0.25">
      <c r="A154" s="5">
        <v>126</v>
      </c>
      <c r="B154" s="5">
        <v>1</v>
      </c>
      <c r="C154" s="5">
        <v>1</v>
      </c>
      <c r="D154" s="5">
        <v>1</v>
      </c>
      <c r="E154" s="5">
        <v>1</v>
      </c>
      <c r="F154" s="5">
        <v>1</v>
      </c>
      <c r="G154" s="5">
        <v>1</v>
      </c>
      <c r="H154" s="5">
        <v>1</v>
      </c>
      <c r="I154" s="5">
        <v>1</v>
      </c>
      <c r="J154" s="5">
        <v>1</v>
      </c>
      <c r="K154" s="5">
        <v>1</v>
      </c>
      <c r="L154" s="5">
        <v>1</v>
      </c>
      <c r="M154" s="5">
        <v>1</v>
      </c>
      <c r="N154" s="5">
        <v>1</v>
      </c>
      <c r="O154" s="5">
        <v>1</v>
      </c>
      <c r="P154" s="5">
        <v>1</v>
      </c>
      <c r="Q154" s="5">
        <v>1</v>
      </c>
      <c r="R154" s="5">
        <v>1</v>
      </c>
      <c r="S154" s="5">
        <v>1</v>
      </c>
      <c r="T154" s="5">
        <v>1</v>
      </c>
      <c r="U154" s="5">
        <v>1</v>
      </c>
      <c r="V154" s="5">
        <v>1</v>
      </c>
      <c r="W154" s="5">
        <v>1</v>
      </c>
      <c r="X154" s="5">
        <v>1</v>
      </c>
      <c r="Y154" s="5">
        <v>1</v>
      </c>
      <c r="Z154" s="5">
        <v>1</v>
      </c>
      <c r="AA154" s="5">
        <v>1</v>
      </c>
      <c r="AB154" s="5">
        <v>1</v>
      </c>
      <c r="AC154" s="5">
        <v>1</v>
      </c>
      <c r="AD154" s="5">
        <v>1</v>
      </c>
      <c r="AE154" s="5">
        <v>1</v>
      </c>
      <c r="AF154" s="5">
        <v>1</v>
      </c>
      <c r="AG154" s="5">
        <v>1</v>
      </c>
      <c r="AH154" s="5">
        <v>1</v>
      </c>
      <c r="AI154" s="5">
        <v>1</v>
      </c>
      <c r="AJ154" s="5">
        <v>1</v>
      </c>
      <c r="AK154" s="5">
        <v>1</v>
      </c>
      <c r="AL154" s="5">
        <v>1</v>
      </c>
      <c r="AM154" s="5">
        <v>1</v>
      </c>
    </row>
    <row r="155" spans="1:39" s="7" customFormat="1" x14ac:dyDescent="0.25">
      <c r="A155" s="5">
        <v>127</v>
      </c>
      <c r="B155" s="5">
        <v>1</v>
      </c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</row>
    <row r="156" spans="1:39" s="7" customFormat="1" x14ac:dyDescent="0.25">
      <c r="A156" s="5">
        <v>127</v>
      </c>
      <c r="B156" s="6"/>
      <c r="C156" s="6"/>
      <c r="D156" s="6"/>
      <c r="E156" s="6"/>
      <c r="F156" s="5">
        <v>1</v>
      </c>
      <c r="G156" s="6"/>
      <c r="H156" s="6"/>
      <c r="I156" s="6"/>
      <c r="J156" s="6"/>
      <c r="K156" s="6"/>
      <c r="L156" s="6"/>
      <c r="M156" s="6"/>
      <c r="N156" s="5">
        <v>1</v>
      </c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5">
        <v>1</v>
      </c>
      <c r="AG156" s="5">
        <v>1</v>
      </c>
      <c r="AH156" s="6"/>
      <c r="AI156" s="6"/>
      <c r="AJ156" s="6"/>
      <c r="AK156" s="6"/>
      <c r="AL156" s="6"/>
      <c r="AM156" s="6"/>
    </row>
    <row r="157" spans="1:39" s="7" customFormat="1" x14ac:dyDescent="0.25">
      <c r="A157" s="5">
        <v>127</v>
      </c>
      <c r="B157" s="6"/>
      <c r="C157" s="6"/>
      <c r="D157" s="6"/>
      <c r="E157" s="6"/>
      <c r="F157" s="6"/>
      <c r="G157" s="6"/>
      <c r="H157" s="5">
        <v>1</v>
      </c>
      <c r="I157" s="6"/>
      <c r="J157" s="6"/>
      <c r="K157" s="6"/>
      <c r="L157" s="6"/>
      <c r="M157" s="6"/>
      <c r="N157" s="6"/>
      <c r="O157" s="6"/>
      <c r="P157" s="5">
        <v>1</v>
      </c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5">
        <v>1</v>
      </c>
      <c r="AF157" s="6"/>
      <c r="AG157" s="6"/>
      <c r="AH157" s="5">
        <v>1</v>
      </c>
      <c r="AI157" s="6"/>
      <c r="AJ157" s="6"/>
      <c r="AK157" s="6"/>
      <c r="AL157" s="6"/>
      <c r="AM157" s="6"/>
    </row>
    <row r="158" spans="1:39" s="7" customFormat="1" x14ac:dyDescent="0.25">
      <c r="A158" s="5">
        <v>127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5">
        <v>1</v>
      </c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</row>
    <row r="159" spans="1:39" s="7" customFormat="1" x14ac:dyDescent="0.25">
      <c r="A159" s="5">
        <v>127</v>
      </c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5">
        <v>1</v>
      </c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5">
        <v>1</v>
      </c>
      <c r="AK159" s="6"/>
      <c r="AL159" s="6"/>
      <c r="AM159" s="6"/>
    </row>
    <row r="160" spans="1:39" s="7" customFormat="1" x14ac:dyDescent="0.25">
      <c r="A160" s="5">
        <v>128</v>
      </c>
      <c r="B160" s="5">
        <v>1</v>
      </c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</row>
    <row r="161" spans="1:36" s="7" customFormat="1" x14ac:dyDescent="0.25">
      <c r="A161" s="5">
        <v>128</v>
      </c>
      <c r="B161" s="6"/>
      <c r="C161" s="6"/>
      <c r="D161" s="6"/>
      <c r="E161" s="6"/>
      <c r="F161" s="5">
        <v>1</v>
      </c>
      <c r="G161" s="6"/>
      <c r="H161" s="6"/>
      <c r="I161" s="6"/>
      <c r="J161" s="6"/>
      <c r="K161" s="6"/>
      <c r="L161" s="6"/>
      <c r="M161" s="6"/>
      <c r="N161" s="5">
        <v>1</v>
      </c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5">
        <v>1</v>
      </c>
      <c r="AG161" s="5">
        <v>1</v>
      </c>
      <c r="AH161" s="6"/>
      <c r="AI161" s="6"/>
      <c r="AJ161" s="6"/>
    </row>
    <row r="162" spans="1:36" s="7" customFormat="1" x14ac:dyDescent="0.25">
      <c r="A162" s="5">
        <v>128</v>
      </c>
      <c r="B162" s="6"/>
      <c r="C162" s="6"/>
      <c r="D162" s="6"/>
      <c r="E162" s="6"/>
      <c r="F162" s="6"/>
      <c r="G162" s="6"/>
      <c r="H162" s="5">
        <v>1</v>
      </c>
      <c r="I162" s="6"/>
      <c r="J162" s="6"/>
      <c r="K162" s="6"/>
      <c r="L162" s="6"/>
      <c r="M162" s="6"/>
      <c r="N162" s="6"/>
      <c r="O162" s="6"/>
      <c r="P162" s="5">
        <v>1</v>
      </c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5">
        <v>1</v>
      </c>
      <c r="AF162" s="6"/>
      <c r="AG162" s="6"/>
      <c r="AH162" s="5">
        <v>1</v>
      </c>
      <c r="AI162" s="6"/>
      <c r="AJ162" s="6"/>
    </row>
    <row r="163" spans="1:36" s="7" customFormat="1" x14ac:dyDescent="0.25">
      <c r="A163" s="5">
        <v>128</v>
      </c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5">
        <v>1</v>
      </c>
      <c r="AB163" s="6"/>
      <c r="AC163" s="6"/>
      <c r="AD163" s="6"/>
      <c r="AE163" s="6"/>
      <c r="AF163" s="6"/>
      <c r="AG163" s="6"/>
      <c r="AH163" s="6"/>
      <c r="AI163" s="6"/>
      <c r="AJ163" s="6"/>
    </row>
    <row r="164" spans="1:36" s="7" customFormat="1" x14ac:dyDescent="0.25">
      <c r="A164" s="5">
        <v>128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5">
        <v>1</v>
      </c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5">
        <v>1</v>
      </c>
    </row>
    <row r="165" spans="1:36" s="7" customFormat="1" x14ac:dyDescent="0.25">
      <c r="A165" s="5">
        <v>131</v>
      </c>
      <c r="B165" s="6"/>
      <c r="C165" s="6"/>
      <c r="D165" s="6"/>
      <c r="E165" s="5">
        <v>1</v>
      </c>
      <c r="F165" s="6"/>
      <c r="G165" s="6"/>
      <c r="H165" s="6"/>
      <c r="I165" s="5">
        <v>1</v>
      </c>
      <c r="J165" s="5">
        <v>1</v>
      </c>
      <c r="K165" s="6"/>
      <c r="L165" s="6"/>
      <c r="M165" s="6"/>
      <c r="N165" s="6"/>
      <c r="O165" s="5">
        <v>1</v>
      </c>
      <c r="P165" s="6"/>
      <c r="Q165" s="6"/>
      <c r="R165" s="5">
        <v>1</v>
      </c>
      <c r="S165" s="6"/>
      <c r="T165" s="6"/>
      <c r="U165" s="6"/>
      <c r="V165" s="6"/>
      <c r="W165" s="5">
        <v>1</v>
      </c>
      <c r="X165" s="6"/>
      <c r="Y165" s="6"/>
      <c r="Z165" s="6"/>
      <c r="AA165" s="6"/>
      <c r="AB165" s="5">
        <v>1</v>
      </c>
      <c r="AC165" s="6"/>
      <c r="AD165" s="6"/>
      <c r="AE165" s="6"/>
      <c r="AF165" s="6"/>
      <c r="AG165" s="6"/>
      <c r="AH165" s="6"/>
      <c r="AI165" s="6"/>
      <c r="AJ165" s="6"/>
    </row>
    <row r="166" spans="1:36" s="7" customFormat="1" x14ac:dyDescent="0.25">
      <c r="A166" s="5">
        <v>132</v>
      </c>
      <c r="B166" s="6"/>
      <c r="C166" s="6"/>
      <c r="D166" s="6"/>
      <c r="E166" s="5">
        <v>1</v>
      </c>
      <c r="F166" s="6"/>
      <c r="G166" s="6"/>
      <c r="H166" s="6"/>
      <c r="I166" s="5">
        <v>1</v>
      </c>
      <c r="J166" s="5">
        <v>1</v>
      </c>
      <c r="K166" s="6"/>
      <c r="L166" s="6"/>
      <c r="M166" s="6"/>
      <c r="N166" s="6"/>
      <c r="O166" s="5">
        <v>1</v>
      </c>
      <c r="P166" s="6"/>
      <c r="Q166" s="6"/>
      <c r="R166" s="5">
        <v>1</v>
      </c>
      <c r="S166" s="6"/>
      <c r="T166" s="6"/>
      <c r="U166" s="6"/>
      <c r="V166" s="6"/>
      <c r="W166" s="5">
        <v>1</v>
      </c>
      <c r="X166" s="6"/>
      <c r="Y166" s="6"/>
      <c r="Z166" s="6"/>
      <c r="AA166" s="6"/>
      <c r="AB166" s="5">
        <v>1</v>
      </c>
      <c r="AC166" s="6"/>
      <c r="AD166" s="6"/>
      <c r="AE166" s="6"/>
      <c r="AF166" s="6"/>
      <c r="AG166" s="6"/>
      <c r="AH166" s="6"/>
      <c r="AI166" s="6"/>
      <c r="AJ166" s="6"/>
    </row>
    <row r="167" spans="1:36" s="7" customFormat="1" x14ac:dyDescent="0.25">
      <c r="A167" s="5">
        <v>133</v>
      </c>
      <c r="B167" s="6"/>
      <c r="C167" s="6"/>
      <c r="D167" s="6"/>
      <c r="E167" s="5">
        <v>1</v>
      </c>
      <c r="F167" s="6"/>
      <c r="G167" s="6"/>
      <c r="H167" s="6"/>
      <c r="I167" s="5">
        <v>1</v>
      </c>
      <c r="J167" s="5">
        <v>1</v>
      </c>
      <c r="K167" s="6"/>
      <c r="L167" s="6"/>
      <c r="M167" s="6"/>
      <c r="N167" s="6"/>
      <c r="O167" s="5">
        <v>1</v>
      </c>
      <c r="P167" s="6"/>
      <c r="Q167" s="6"/>
      <c r="R167" s="5">
        <v>1</v>
      </c>
      <c r="S167" s="6"/>
      <c r="T167" s="6"/>
      <c r="U167" s="6"/>
      <c r="V167" s="6"/>
      <c r="W167" s="5">
        <v>1</v>
      </c>
      <c r="X167" s="6"/>
      <c r="Y167" s="6"/>
      <c r="Z167" s="6"/>
      <c r="AA167" s="6"/>
      <c r="AB167" s="5">
        <v>1</v>
      </c>
      <c r="AC167" s="6"/>
      <c r="AD167" s="6"/>
      <c r="AE167" s="6"/>
      <c r="AF167" s="6"/>
      <c r="AG167" s="6"/>
      <c r="AH167" s="6"/>
      <c r="AI167" s="6"/>
      <c r="AJ167" s="6"/>
    </row>
    <row r="168" spans="1:36" s="7" customFormat="1" x14ac:dyDescent="0.25">
      <c r="A168" s="5">
        <v>134</v>
      </c>
      <c r="B168" s="6"/>
      <c r="C168" s="6"/>
      <c r="D168" s="6"/>
      <c r="E168" s="5">
        <v>1</v>
      </c>
      <c r="F168" s="6"/>
      <c r="G168" s="6"/>
      <c r="H168" s="6"/>
      <c r="I168" s="5">
        <v>1</v>
      </c>
      <c r="J168" s="5">
        <v>1</v>
      </c>
      <c r="K168" s="6"/>
      <c r="L168" s="6"/>
      <c r="M168" s="6"/>
      <c r="N168" s="6"/>
      <c r="O168" s="5">
        <v>1</v>
      </c>
      <c r="P168" s="6"/>
      <c r="Q168" s="6"/>
      <c r="R168" s="5">
        <v>1</v>
      </c>
      <c r="S168" s="6"/>
      <c r="T168" s="6"/>
      <c r="U168" s="6"/>
      <c r="V168" s="6"/>
      <c r="W168" s="5">
        <v>1</v>
      </c>
      <c r="X168" s="6"/>
      <c r="Y168" s="6"/>
      <c r="Z168" s="6"/>
      <c r="AA168" s="6"/>
      <c r="AB168" s="5">
        <v>1</v>
      </c>
      <c r="AC168" s="6"/>
      <c r="AD168" s="6"/>
      <c r="AE168" s="6"/>
      <c r="AF168" s="6"/>
      <c r="AG168" s="6"/>
      <c r="AH168" s="6"/>
      <c r="AI168" s="6"/>
      <c r="AJ168" s="6"/>
    </row>
    <row r="169" spans="1:36" s="7" customFormat="1" x14ac:dyDescent="0.25">
      <c r="A169" s="5">
        <v>135</v>
      </c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5">
        <v>1</v>
      </c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5">
        <v>1</v>
      </c>
      <c r="AH169" s="6"/>
      <c r="AI169" s="6"/>
      <c r="AJ169" s="6"/>
    </row>
    <row r="170" spans="1:36" s="7" customFormat="1" x14ac:dyDescent="0.25">
      <c r="A170" s="5">
        <v>135</v>
      </c>
      <c r="B170" s="6"/>
      <c r="C170" s="6"/>
      <c r="D170" s="6"/>
      <c r="E170" s="6"/>
      <c r="F170" s="6"/>
      <c r="G170" s="6"/>
      <c r="H170" s="5">
        <v>1</v>
      </c>
      <c r="I170" s="6"/>
      <c r="J170" s="6"/>
      <c r="K170" s="6"/>
      <c r="L170" s="6"/>
      <c r="M170" s="6"/>
      <c r="N170" s="6"/>
      <c r="O170" s="6"/>
      <c r="P170" s="5">
        <v>1</v>
      </c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5">
        <v>1</v>
      </c>
      <c r="AF170" s="6"/>
      <c r="AG170" s="6"/>
      <c r="AH170" s="5">
        <v>1</v>
      </c>
      <c r="AI170" s="6"/>
      <c r="AJ170" s="6"/>
    </row>
    <row r="171" spans="1:36" s="7" customFormat="1" x14ac:dyDescent="0.25">
      <c r="A171" s="5">
        <v>135</v>
      </c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5">
        <v>1</v>
      </c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5">
        <v>1</v>
      </c>
    </row>
    <row r="172" spans="1:36" s="7" customFormat="1" x14ac:dyDescent="0.25">
      <c r="A172" s="5">
        <v>136</v>
      </c>
      <c r="B172" s="6"/>
      <c r="C172" s="6"/>
      <c r="D172" s="6"/>
      <c r="E172" s="6"/>
      <c r="F172" s="6"/>
      <c r="G172" s="6"/>
      <c r="H172" s="5">
        <v>1</v>
      </c>
      <c r="I172" s="6"/>
      <c r="J172" s="6"/>
      <c r="K172" s="6"/>
      <c r="L172" s="6"/>
      <c r="M172" s="6"/>
      <c r="N172" s="5">
        <v>1</v>
      </c>
      <c r="O172" s="6"/>
      <c r="P172" s="5">
        <v>1</v>
      </c>
      <c r="Q172" s="6"/>
      <c r="R172" s="6"/>
      <c r="S172" s="5">
        <v>1</v>
      </c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5">
        <v>1</v>
      </c>
      <c r="AF172" s="6"/>
      <c r="AG172" s="5">
        <v>1</v>
      </c>
      <c r="AH172" s="5">
        <v>1</v>
      </c>
      <c r="AI172" s="6"/>
      <c r="AJ172" s="5">
        <v>1</v>
      </c>
    </row>
    <row r="173" spans="1:36" s="7" customFormat="1" x14ac:dyDescent="0.25">
      <c r="A173" s="5">
        <v>137</v>
      </c>
      <c r="B173" s="6"/>
      <c r="C173" s="6"/>
      <c r="D173" s="6"/>
      <c r="E173" s="6"/>
      <c r="F173" s="6"/>
      <c r="G173" s="6"/>
      <c r="H173" s="5">
        <v>1</v>
      </c>
      <c r="I173" s="6"/>
      <c r="J173" s="6"/>
      <c r="K173" s="6"/>
      <c r="L173" s="6"/>
      <c r="M173" s="6"/>
      <c r="N173" s="5">
        <v>1</v>
      </c>
      <c r="O173" s="6"/>
      <c r="P173" s="5">
        <v>1</v>
      </c>
      <c r="Q173" s="6"/>
      <c r="R173" s="6"/>
      <c r="S173" s="5">
        <v>1</v>
      </c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5">
        <v>1</v>
      </c>
      <c r="AF173" s="6"/>
      <c r="AG173" s="5">
        <v>1</v>
      </c>
      <c r="AH173" s="5">
        <v>1</v>
      </c>
      <c r="AI173" s="6"/>
      <c r="AJ173" s="5">
        <v>1</v>
      </c>
    </row>
    <row r="174" spans="1:36" s="7" customFormat="1" x14ac:dyDescent="0.25">
      <c r="A174" s="5">
        <v>138</v>
      </c>
      <c r="B174" s="6"/>
      <c r="C174" s="6"/>
      <c r="D174" s="6"/>
      <c r="E174" s="6"/>
      <c r="F174" s="6"/>
      <c r="G174" s="6"/>
      <c r="H174" s="5">
        <v>1</v>
      </c>
      <c r="I174" s="6"/>
      <c r="J174" s="6"/>
      <c r="K174" s="6"/>
      <c r="L174" s="6"/>
      <c r="M174" s="6"/>
      <c r="N174" s="5">
        <v>1</v>
      </c>
      <c r="O174" s="6"/>
      <c r="P174" s="5">
        <v>1</v>
      </c>
      <c r="Q174" s="6"/>
      <c r="R174" s="6"/>
      <c r="S174" s="5">
        <v>1</v>
      </c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5">
        <v>1</v>
      </c>
      <c r="AF174" s="6"/>
      <c r="AG174" s="5">
        <v>1</v>
      </c>
      <c r="AH174" s="5">
        <v>1</v>
      </c>
      <c r="AI174" s="6"/>
      <c r="AJ174" s="5">
        <v>1</v>
      </c>
    </row>
    <row r="175" spans="1:36" s="7" customFormat="1" x14ac:dyDescent="0.25">
      <c r="A175" s="5">
        <v>139</v>
      </c>
      <c r="B175" s="6"/>
      <c r="C175" s="6"/>
      <c r="D175" s="6"/>
      <c r="E175" s="6"/>
      <c r="F175" s="6"/>
      <c r="G175" s="6"/>
      <c r="H175" s="5">
        <v>1</v>
      </c>
      <c r="I175" s="6"/>
      <c r="J175" s="6"/>
      <c r="K175" s="6"/>
      <c r="L175" s="6"/>
      <c r="M175" s="6"/>
      <c r="N175" s="5">
        <v>1</v>
      </c>
      <c r="O175" s="6"/>
      <c r="P175" s="5">
        <v>1</v>
      </c>
      <c r="Q175" s="6"/>
      <c r="R175" s="6"/>
      <c r="S175" s="5">
        <v>1</v>
      </c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5">
        <v>1</v>
      </c>
      <c r="AF175" s="6"/>
      <c r="AG175" s="5">
        <v>1</v>
      </c>
      <c r="AH175" s="5">
        <v>1</v>
      </c>
      <c r="AI175" s="6"/>
      <c r="AJ175" s="5">
        <v>1</v>
      </c>
    </row>
    <row r="176" spans="1:36" s="7" customFormat="1" x14ac:dyDescent="0.25">
      <c r="A176" s="5">
        <v>140</v>
      </c>
      <c r="B176" s="6"/>
      <c r="C176" s="6"/>
      <c r="D176" s="6"/>
      <c r="E176" s="6"/>
      <c r="F176" s="6"/>
      <c r="G176" s="6"/>
      <c r="H176" s="5">
        <v>1</v>
      </c>
      <c r="I176" s="6"/>
      <c r="J176" s="6"/>
      <c r="K176" s="6"/>
      <c r="L176" s="6"/>
      <c r="M176" s="6"/>
      <c r="N176" s="5">
        <v>1</v>
      </c>
      <c r="O176" s="6"/>
      <c r="P176" s="5">
        <v>1</v>
      </c>
      <c r="Q176" s="6"/>
      <c r="R176" s="6"/>
      <c r="S176" s="5">
        <v>1</v>
      </c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5">
        <v>1</v>
      </c>
      <c r="AF176" s="6"/>
      <c r="AG176" s="5">
        <v>1</v>
      </c>
      <c r="AH176" s="5">
        <v>1</v>
      </c>
      <c r="AI176" s="6"/>
      <c r="AJ176" s="5">
        <v>1</v>
      </c>
    </row>
    <row r="177" spans="1:39" s="7" customFormat="1" x14ac:dyDescent="0.25">
      <c r="A177" s="5">
        <v>141</v>
      </c>
      <c r="B177" s="6"/>
      <c r="C177" s="6"/>
      <c r="D177" s="6"/>
      <c r="E177" s="6"/>
      <c r="F177" s="6"/>
      <c r="G177" s="6"/>
      <c r="H177" s="5">
        <v>1</v>
      </c>
      <c r="I177" s="6"/>
      <c r="J177" s="6"/>
      <c r="K177" s="6"/>
      <c r="L177" s="6"/>
      <c r="M177" s="6"/>
      <c r="N177" s="5">
        <v>1</v>
      </c>
      <c r="O177" s="6"/>
      <c r="P177" s="5">
        <v>1</v>
      </c>
      <c r="Q177" s="6"/>
      <c r="R177" s="6"/>
      <c r="S177" s="5">
        <v>1</v>
      </c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5">
        <v>1</v>
      </c>
      <c r="AF177" s="6"/>
      <c r="AG177" s="5">
        <v>1</v>
      </c>
      <c r="AH177" s="5">
        <v>1</v>
      </c>
      <c r="AI177" s="6"/>
      <c r="AJ177" s="5">
        <v>1</v>
      </c>
      <c r="AK177" s="6"/>
      <c r="AL177" s="6"/>
      <c r="AM177" s="6"/>
    </row>
    <row r="178" spans="1:39" s="7" customFormat="1" x14ac:dyDescent="0.25">
      <c r="A178" s="5">
        <v>142</v>
      </c>
      <c r="B178" s="6"/>
      <c r="C178" s="6"/>
      <c r="D178" s="6"/>
      <c r="E178" s="6"/>
      <c r="F178" s="6"/>
      <c r="G178" s="6"/>
      <c r="H178" s="5">
        <v>1</v>
      </c>
      <c r="I178" s="6"/>
      <c r="J178" s="6"/>
      <c r="K178" s="6"/>
      <c r="L178" s="6"/>
      <c r="M178" s="6"/>
      <c r="N178" s="5">
        <v>1</v>
      </c>
      <c r="O178" s="6"/>
      <c r="P178" s="5">
        <v>1</v>
      </c>
      <c r="Q178" s="6"/>
      <c r="R178" s="6"/>
      <c r="S178" s="5">
        <v>1</v>
      </c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5">
        <v>1</v>
      </c>
      <c r="AF178" s="6"/>
      <c r="AG178" s="5">
        <v>1</v>
      </c>
      <c r="AH178" s="5">
        <v>1</v>
      </c>
      <c r="AI178" s="6"/>
      <c r="AJ178" s="5">
        <v>1</v>
      </c>
      <c r="AK178" s="6"/>
      <c r="AL178" s="6"/>
      <c r="AM178" s="6"/>
    </row>
    <row r="179" spans="1:39" s="7" customFormat="1" x14ac:dyDescent="0.25">
      <c r="A179" s="5">
        <v>143</v>
      </c>
      <c r="B179" s="6"/>
      <c r="C179" s="6"/>
      <c r="D179" s="6"/>
      <c r="E179" s="6"/>
      <c r="F179" s="6"/>
      <c r="G179" s="6"/>
      <c r="H179" s="5">
        <v>1</v>
      </c>
      <c r="I179" s="6"/>
      <c r="J179" s="6"/>
      <c r="K179" s="6"/>
      <c r="L179" s="6"/>
      <c r="M179" s="6"/>
      <c r="N179" s="5">
        <v>1</v>
      </c>
      <c r="O179" s="6"/>
      <c r="P179" s="5">
        <v>1</v>
      </c>
      <c r="Q179" s="6"/>
      <c r="R179" s="6"/>
      <c r="S179" s="5">
        <v>1</v>
      </c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5">
        <v>1</v>
      </c>
      <c r="AF179" s="6"/>
      <c r="AG179" s="5">
        <v>1</v>
      </c>
      <c r="AH179" s="5">
        <v>1</v>
      </c>
      <c r="AI179" s="6"/>
      <c r="AJ179" s="5">
        <v>1</v>
      </c>
      <c r="AK179" s="6"/>
      <c r="AL179" s="6"/>
      <c r="AM179" s="6"/>
    </row>
    <row r="180" spans="1:39" s="7" customFormat="1" x14ac:dyDescent="0.25">
      <c r="A180" s="5">
        <v>144</v>
      </c>
      <c r="B180" s="6"/>
      <c r="C180" s="6"/>
      <c r="D180" s="6"/>
      <c r="E180" s="6"/>
      <c r="F180" s="6"/>
      <c r="G180" s="6"/>
      <c r="H180" s="5">
        <v>1</v>
      </c>
      <c r="I180" s="6"/>
      <c r="J180" s="6"/>
      <c r="K180" s="6"/>
      <c r="L180" s="6"/>
      <c r="M180" s="6"/>
      <c r="N180" s="5">
        <v>1</v>
      </c>
      <c r="O180" s="6"/>
      <c r="P180" s="5">
        <v>1</v>
      </c>
      <c r="Q180" s="6"/>
      <c r="R180" s="6"/>
      <c r="S180" s="5">
        <v>1</v>
      </c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5">
        <v>1</v>
      </c>
      <c r="AF180" s="6"/>
      <c r="AG180" s="5">
        <v>1</v>
      </c>
      <c r="AH180" s="5">
        <v>1</v>
      </c>
      <c r="AI180" s="6"/>
      <c r="AJ180" s="5">
        <v>1</v>
      </c>
      <c r="AK180" s="6"/>
      <c r="AL180" s="6"/>
      <c r="AM180" s="6"/>
    </row>
    <row r="181" spans="1:39" s="7" customFormat="1" x14ac:dyDescent="0.25">
      <c r="A181" s="5">
        <v>145</v>
      </c>
      <c r="B181" s="6"/>
      <c r="C181" s="6"/>
      <c r="D181" s="6"/>
      <c r="E181" s="6"/>
      <c r="F181" s="6"/>
      <c r="G181" s="6"/>
      <c r="H181" s="5">
        <v>1</v>
      </c>
      <c r="I181" s="6"/>
      <c r="J181" s="6"/>
      <c r="K181" s="6"/>
      <c r="L181" s="6"/>
      <c r="M181" s="6"/>
      <c r="N181" s="5">
        <v>1</v>
      </c>
      <c r="O181" s="6"/>
      <c r="P181" s="5">
        <v>1</v>
      </c>
      <c r="Q181" s="6"/>
      <c r="R181" s="6"/>
      <c r="S181" s="5">
        <v>1</v>
      </c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5">
        <v>1</v>
      </c>
      <c r="AF181" s="6"/>
      <c r="AG181" s="5">
        <v>1</v>
      </c>
      <c r="AH181" s="5">
        <v>1</v>
      </c>
      <c r="AI181" s="6"/>
      <c r="AJ181" s="5">
        <v>1</v>
      </c>
      <c r="AK181" s="6"/>
      <c r="AL181" s="6"/>
      <c r="AM181" s="6"/>
    </row>
    <row r="182" spans="1:39" s="7" customFormat="1" x14ac:dyDescent="0.25">
      <c r="A182" s="5">
        <v>146</v>
      </c>
      <c r="B182" s="6"/>
      <c r="C182" s="5">
        <v>1</v>
      </c>
      <c r="D182" s="6"/>
      <c r="E182" s="5">
        <v>1</v>
      </c>
      <c r="F182" s="6"/>
      <c r="G182" s="5">
        <v>1</v>
      </c>
      <c r="H182" s="6"/>
      <c r="I182" s="5">
        <v>1</v>
      </c>
      <c r="J182" s="5">
        <v>1</v>
      </c>
      <c r="K182" s="5">
        <v>1</v>
      </c>
      <c r="L182" s="5">
        <v>1</v>
      </c>
      <c r="M182" s="5">
        <v>1</v>
      </c>
      <c r="N182" s="6"/>
      <c r="O182" s="5">
        <v>1</v>
      </c>
      <c r="P182" s="6"/>
      <c r="Q182" s="5">
        <v>1</v>
      </c>
      <c r="R182" s="5">
        <v>1</v>
      </c>
      <c r="S182" s="6"/>
      <c r="T182" s="5">
        <v>1</v>
      </c>
      <c r="U182" s="5">
        <v>1</v>
      </c>
      <c r="V182" s="5">
        <v>1</v>
      </c>
      <c r="W182" s="5">
        <v>1</v>
      </c>
      <c r="X182" s="5">
        <v>1</v>
      </c>
      <c r="Y182" s="5">
        <v>1</v>
      </c>
      <c r="Z182" s="5">
        <v>1</v>
      </c>
      <c r="AA182" s="6"/>
      <c r="AB182" s="5">
        <v>1</v>
      </c>
      <c r="AC182" s="5">
        <v>1</v>
      </c>
      <c r="AD182" s="6"/>
      <c r="AE182" s="6"/>
      <c r="AF182" s="6"/>
      <c r="AG182" s="6"/>
      <c r="AH182" s="6"/>
      <c r="AI182" s="6"/>
      <c r="AJ182" s="6"/>
      <c r="AK182" s="5">
        <v>1</v>
      </c>
      <c r="AL182" s="6"/>
      <c r="AM182" s="5">
        <v>1</v>
      </c>
    </row>
    <row r="183" spans="1:39" s="7" customFormat="1" x14ac:dyDescent="0.25">
      <c r="A183" s="5">
        <v>147</v>
      </c>
      <c r="B183" s="5">
        <v>1</v>
      </c>
      <c r="C183" s="6"/>
      <c r="D183" s="5">
        <v>1</v>
      </c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5">
        <v>1</v>
      </c>
      <c r="AM183" s="6"/>
    </row>
    <row r="184" spans="1:39" s="7" customFormat="1" x14ac:dyDescent="0.25">
      <c r="A184" s="5">
        <v>147</v>
      </c>
      <c r="B184" s="6"/>
      <c r="C184" s="6"/>
      <c r="D184" s="6"/>
      <c r="E184" s="6"/>
      <c r="F184" s="5">
        <v>1</v>
      </c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5">
        <v>1</v>
      </c>
      <c r="Z184" s="6"/>
      <c r="AA184" s="6"/>
      <c r="AB184" s="6"/>
      <c r="AC184" s="6"/>
      <c r="AD184" s="5">
        <v>1</v>
      </c>
      <c r="AE184" s="6"/>
      <c r="AF184" s="5">
        <v>1</v>
      </c>
      <c r="AG184" s="6"/>
      <c r="AH184" s="6"/>
      <c r="AI184" s="6"/>
      <c r="AJ184" s="6"/>
      <c r="AK184" s="6"/>
      <c r="AL184" s="6"/>
      <c r="AM184" s="6"/>
    </row>
    <row r="185" spans="1:39" s="7" customFormat="1" x14ac:dyDescent="0.25">
      <c r="A185" s="5">
        <v>147</v>
      </c>
      <c r="B185" s="6"/>
      <c r="C185" s="6"/>
      <c r="D185" s="6"/>
      <c r="E185" s="5">
        <v>1</v>
      </c>
      <c r="F185" s="6"/>
      <c r="G185" s="6"/>
      <c r="H185" s="6"/>
      <c r="I185" s="6"/>
      <c r="J185" s="6"/>
      <c r="K185" s="5">
        <v>1</v>
      </c>
      <c r="L185" s="6"/>
      <c r="M185" s="5">
        <v>1</v>
      </c>
      <c r="N185" s="5">
        <v>1</v>
      </c>
      <c r="O185" s="6"/>
      <c r="P185" s="6"/>
      <c r="Q185" s="6"/>
      <c r="R185" s="6"/>
      <c r="S185" s="6"/>
      <c r="T185" s="6"/>
      <c r="U185" s="5">
        <v>1</v>
      </c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5">
        <v>1</v>
      </c>
      <c r="AH185" s="6"/>
      <c r="AI185" s="6"/>
      <c r="AJ185" s="6"/>
      <c r="AK185" s="6"/>
      <c r="AL185" s="6"/>
      <c r="AM185" s="6"/>
    </row>
    <row r="186" spans="1:39" s="7" customFormat="1" x14ac:dyDescent="0.25">
      <c r="A186" s="5">
        <v>147</v>
      </c>
      <c r="B186" s="6"/>
      <c r="C186" s="6"/>
      <c r="D186" s="6"/>
      <c r="E186" s="6"/>
      <c r="F186" s="6"/>
      <c r="G186" s="6"/>
      <c r="H186" s="5">
        <v>1</v>
      </c>
      <c r="I186" s="5">
        <v>1</v>
      </c>
      <c r="J186" s="6"/>
      <c r="K186" s="6"/>
      <c r="L186" s="6"/>
      <c r="M186" s="6"/>
      <c r="N186" s="6"/>
      <c r="O186" s="6"/>
      <c r="P186" s="5">
        <v>1</v>
      </c>
      <c r="Q186" s="6"/>
      <c r="R186" s="6"/>
      <c r="S186" s="6"/>
      <c r="T186" s="6"/>
      <c r="U186" s="6"/>
      <c r="V186" s="6"/>
      <c r="W186" s="5">
        <v>1</v>
      </c>
      <c r="X186" s="6"/>
      <c r="Y186" s="6"/>
      <c r="Z186" s="6"/>
      <c r="AA186" s="5">
        <v>1</v>
      </c>
      <c r="AB186" s="6"/>
      <c r="AC186" s="5">
        <v>1</v>
      </c>
      <c r="AD186" s="6"/>
      <c r="AE186" s="5">
        <v>1</v>
      </c>
      <c r="AF186" s="6"/>
      <c r="AG186" s="6"/>
      <c r="AH186" s="5">
        <v>1</v>
      </c>
      <c r="AI186" s="5">
        <v>1</v>
      </c>
      <c r="AJ186" s="6"/>
      <c r="AK186" s="5">
        <v>1</v>
      </c>
      <c r="AL186" s="6"/>
      <c r="AM186" s="6"/>
    </row>
    <row r="187" spans="1:39" s="7" customFormat="1" x14ac:dyDescent="0.25">
      <c r="A187" s="5">
        <v>147</v>
      </c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5">
        <v>1</v>
      </c>
      <c r="M187" s="6"/>
      <c r="N187" s="6"/>
      <c r="O187" s="6"/>
      <c r="P187" s="6"/>
      <c r="Q187" s="5">
        <v>1</v>
      </c>
      <c r="R187" s="6"/>
      <c r="S187" s="6"/>
      <c r="T187" s="5">
        <v>1</v>
      </c>
      <c r="U187" s="6"/>
      <c r="V187" s="6"/>
      <c r="W187" s="6"/>
      <c r="X187" s="5">
        <v>1</v>
      </c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</row>
    <row r="188" spans="1:39" s="7" customFormat="1" x14ac:dyDescent="0.25">
      <c r="A188" s="5">
        <v>147</v>
      </c>
      <c r="B188" s="6"/>
      <c r="C188" s="5">
        <v>1</v>
      </c>
      <c r="D188" s="6"/>
      <c r="E188" s="6"/>
      <c r="F188" s="6"/>
      <c r="G188" s="5">
        <v>1</v>
      </c>
      <c r="H188" s="6"/>
      <c r="I188" s="6"/>
      <c r="J188" s="5">
        <v>1</v>
      </c>
      <c r="K188" s="6"/>
      <c r="L188" s="6"/>
      <c r="M188" s="6"/>
      <c r="N188" s="6"/>
      <c r="O188" s="5">
        <v>1</v>
      </c>
      <c r="P188" s="6"/>
      <c r="Q188" s="6"/>
      <c r="R188" s="5">
        <v>1</v>
      </c>
      <c r="S188" s="5">
        <v>1</v>
      </c>
      <c r="T188" s="6"/>
      <c r="U188" s="6"/>
      <c r="V188" s="5">
        <v>1</v>
      </c>
      <c r="W188" s="6"/>
      <c r="X188" s="6"/>
      <c r="Y188" s="6"/>
      <c r="Z188" s="5">
        <v>1</v>
      </c>
      <c r="AA188" s="6"/>
      <c r="AB188" s="5">
        <v>1</v>
      </c>
      <c r="AC188" s="6"/>
      <c r="AD188" s="6"/>
      <c r="AE188" s="6"/>
      <c r="AF188" s="6"/>
      <c r="AG188" s="6"/>
      <c r="AH188" s="6"/>
      <c r="AI188" s="6"/>
      <c r="AJ188" s="5">
        <v>1</v>
      </c>
      <c r="AK188" s="6"/>
      <c r="AL188" s="6"/>
      <c r="AM188" s="5">
        <v>1</v>
      </c>
    </row>
    <row r="189" spans="1:39" s="7" customFormat="1" x14ac:dyDescent="0.25">
      <c r="A189" s="5">
        <v>148</v>
      </c>
      <c r="B189" s="6"/>
      <c r="C189" s="5">
        <v>1</v>
      </c>
      <c r="D189" s="6"/>
      <c r="E189" s="5">
        <v>1</v>
      </c>
      <c r="F189" s="6"/>
      <c r="G189" s="5">
        <v>1</v>
      </c>
      <c r="H189" s="6"/>
      <c r="I189" s="5">
        <v>1</v>
      </c>
      <c r="J189" s="5">
        <v>1</v>
      </c>
      <c r="K189" s="5">
        <v>1</v>
      </c>
      <c r="L189" s="5">
        <v>1</v>
      </c>
      <c r="M189" s="5">
        <v>1</v>
      </c>
      <c r="N189" s="6"/>
      <c r="O189" s="5">
        <v>1</v>
      </c>
      <c r="P189" s="6"/>
      <c r="Q189" s="5">
        <v>1</v>
      </c>
      <c r="R189" s="5">
        <v>1</v>
      </c>
      <c r="S189" s="6"/>
      <c r="T189" s="5">
        <v>1</v>
      </c>
      <c r="U189" s="5">
        <v>1</v>
      </c>
      <c r="V189" s="5">
        <v>1</v>
      </c>
      <c r="W189" s="5">
        <v>1</v>
      </c>
      <c r="X189" s="5">
        <v>1</v>
      </c>
      <c r="Y189" s="5">
        <v>1</v>
      </c>
      <c r="Z189" s="5">
        <v>1</v>
      </c>
      <c r="AA189" s="6"/>
      <c r="AB189" s="5">
        <v>1</v>
      </c>
      <c r="AC189" s="5">
        <v>1</v>
      </c>
      <c r="AD189" s="6"/>
      <c r="AE189" s="6"/>
      <c r="AF189" s="6"/>
      <c r="AG189" s="6"/>
      <c r="AH189" s="6"/>
      <c r="AI189" s="6"/>
      <c r="AJ189" s="6"/>
      <c r="AK189" s="5">
        <v>1</v>
      </c>
      <c r="AL189" s="6"/>
      <c r="AM189" s="5">
        <v>1</v>
      </c>
    </row>
    <row r="190" spans="1:39" s="7" customFormat="1" x14ac:dyDescent="0.25">
      <c r="A190" s="5">
        <v>149</v>
      </c>
      <c r="B190" s="6"/>
      <c r="C190" s="5">
        <v>1</v>
      </c>
      <c r="D190" s="6"/>
      <c r="E190" s="5">
        <v>1</v>
      </c>
      <c r="F190" s="6"/>
      <c r="G190" s="5">
        <v>1</v>
      </c>
      <c r="H190" s="6"/>
      <c r="I190" s="5">
        <v>1</v>
      </c>
      <c r="J190" s="5">
        <v>1</v>
      </c>
      <c r="K190" s="5">
        <v>1</v>
      </c>
      <c r="L190" s="5">
        <v>1</v>
      </c>
      <c r="M190" s="5">
        <v>1</v>
      </c>
      <c r="N190" s="6"/>
      <c r="O190" s="5">
        <v>1</v>
      </c>
      <c r="P190" s="6"/>
      <c r="Q190" s="5">
        <v>1</v>
      </c>
      <c r="R190" s="5">
        <v>1</v>
      </c>
      <c r="S190" s="6"/>
      <c r="T190" s="5">
        <v>1</v>
      </c>
      <c r="U190" s="5">
        <v>1</v>
      </c>
      <c r="V190" s="5">
        <v>1</v>
      </c>
      <c r="W190" s="5">
        <v>1</v>
      </c>
      <c r="X190" s="5">
        <v>1</v>
      </c>
      <c r="Y190" s="5">
        <v>1</v>
      </c>
      <c r="Z190" s="5">
        <v>1</v>
      </c>
      <c r="AA190" s="6"/>
      <c r="AB190" s="5">
        <v>1</v>
      </c>
      <c r="AC190" s="5">
        <v>1</v>
      </c>
      <c r="AD190" s="6"/>
      <c r="AE190" s="6"/>
      <c r="AF190" s="6"/>
      <c r="AG190" s="6"/>
      <c r="AH190" s="6"/>
      <c r="AI190" s="6"/>
      <c r="AJ190" s="6"/>
      <c r="AK190" s="5">
        <v>1</v>
      </c>
      <c r="AL190" s="6"/>
      <c r="AM190" s="5">
        <v>1</v>
      </c>
    </row>
    <row r="191" spans="1:39" s="7" customFormat="1" x14ac:dyDescent="0.25">
      <c r="A191" s="5">
        <v>150</v>
      </c>
      <c r="B191" s="6"/>
      <c r="C191" s="5">
        <v>1</v>
      </c>
      <c r="D191" s="6"/>
      <c r="E191" s="5">
        <v>1</v>
      </c>
      <c r="F191" s="6"/>
      <c r="G191" s="5">
        <v>1</v>
      </c>
      <c r="H191" s="6"/>
      <c r="I191" s="5">
        <v>1</v>
      </c>
      <c r="J191" s="5">
        <v>1</v>
      </c>
      <c r="K191" s="5">
        <v>1</v>
      </c>
      <c r="L191" s="5">
        <v>1</v>
      </c>
      <c r="M191" s="5">
        <v>1</v>
      </c>
      <c r="N191" s="6"/>
      <c r="O191" s="5">
        <v>1</v>
      </c>
      <c r="P191" s="6"/>
      <c r="Q191" s="5">
        <v>1</v>
      </c>
      <c r="R191" s="5">
        <v>1</v>
      </c>
      <c r="S191" s="6"/>
      <c r="T191" s="5">
        <v>1</v>
      </c>
      <c r="U191" s="5">
        <v>1</v>
      </c>
      <c r="V191" s="5">
        <v>1</v>
      </c>
      <c r="W191" s="5">
        <v>1</v>
      </c>
      <c r="X191" s="5">
        <v>1</v>
      </c>
      <c r="Y191" s="5">
        <v>1</v>
      </c>
      <c r="Z191" s="5">
        <v>1</v>
      </c>
      <c r="AA191" s="6"/>
      <c r="AB191" s="5">
        <v>1</v>
      </c>
      <c r="AC191" s="5">
        <v>1</v>
      </c>
      <c r="AD191" s="6"/>
      <c r="AE191" s="6"/>
      <c r="AF191" s="6"/>
      <c r="AG191" s="6"/>
      <c r="AH191" s="6"/>
      <c r="AI191" s="6"/>
      <c r="AJ191" s="6"/>
      <c r="AK191" s="5">
        <v>1</v>
      </c>
      <c r="AL191" s="6"/>
      <c r="AM191" s="5">
        <v>1</v>
      </c>
    </row>
    <row r="192" spans="1:39" s="7" customFormat="1" x14ac:dyDescent="0.25">
      <c r="A192" s="5">
        <v>151</v>
      </c>
      <c r="B192" s="5">
        <v>1</v>
      </c>
      <c r="C192" s="5"/>
      <c r="D192" s="5">
        <v>1</v>
      </c>
      <c r="E192" s="5">
        <v>1</v>
      </c>
      <c r="F192" s="5">
        <v>1</v>
      </c>
      <c r="G192" s="5"/>
      <c r="H192" s="5">
        <v>1</v>
      </c>
      <c r="I192" s="5">
        <v>1</v>
      </c>
      <c r="J192" s="5"/>
      <c r="K192" s="5">
        <v>1</v>
      </c>
      <c r="L192" s="5"/>
      <c r="M192" s="5">
        <v>1</v>
      </c>
      <c r="N192" s="5">
        <v>1</v>
      </c>
      <c r="O192" s="5"/>
      <c r="P192" s="5">
        <v>1</v>
      </c>
      <c r="Q192" s="5"/>
      <c r="R192" s="5"/>
      <c r="S192" s="5"/>
      <c r="T192" s="5"/>
      <c r="U192" s="5">
        <v>1</v>
      </c>
      <c r="V192" s="5"/>
      <c r="W192" s="5">
        <v>1</v>
      </c>
      <c r="X192" s="5"/>
      <c r="Y192" s="5">
        <v>1</v>
      </c>
      <c r="Z192" s="5"/>
      <c r="AA192" s="5"/>
      <c r="AB192" s="5"/>
      <c r="AC192" s="5">
        <v>1</v>
      </c>
      <c r="AD192" s="5">
        <v>1</v>
      </c>
      <c r="AE192" s="5">
        <v>1</v>
      </c>
      <c r="AF192" s="5">
        <v>1</v>
      </c>
      <c r="AG192" s="5">
        <v>1</v>
      </c>
      <c r="AH192" s="5">
        <v>1</v>
      </c>
      <c r="AI192" s="5"/>
      <c r="AJ192" s="5"/>
      <c r="AK192" s="5">
        <v>1</v>
      </c>
      <c r="AL192" s="6"/>
      <c r="AM192" s="5"/>
    </row>
    <row r="193" spans="1:39" s="7" customFormat="1" x14ac:dyDescent="0.25">
      <c r="A193" s="5">
        <v>152</v>
      </c>
      <c r="B193" s="5">
        <v>1</v>
      </c>
      <c r="C193" s="5"/>
      <c r="D193" s="5">
        <v>1</v>
      </c>
      <c r="E193" s="5">
        <v>1</v>
      </c>
      <c r="F193" s="5">
        <v>1</v>
      </c>
      <c r="G193" s="5"/>
      <c r="H193" s="5">
        <v>1</v>
      </c>
      <c r="I193" s="5">
        <v>1</v>
      </c>
      <c r="J193" s="5"/>
      <c r="K193" s="5">
        <v>1</v>
      </c>
      <c r="L193" s="5"/>
      <c r="M193" s="5">
        <v>1</v>
      </c>
      <c r="N193" s="5">
        <v>1</v>
      </c>
      <c r="O193" s="5"/>
      <c r="P193" s="5">
        <v>1</v>
      </c>
      <c r="Q193" s="5"/>
      <c r="R193" s="5"/>
      <c r="S193" s="5"/>
      <c r="T193" s="5"/>
      <c r="U193" s="5">
        <v>1</v>
      </c>
      <c r="V193" s="5"/>
      <c r="W193" s="5">
        <v>1</v>
      </c>
      <c r="X193" s="5"/>
      <c r="Y193" s="5">
        <v>1</v>
      </c>
      <c r="Z193" s="5"/>
      <c r="AA193" s="5"/>
      <c r="AB193" s="5"/>
      <c r="AC193" s="5">
        <v>1</v>
      </c>
      <c r="AD193" s="5">
        <v>1</v>
      </c>
      <c r="AE193" s="5">
        <v>1</v>
      </c>
      <c r="AF193" s="5">
        <v>1</v>
      </c>
      <c r="AG193" s="5">
        <v>1</v>
      </c>
      <c r="AH193" s="5">
        <v>1</v>
      </c>
      <c r="AI193" s="5"/>
      <c r="AJ193" s="5"/>
      <c r="AK193" s="5">
        <v>1</v>
      </c>
      <c r="AL193" s="6"/>
      <c r="AM193" s="5"/>
    </row>
    <row r="194" spans="1:39" s="7" customFormat="1" x14ac:dyDescent="0.25">
      <c r="A194" s="5">
        <v>153</v>
      </c>
      <c r="B194" s="5"/>
      <c r="C194" s="5">
        <v>1</v>
      </c>
      <c r="D194" s="6"/>
      <c r="E194" s="5">
        <v>1</v>
      </c>
      <c r="F194" s="5"/>
      <c r="G194" s="5">
        <v>1</v>
      </c>
      <c r="H194" s="5">
        <v>1</v>
      </c>
      <c r="I194" s="5">
        <v>1</v>
      </c>
      <c r="J194" s="5">
        <v>1</v>
      </c>
      <c r="K194" s="6"/>
      <c r="L194" s="6"/>
      <c r="M194" s="6"/>
      <c r="N194" s="5">
        <v>1</v>
      </c>
      <c r="O194" s="5">
        <v>1</v>
      </c>
      <c r="P194" s="5">
        <v>1</v>
      </c>
      <c r="Q194" s="6"/>
      <c r="R194" s="5">
        <v>1</v>
      </c>
      <c r="S194" s="5">
        <v>1</v>
      </c>
      <c r="T194" s="6"/>
      <c r="U194" s="5">
        <v>1</v>
      </c>
      <c r="V194" s="5">
        <v>1</v>
      </c>
      <c r="W194" s="5">
        <v>1</v>
      </c>
      <c r="X194" s="6"/>
      <c r="Y194" s="6"/>
      <c r="Z194" s="5">
        <v>1</v>
      </c>
      <c r="AA194" s="5"/>
      <c r="AB194" s="5">
        <v>1</v>
      </c>
      <c r="AC194" s="5">
        <v>1</v>
      </c>
      <c r="AD194" s="6"/>
      <c r="AE194" s="5">
        <v>1</v>
      </c>
      <c r="AF194" s="5"/>
      <c r="AG194" s="5">
        <v>1</v>
      </c>
      <c r="AH194" s="5">
        <v>1</v>
      </c>
      <c r="AI194" s="6"/>
      <c r="AJ194" s="5">
        <v>1</v>
      </c>
      <c r="AK194" s="5">
        <v>1</v>
      </c>
      <c r="AL194" s="6"/>
      <c r="AM194" s="6"/>
    </row>
    <row r="195" spans="1:39" s="7" customFormat="1" x14ac:dyDescent="0.25">
      <c r="A195" s="5">
        <v>154</v>
      </c>
      <c r="B195" s="5"/>
      <c r="C195" s="5">
        <v>1</v>
      </c>
      <c r="D195" s="6"/>
      <c r="E195" s="5">
        <v>1</v>
      </c>
      <c r="F195" s="5"/>
      <c r="G195" s="5">
        <v>1</v>
      </c>
      <c r="H195" s="5">
        <v>1</v>
      </c>
      <c r="I195" s="5">
        <v>1</v>
      </c>
      <c r="J195" s="5">
        <v>1</v>
      </c>
      <c r="K195" s="6"/>
      <c r="L195" s="6"/>
      <c r="M195" s="6"/>
      <c r="N195" s="5">
        <v>1</v>
      </c>
      <c r="O195" s="5">
        <v>1</v>
      </c>
      <c r="P195" s="5">
        <v>1</v>
      </c>
      <c r="Q195" s="6"/>
      <c r="R195" s="5">
        <v>1</v>
      </c>
      <c r="S195" s="5">
        <v>1</v>
      </c>
      <c r="T195" s="6"/>
      <c r="U195" s="5">
        <v>1</v>
      </c>
      <c r="V195" s="5">
        <v>1</v>
      </c>
      <c r="W195" s="5">
        <v>1</v>
      </c>
      <c r="X195" s="6"/>
      <c r="Y195" s="6"/>
      <c r="Z195" s="5">
        <v>1</v>
      </c>
      <c r="AA195" s="5"/>
      <c r="AB195" s="5">
        <v>1</v>
      </c>
      <c r="AC195" s="5">
        <v>1</v>
      </c>
      <c r="AD195" s="6"/>
      <c r="AE195" s="5">
        <v>1</v>
      </c>
      <c r="AF195" s="5"/>
      <c r="AG195" s="5">
        <v>1</v>
      </c>
      <c r="AH195" s="5">
        <v>1</v>
      </c>
      <c r="AI195" s="6"/>
      <c r="AJ195" s="5">
        <v>1</v>
      </c>
      <c r="AK195" s="5">
        <v>1</v>
      </c>
      <c r="AL195" s="6"/>
      <c r="AM195" s="6"/>
    </row>
    <row r="196" spans="1:39" s="7" customFormat="1" x14ac:dyDescent="0.25">
      <c r="A196" s="5">
        <v>155</v>
      </c>
      <c r="B196" s="8"/>
      <c r="C196" s="8">
        <v>1</v>
      </c>
      <c r="D196" s="8"/>
      <c r="E196" s="8"/>
      <c r="F196" s="8">
        <v>1</v>
      </c>
      <c r="G196" s="8">
        <v>1</v>
      </c>
      <c r="H196" s="8">
        <v>1</v>
      </c>
      <c r="I196" s="8">
        <v>1</v>
      </c>
      <c r="J196" s="8">
        <v>1</v>
      </c>
      <c r="K196" s="8">
        <v>1</v>
      </c>
      <c r="L196" s="8">
        <v>1</v>
      </c>
      <c r="M196" s="8">
        <v>1</v>
      </c>
      <c r="N196" s="8"/>
      <c r="O196" s="8">
        <v>1</v>
      </c>
      <c r="P196" s="8">
        <v>1</v>
      </c>
      <c r="Q196" s="9">
        <v>1</v>
      </c>
      <c r="R196" s="8">
        <v>1</v>
      </c>
      <c r="S196" s="8">
        <v>1</v>
      </c>
      <c r="T196" s="8">
        <v>1</v>
      </c>
      <c r="U196" s="8"/>
      <c r="V196" s="8">
        <v>1</v>
      </c>
      <c r="W196" s="8">
        <v>1</v>
      </c>
      <c r="X196" s="8">
        <v>1</v>
      </c>
      <c r="Y196" s="8"/>
      <c r="Z196" s="8">
        <v>1</v>
      </c>
      <c r="AA196" s="8">
        <v>1</v>
      </c>
      <c r="AB196" s="8">
        <v>1</v>
      </c>
      <c r="AC196" s="8">
        <v>1</v>
      </c>
      <c r="AD196" s="8">
        <v>1</v>
      </c>
      <c r="AE196" s="8">
        <v>1</v>
      </c>
      <c r="AF196" s="8">
        <v>1</v>
      </c>
      <c r="AG196" s="8"/>
      <c r="AH196" s="8">
        <v>1</v>
      </c>
      <c r="AI196" s="8">
        <v>1</v>
      </c>
      <c r="AJ196" s="8">
        <v>1</v>
      </c>
      <c r="AK196" s="8">
        <v>1</v>
      </c>
      <c r="AL196" s="10"/>
      <c r="AM196" s="10"/>
    </row>
    <row r="197" spans="1:39" s="7" customFormat="1" x14ac:dyDescent="0.25">
      <c r="A197" s="5">
        <v>156</v>
      </c>
      <c r="B197" s="8"/>
      <c r="C197" s="8">
        <v>1</v>
      </c>
      <c r="D197" s="8"/>
      <c r="E197" s="8"/>
      <c r="F197" s="8">
        <v>1</v>
      </c>
      <c r="G197" s="8">
        <v>1</v>
      </c>
      <c r="H197" s="8">
        <v>1</v>
      </c>
      <c r="I197" s="8">
        <v>1</v>
      </c>
      <c r="J197" s="8">
        <v>1</v>
      </c>
      <c r="K197" s="8">
        <v>1</v>
      </c>
      <c r="L197" s="8">
        <v>1</v>
      </c>
      <c r="M197" s="8">
        <v>1</v>
      </c>
      <c r="N197" s="8"/>
      <c r="O197" s="8">
        <v>1</v>
      </c>
      <c r="P197" s="8">
        <v>1</v>
      </c>
      <c r="Q197" s="9">
        <v>1</v>
      </c>
      <c r="R197" s="8">
        <v>1</v>
      </c>
      <c r="S197" s="8">
        <v>1</v>
      </c>
      <c r="T197" s="8">
        <v>1</v>
      </c>
      <c r="U197" s="8"/>
      <c r="V197" s="8">
        <v>1</v>
      </c>
      <c r="W197" s="8">
        <v>1</v>
      </c>
      <c r="X197" s="8">
        <v>1</v>
      </c>
      <c r="Y197" s="8"/>
      <c r="Z197" s="8">
        <v>1</v>
      </c>
      <c r="AA197" s="8">
        <v>1</v>
      </c>
      <c r="AB197" s="8">
        <v>1</v>
      </c>
      <c r="AC197" s="8">
        <v>1</v>
      </c>
      <c r="AD197" s="8">
        <v>1</v>
      </c>
      <c r="AE197" s="8">
        <v>1</v>
      </c>
      <c r="AF197" s="8">
        <v>1</v>
      </c>
      <c r="AG197" s="8"/>
      <c r="AH197" s="8">
        <v>1</v>
      </c>
      <c r="AI197" s="8">
        <v>1</v>
      </c>
      <c r="AJ197" s="8">
        <v>1</v>
      </c>
      <c r="AK197" s="8">
        <v>1</v>
      </c>
      <c r="AL197" s="8"/>
      <c r="AM197" s="8"/>
    </row>
    <row r="198" spans="1:39" s="7" customFormat="1" x14ac:dyDescent="0.25">
      <c r="A198" s="5">
        <v>157</v>
      </c>
      <c r="B198" s="8"/>
      <c r="C198" s="8">
        <v>1</v>
      </c>
      <c r="D198" s="8"/>
      <c r="E198" s="8"/>
      <c r="F198" s="8">
        <v>1</v>
      </c>
      <c r="G198" s="8">
        <v>1</v>
      </c>
      <c r="H198" s="8">
        <v>1</v>
      </c>
      <c r="I198" s="8">
        <v>1</v>
      </c>
      <c r="J198" s="8">
        <v>1</v>
      </c>
      <c r="K198" s="8">
        <v>1</v>
      </c>
      <c r="L198" s="8">
        <v>1</v>
      </c>
      <c r="M198" s="8">
        <v>1</v>
      </c>
      <c r="N198" s="8"/>
      <c r="O198" s="8">
        <v>1</v>
      </c>
      <c r="P198" s="8">
        <v>1</v>
      </c>
      <c r="Q198" s="9">
        <v>1</v>
      </c>
      <c r="R198" s="8">
        <v>1</v>
      </c>
      <c r="S198" s="8">
        <v>1</v>
      </c>
      <c r="T198" s="8">
        <v>1</v>
      </c>
      <c r="U198" s="8"/>
      <c r="V198" s="8">
        <v>1</v>
      </c>
      <c r="W198" s="8">
        <v>1</v>
      </c>
      <c r="X198" s="8">
        <v>1</v>
      </c>
      <c r="Y198" s="8"/>
      <c r="Z198" s="8">
        <v>1</v>
      </c>
      <c r="AA198" s="8">
        <v>1</v>
      </c>
      <c r="AB198" s="8">
        <v>1</v>
      </c>
      <c r="AC198" s="8">
        <v>1</v>
      </c>
      <c r="AD198" s="8">
        <v>1</v>
      </c>
      <c r="AE198" s="8">
        <v>1</v>
      </c>
      <c r="AF198" s="8">
        <v>1</v>
      </c>
      <c r="AG198" s="8"/>
      <c r="AH198" s="8">
        <v>1</v>
      </c>
      <c r="AI198" s="8">
        <v>1</v>
      </c>
      <c r="AJ198" s="8">
        <v>1</v>
      </c>
      <c r="AK198" s="8">
        <v>1</v>
      </c>
      <c r="AL198" s="8"/>
      <c r="AM198" s="8"/>
    </row>
    <row r="199" spans="1:39" s="7" customFormat="1" x14ac:dyDescent="0.25">
      <c r="A199" s="5">
        <v>158</v>
      </c>
      <c r="B199" s="9"/>
      <c r="C199" s="9">
        <v>1</v>
      </c>
      <c r="D199" s="9"/>
      <c r="E199" s="9"/>
      <c r="F199" s="9">
        <v>1</v>
      </c>
      <c r="G199" s="9">
        <v>1</v>
      </c>
      <c r="H199" s="9">
        <v>1</v>
      </c>
      <c r="I199" s="9">
        <v>1</v>
      </c>
      <c r="J199" s="9">
        <v>1</v>
      </c>
      <c r="K199" s="9">
        <v>1</v>
      </c>
      <c r="L199" s="9">
        <v>1</v>
      </c>
      <c r="M199" s="9">
        <v>1</v>
      </c>
      <c r="N199" s="9"/>
      <c r="O199" s="9">
        <v>1</v>
      </c>
      <c r="P199" s="9">
        <v>1</v>
      </c>
      <c r="Q199" s="9">
        <v>1</v>
      </c>
      <c r="R199" s="9">
        <v>1</v>
      </c>
      <c r="S199" s="9">
        <v>1</v>
      </c>
      <c r="T199" s="9">
        <v>1</v>
      </c>
      <c r="U199" s="9"/>
      <c r="V199" s="9">
        <v>1</v>
      </c>
      <c r="W199" s="9">
        <v>1</v>
      </c>
      <c r="X199" s="9">
        <v>1</v>
      </c>
      <c r="Y199" s="9"/>
      <c r="Z199" s="9">
        <v>1</v>
      </c>
      <c r="AA199" s="9">
        <v>1</v>
      </c>
      <c r="AB199" s="9">
        <v>1</v>
      </c>
      <c r="AC199" s="9">
        <v>1</v>
      </c>
      <c r="AD199" s="9">
        <v>1</v>
      </c>
      <c r="AE199" s="9">
        <v>1</v>
      </c>
      <c r="AF199" s="9">
        <v>1</v>
      </c>
      <c r="AG199" s="9"/>
      <c r="AH199" s="9">
        <v>1</v>
      </c>
      <c r="AI199" s="9">
        <v>1</v>
      </c>
      <c r="AJ199" s="9">
        <v>1</v>
      </c>
      <c r="AK199" s="9">
        <v>1</v>
      </c>
      <c r="AL199" s="9"/>
      <c r="AM199" s="9"/>
    </row>
    <row r="200" spans="1:39" s="7" customFormat="1" x14ac:dyDescent="0.25">
      <c r="A200" s="5">
        <v>159</v>
      </c>
      <c r="B200" s="9">
        <v>1</v>
      </c>
      <c r="C200" s="9">
        <v>1</v>
      </c>
      <c r="D200" s="9">
        <v>1</v>
      </c>
      <c r="E200" s="9">
        <v>1</v>
      </c>
      <c r="F200" s="9">
        <v>1</v>
      </c>
      <c r="G200" s="9">
        <v>1</v>
      </c>
      <c r="H200" s="9">
        <v>1</v>
      </c>
      <c r="I200" s="9">
        <v>1</v>
      </c>
      <c r="J200" s="9">
        <v>1</v>
      </c>
      <c r="K200" s="9">
        <v>1</v>
      </c>
      <c r="L200" s="9">
        <v>1</v>
      </c>
      <c r="M200" s="9">
        <v>1</v>
      </c>
      <c r="N200" s="9">
        <v>1</v>
      </c>
      <c r="O200" s="9">
        <v>1</v>
      </c>
      <c r="P200" s="9">
        <v>1</v>
      </c>
      <c r="Q200" s="11"/>
      <c r="R200" s="9">
        <v>1</v>
      </c>
      <c r="S200" s="9">
        <v>1</v>
      </c>
      <c r="T200" s="9">
        <v>1</v>
      </c>
      <c r="U200" s="9">
        <v>1</v>
      </c>
      <c r="V200" s="9">
        <v>1</v>
      </c>
      <c r="W200" s="9">
        <v>1</v>
      </c>
      <c r="X200" s="9">
        <v>1</v>
      </c>
      <c r="Y200" s="9">
        <v>1</v>
      </c>
      <c r="Z200" s="9">
        <v>1</v>
      </c>
      <c r="AA200" s="9">
        <v>1</v>
      </c>
      <c r="AB200" s="9">
        <v>1</v>
      </c>
      <c r="AC200" s="9">
        <v>1</v>
      </c>
      <c r="AD200" s="9">
        <v>1</v>
      </c>
      <c r="AE200" s="9">
        <v>1</v>
      </c>
      <c r="AF200" s="9">
        <v>1</v>
      </c>
      <c r="AG200" s="9">
        <v>1</v>
      </c>
      <c r="AH200" s="9">
        <v>1</v>
      </c>
      <c r="AI200" s="9">
        <v>1</v>
      </c>
      <c r="AJ200" s="9">
        <v>1</v>
      </c>
      <c r="AK200" s="9">
        <v>1</v>
      </c>
      <c r="AL200" s="9">
        <v>1</v>
      </c>
      <c r="AM200" s="9">
        <v>1</v>
      </c>
    </row>
    <row r="201" spans="1:39" s="7" customFormat="1" x14ac:dyDescent="0.25">
      <c r="A201" s="5">
        <v>160</v>
      </c>
      <c r="B201" s="5">
        <v>1</v>
      </c>
      <c r="C201" s="6"/>
      <c r="D201" s="5">
        <v>1</v>
      </c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5">
        <v>1</v>
      </c>
      <c r="AM201" s="6"/>
    </row>
    <row r="202" spans="1:39" s="7" customFormat="1" x14ac:dyDescent="0.25">
      <c r="A202" s="5">
        <v>160</v>
      </c>
      <c r="B202" s="6"/>
      <c r="C202" s="6"/>
      <c r="D202" s="6"/>
      <c r="E202" s="6"/>
      <c r="F202" s="5">
        <v>1</v>
      </c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5">
        <v>1</v>
      </c>
      <c r="Z202" s="6"/>
      <c r="AA202" s="6"/>
      <c r="AB202" s="6"/>
      <c r="AC202" s="6"/>
      <c r="AD202" s="5">
        <v>1</v>
      </c>
      <c r="AE202" s="6"/>
      <c r="AF202" s="5">
        <v>1</v>
      </c>
      <c r="AG202" s="6"/>
      <c r="AH202" s="6"/>
      <c r="AI202" s="6"/>
      <c r="AJ202" s="6"/>
      <c r="AK202" s="6"/>
      <c r="AL202" s="6"/>
      <c r="AM202" s="6"/>
    </row>
    <row r="203" spans="1:39" s="7" customFormat="1" x14ac:dyDescent="0.25">
      <c r="A203" s="5">
        <v>160</v>
      </c>
      <c r="B203" s="6"/>
      <c r="C203" s="6"/>
      <c r="D203" s="6"/>
      <c r="E203" s="5">
        <v>1</v>
      </c>
      <c r="F203" s="6"/>
      <c r="G203" s="6"/>
      <c r="H203" s="6"/>
      <c r="I203" s="6"/>
      <c r="J203" s="6"/>
      <c r="K203" s="5">
        <v>1</v>
      </c>
      <c r="L203" s="6"/>
      <c r="M203" s="5">
        <v>1</v>
      </c>
      <c r="N203" s="5">
        <v>1</v>
      </c>
      <c r="O203" s="6"/>
      <c r="P203" s="6"/>
      <c r="Q203" s="6"/>
      <c r="R203" s="6"/>
      <c r="S203" s="6"/>
      <c r="T203" s="6"/>
      <c r="U203" s="5">
        <v>1</v>
      </c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5">
        <v>1</v>
      </c>
      <c r="AH203" s="6"/>
      <c r="AI203" s="6"/>
      <c r="AJ203" s="6"/>
      <c r="AK203" s="6"/>
      <c r="AL203" s="6"/>
      <c r="AM203" s="6"/>
    </row>
    <row r="204" spans="1:39" s="7" customFormat="1" x14ac:dyDescent="0.25">
      <c r="A204" s="5">
        <v>160</v>
      </c>
      <c r="B204" s="6"/>
      <c r="C204" s="6"/>
      <c r="D204" s="6"/>
      <c r="E204" s="6"/>
      <c r="F204" s="6"/>
      <c r="G204" s="6"/>
      <c r="H204" s="5">
        <v>1</v>
      </c>
      <c r="I204" s="5">
        <v>1</v>
      </c>
      <c r="J204" s="6"/>
      <c r="K204" s="6"/>
      <c r="L204" s="6"/>
      <c r="M204" s="6"/>
      <c r="N204" s="6"/>
      <c r="O204" s="6"/>
      <c r="P204" s="5">
        <v>1</v>
      </c>
      <c r="Q204" s="6"/>
      <c r="R204" s="6"/>
      <c r="S204" s="6"/>
      <c r="T204" s="6"/>
      <c r="U204" s="6"/>
      <c r="V204" s="6"/>
      <c r="W204" s="5">
        <v>1</v>
      </c>
      <c r="X204" s="6"/>
      <c r="Y204" s="6"/>
      <c r="Z204" s="6"/>
      <c r="AA204" s="5">
        <v>1</v>
      </c>
      <c r="AB204" s="6"/>
      <c r="AC204" s="5">
        <v>1</v>
      </c>
      <c r="AD204" s="6"/>
      <c r="AE204" s="5">
        <v>1</v>
      </c>
      <c r="AF204" s="6"/>
      <c r="AG204" s="6"/>
      <c r="AH204" s="5">
        <v>1</v>
      </c>
      <c r="AI204" s="5">
        <v>1</v>
      </c>
      <c r="AJ204" s="6"/>
      <c r="AK204" s="5">
        <v>1</v>
      </c>
      <c r="AL204" s="6"/>
      <c r="AM204" s="6"/>
    </row>
    <row r="205" spans="1:39" s="7" customFormat="1" x14ac:dyDescent="0.25">
      <c r="A205" s="5">
        <v>160</v>
      </c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5">
        <v>1</v>
      </c>
      <c r="M205" s="6"/>
      <c r="N205" s="6"/>
      <c r="O205" s="6"/>
      <c r="P205" s="6"/>
      <c r="Q205" s="5">
        <v>1</v>
      </c>
      <c r="R205" s="6"/>
      <c r="S205" s="6"/>
      <c r="T205" s="5">
        <v>1</v>
      </c>
      <c r="U205" s="6"/>
      <c r="V205" s="6"/>
      <c r="W205" s="6"/>
      <c r="X205" s="5">
        <v>1</v>
      </c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</row>
    <row r="206" spans="1:39" s="7" customFormat="1" x14ac:dyDescent="0.25">
      <c r="A206" s="5">
        <v>160</v>
      </c>
      <c r="B206" s="6"/>
      <c r="C206" s="5">
        <v>1</v>
      </c>
      <c r="D206" s="6"/>
      <c r="E206" s="6"/>
      <c r="F206" s="6"/>
      <c r="G206" s="5">
        <v>1</v>
      </c>
      <c r="H206" s="6"/>
      <c r="I206" s="6"/>
      <c r="J206" s="5">
        <v>1</v>
      </c>
      <c r="K206" s="6"/>
      <c r="L206" s="6"/>
      <c r="M206" s="6"/>
      <c r="N206" s="6"/>
      <c r="O206" s="5">
        <v>1</v>
      </c>
      <c r="P206" s="6"/>
      <c r="Q206" s="6"/>
      <c r="R206" s="5">
        <v>1</v>
      </c>
      <c r="S206" s="5">
        <v>1</v>
      </c>
      <c r="T206" s="6"/>
      <c r="U206" s="6"/>
      <c r="V206" s="5">
        <v>1</v>
      </c>
      <c r="W206" s="6"/>
      <c r="X206" s="6"/>
      <c r="Y206" s="6"/>
      <c r="Z206" s="5">
        <v>1</v>
      </c>
      <c r="AA206" s="6"/>
      <c r="AB206" s="5">
        <v>1</v>
      </c>
      <c r="AC206" s="6"/>
      <c r="AD206" s="6"/>
      <c r="AE206" s="6"/>
      <c r="AF206" s="6"/>
      <c r="AG206" s="6"/>
      <c r="AH206" s="6"/>
      <c r="AI206" s="6"/>
      <c r="AJ206" s="5">
        <v>1</v>
      </c>
      <c r="AK206" s="6"/>
      <c r="AL206" s="6"/>
      <c r="AM206" s="5">
        <v>1</v>
      </c>
    </row>
    <row r="207" spans="1:39" s="7" customFormat="1" x14ac:dyDescent="0.25">
      <c r="A207" s="5">
        <v>161</v>
      </c>
      <c r="B207" s="5">
        <v>1</v>
      </c>
      <c r="C207" s="6"/>
      <c r="D207" s="5">
        <v>1</v>
      </c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5">
        <v>1</v>
      </c>
      <c r="AM207" s="6"/>
    </row>
    <row r="208" spans="1:39" s="7" customFormat="1" x14ac:dyDescent="0.25">
      <c r="A208" s="5">
        <v>161</v>
      </c>
      <c r="B208" s="6"/>
      <c r="C208" s="6"/>
      <c r="D208" s="6"/>
      <c r="E208" s="6"/>
      <c r="F208" s="5">
        <v>1</v>
      </c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5">
        <v>1</v>
      </c>
      <c r="Z208" s="6"/>
      <c r="AA208" s="6"/>
      <c r="AB208" s="6"/>
      <c r="AC208" s="6"/>
      <c r="AD208" s="5">
        <v>1</v>
      </c>
      <c r="AE208" s="6"/>
      <c r="AF208" s="5">
        <v>1</v>
      </c>
      <c r="AG208" s="6"/>
      <c r="AH208" s="6"/>
      <c r="AI208" s="6"/>
      <c r="AJ208" s="6"/>
      <c r="AK208" s="6"/>
      <c r="AL208" s="6"/>
      <c r="AM208" s="6"/>
    </row>
    <row r="209" spans="1:39" s="7" customFormat="1" x14ac:dyDescent="0.25">
      <c r="A209" s="5">
        <v>161</v>
      </c>
      <c r="B209" s="6"/>
      <c r="C209" s="6"/>
      <c r="D209" s="6"/>
      <c r="E209" s="5">
        <v>1</v>
      </c>
      <c r="F209" s="6"/>
      <c r="G209" s="6"/>
      <c r="H209" s="6"/>
      <c r="I209" s="6"/>
      <c r="J209" s="6"/>
      <c r="K209" s="5">
        <v>1</v>
      </c>
      <c r="L209" s="6"/>
      <c r="M209" s="5">
        <v>1</v>
      </c>
      <c r="N209" s="5">
        <v>1</v>
      </c>
      <c r="O209" s="6"/>
      <c r="P209" s="6"/>
      <c r="Q209" s="6"/>
      <c r="R209" s="6"/>
      <c r="S209" s="6"/>
      <c r="T209" s="6"/>
      <c r="U209" s="5">
        <v>1</v>
      </c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5">
        <v>1</v>
      </c>
      <c r="AH209" s="6"/>
      <c r="AI209" s="6"/>
      <c r="AJ209" s="6"/>
      <c r="AK209" s="6"/>
      <c r="AL209" s="6"/>
      <c r="AM209" s="6"/>
    </row>
    <row r="210" spans="1:39" s="7" customFormat="1" x14ac:dyDescent="0.25">
      <c r="A210" s="5">
        <v>161</v>
      </c>
      <c r="B210" s="6"/>
      <c r="C210" s="6"/>
      <c r="D210" s="6"/>
      <c r="E210" s="6"/>
      <c r="F210" s="6"/>
      <c r="G210" s="6"/>
      <c r="H210" s="5">
        <v>1</v>
      </c>
      <c r="I210" s="5">
        <v>1</v>
      </c>
      <c r="J210" s="6"/>
      <c r="K210" s="6"/>
      <c r="L210" s="6"/>
      <c r="M210" s="6"/>
      <c r="N210" s="6"/>
      <c r="O210" s="6"/>
      <c r="P210" s="5">
        <v>1</v>
      </c>
      <c r="Q210" s="6"/>
      <c r="R210" s="6"/>
      <c r="S210" s="6"/>
      <c r="T210" s="6"/>
      <c r="U210" s="6"/>
      <c r="V210" s="6"/>
      <c r="W210" s="5">
        <v>1</v>
      </c>
      <c r="X210" s="6"/>
      <c r="Y210" s="6"/>
      <c r="Z210" s="6"/>
      <c r="AA210" s="5">
        <v>1</v>
      </c>
      <c r="AB210" s="6"/>
      <c r="AC210" s="5">
        <v>1</v>
      </c>
      <c r="AD210" s="6"/>
      <c r="AE210" s="5">
        <v>1</v>
      </c>
      <c r="AF210" s="6"/>
      <c r="AG210" s="6"/>
      <c r="AH210" s="5">
        <v>1</v>
      </c>
      <c r="AI210" s="5">
        <v>1</v>
      </c>
      <c r="AJ210" s="6"/>
      <c r="AK210" s="5">
        <v>1</v>
      </c>
      <c r="AL210" s="6"/>
      <c r="AM210" s="6"/>
    </row>
    <row r="211" spans="1:39" s="7" customFormat="1" x14ac:dyDescent="0.25">
      <c r="A211" s="5">
        <v>161</v>
      </c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5">
        <v>1</v>
      </c>
      <c r="M211" s="6"/>
      <c r="N211" s="6"/>
      <c r="O211" s="6"/>
      <c r="P211" s="6"/>
      <c r="Q211" s="5">
        <v>1</v>
      </c>
      <c r="R211" s="6"/>
      <c r="S211" s="6"/>
      <c r="T211" s="5">
        <v>1</v>
      </c>
      <c r="U211" s="6"/>
      <c r="V211" s="6"/>
      <c r="W211" s="6"/>
      <c r="X211" s="5">
        <v>1</v>
      </c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</row>
    <row r="212" spans="1:39" s="7" customFormat="1" x14ac:dyDescent="0.25">
      <c r="A212" s="5">
        <v>161</v>
      </c>
      <c r="B212" s="6"/>
      <c r="C212" s="5">
        <v>1</v>
      </c>
      <c r="D212" s="6"/>
      <c r="E212" s="6"/>
      <c r="F212" s="6"/>
      <c r="G212" s="5">
        <v>1</v>
      </c>
      <c r="H212" s="6"/>
      <c r="I212" s="6"/>
      <c r="J212" s="5">
        <v>1</v>
      </c>
      <c r="K212" s="6"/>
      <c r="L212" s="6"/>
      <c r="M212" s="6"/>
      <c r="N212" s="6"/>
      <c r="O212" s="5">
        <v>1</v>
      </c>
      <c r="P212" s="6"/>
      <c r="Q212" s="6"/>
      <c r="R212" s="5">
        <v>1</v>
      </c>
      <c r="S212" s="5">
        <v>1</v>
      </c>
      <c r="T212" s="6"/>
      <c r="U212" s="6"/>
      <c r="V212" s="5">
        <v>1</v>
      </c>
      <c r="W212" s="6"/>
      <c r="X212" s="6"/>
      <c r="Y212" s="6"/>
      <c r="Z212" s="5">
        <v>1</v>
      </c>
      <c r="AA212" s="6"/>
      <c r="AB212" s="5">
        <v>1</v>
      </c>
      <c r="AC212" s="6"/>
      <c r="AD212" s="6"/>
      <c r="AE212" s="6"/>
      <c r="AF212" s="6"/>
      <c r="AG212" s="6"/>
      <c r="AH212" s="6"/>
      <c r="AI212" s="6"/>
      <c r="AJ212" s="5">
        <v>1</v>
      </c>
      <c r="AK212" s="6"/>
      <c r="AL212" s="6"/>
      <c r="AM212" s="5">
        <v>1</v>
      </c>
    </row>
    <row r="213" spans="1:39" s="7" customFormat="1" x14ac:dyDescent="0.25">
      <c r="A213" s="5">
        <v>164</v>
      </c>
      <c r="B213" s="5">
        <v>1</v>
      </c>
      <c r="C213" s="5">
        <v>1</v>
      </c>
      <c r="D213" s="6"/>
      <c r="E213" s="5">
        <v>1</v>
      </c>
      <c r="F213" s="5">
        <v>1</v>
      </c>
      <c r="G213" s="5">
        <v>1</v>
      </c>
      <c r="H213" s="5">
        <v>1</v>
      </c>
      <c r="I213" s="5">
        <v>1</v>
      </c>
      <c r="J213" s="5">
        <v>1</v>
      </c>
      <c r="K213" s="5">
        <v>1</v>
      </c>
      <c r="L213" s="5">
        <v>1</v>
      </c>
      <c r="M213" s="5">
        <v>1</v>
      </c>
      <c r="N213" s="5">
        <v>1</v>
      </c>
      <c r="O213" s="5">
        <v>1</v>
      </c>
      <c r="P213" s="5">
        <v>1</v>
      </c>
      <c r="Q213" s="5">
        <v>1</v>
      </c>
      <c r="R213" s="5">
        <v>1</v>
      </c>
      <c r="S213" s="5">
        <v>1</v>
      </c>
      <c r="T213" s="5">
        <v>1</v>
      </c>
      <c r="U213" s="5">
        <v>1</v>
      </c>
      <c r="V213" s="5">
        <v>1</v>
      </c>
      <c r="W213" s="5">
        <v>1</v>
      </c>
      <c r="X213" s="5">
        <v>1</v>
      </c>
      <c r="Y213" s="5">
        <v>1</v>
      </c>
      <c r="Z213" s="5">
        <v>1</v>
      </c>
      <c r="AA213" s="5">
        <v>1</v>
      </c>
      <c r="AB213" s="5">
        <v>1</v>
      </c>
      <c r="AC213" s="5">
        <v>1</v>
      </c>
      <c r="AD213" s="6"/>
      <c r="AE213" s="5">
        <v>1</v>
      </c>
      <c r="AF213" s="5">
        <v>1</v>
      </c>
      <c r="AG213" s="5">
        <v>1</v>
      </c>
      <c r="AH213" s="5">
        <v>1</v>
      </c>
      <c r="AI213" s="6"/>
      <c r="AJ213" s="5">
        <v>1</v>
      </c>
      <c r="AK213" s="5">
        <v>1</v>
      </c>
      <c r="AL213" s="6"/>
      <c r="AM213" s="5">
        <v>1</v>
      </c>
    </row>
    <row r="214" spans="1:39" s="7" customFormat="1" x14ac:dyDescent="0.25">
      <c r="A214" s="5">
        <v>165</v>
      </c>
      <c r="B214" s="5">
        <v>1</v>
      </c>
      <c r="C214" s="5">
        <v>1</v>
      </c>
      <c r="D214" s="6"/>
      <c r="E214" s="5">
        <v>1</v>
      </c>
      <c r="F214" s="5">
        <v>1</v>
      </c>
      <c r="G214" s="5">
        <v>1</v>
      </c>
      <c r="H214" s="5">
        <v>1</v>
      </c>
      <c r="I214" s="5">
        <v>1</v>
      </c>
      <c r="J214" s="5">
        <v>1</v>
      </c>
      <c r="K214" s="5">
        <v>1</v>
      </c>
      <c r="L214" s="5">
        <v>1</v>
      </c>
      <c r="M214" s="5">
        <v>1</v>
      </c>
      <c r="N214" s="5">
        <v>1</v>
      </c>
      <c r="O214" s="5">
        <v>1</v>
      </c>
      <c r="P214" s="5">
        <v>1</v>
      </c>
      <c r="Q214" s="5">
        <v>1</v>
      </c>
      <c r="R214" s="5">
        <v>1</v>
      </c>
      <c r="S214" s="5">
        <v>1</v>
      </c>
      <c r="T214" s="5">
        <v>1</v>
      </c>
      <c r="U214" s="5">
        <v>1</v>
      </c>
      <c r="V214" s="5">
        <v>1</v>
      </c>
      <c r="W214" s="5">
        <v>1</v>
      </c>
      <c r="X214" s="5">
        <v>1</v>
      </c>
      <c r="Y214" s="5">
        <v>1</v>
      </c>
      <c r="Z214" s="5">
        <v>1</v>
      </c>
      <c r="AA214" s="5">
        <v>1</v>
      </c>
      <c r="AB214" s="5">
        <v>1</v>
      </c>
      <c r="AC214" s="5">
        <v>1</v>
      </c>
      <c r="AD214" s="6"/>
      <c r="AE214" s="5">
        <v>1</v>
      </c>
      <c r="AF214" s="5">
        <v>1</v>
      </c>
      <c r="AG214" s="5">
        <v>1</v>
      </c>
      <c r="AH214" s="5">
        <v>1</v>
      </c>
      <c r="AI214" s="6"/>
      <c r="AJ214" s="5">
        <v>1</v>
      </c>
      <c r="AK214" s="5">
        <v>1</v>
      </c>
      <c r="AL214" s="6"/>
      <c r="AM214" s="5">
        <v>1</v>
      </c>
    </row>
    <row r="215" spans="1:39" s="7" customFormat="1" x14ac:dyDescent="0.25">
      <c r="A215" s="5">
        <v>166</v>
      </c>
      <c r="B215" s="5">
        <v>1</v>
      </c>
      <c r="C215" s="5">
        <v>1</v>
      </c>
      <c r="D215" s="6"/>
      <c r="E215" s="5">
        <v>1</v>
      </c>
      <c r="F215" s="5">
        <v>1</v>
      </c>
      <c r="G215" s="5">
        <v>1</v>
      </c>
      <c r="H215" s="5">
        <v>1</v>
      </c>
      <c r="I215" s="5">
        <v>1</v>
      </c>
      <c r="J215" s="5">
        <v>1</v>
      </c>
      <c r="K215" s="5">
        <v>1</v>
      </c>
      <c r="L215" s="5">
        <v>1</v>
      </c>
      <c r="M215" s="5">
        <v>1</v>
      </c>
      <c r="N215" s="5">
        <v>1</v>
      </c>
      <c r="O215" s="5">
        <v>1</v>
      </c>
      <c r="P215" s="5">
        <v>1</v>
      </c>
      <c r="Q215" s="5">
        <v>1</v>
      </c>
      <c r="R215" s="5">
        <v>1</v>
      </c>
      <c r="S215" s="5">
        <v>1</v>
      </c>
      <c r="T215" s="5">
        <v>1</v>
      </c>
      <c r="U215" s="5">
        <v>1</v>
      </c>
      <c r="V215" s="5">
        <v>1</v>
      </c>
      <c r="W215" s="5">
        <v>1</v>
      </c>
      <c r="X215" s="5">
        <v>1</v>
      </c>
      <c r="Y215" s="5">
        <v>1</v>
      </c>
      <c r="Z215" s="5">
        <v>1</v>
      </c>
      <c r="AA215" s="5">
        <v>1</v>
      </c>
      <c r="AB215" s="5">
        <v>1</v>
      </c>
      <c r="AC215" s="5">
        <v>1</v>
      </c>
      <c r="AD215" s="6"/>
      <c r="AE215" s="5">
        <v>1</v>
      </c>
      <c r="AF215" s="5">
        <v>1</v>
      </c>
      <c r="AG215" s="5">
        <v>1</v>
      </c>
      <c r="AH215" s="5">
        <v>1</v>
      </c>
      <c r="AI215" s="6"/>
      <c r="AJ215" s="5">
        <v>1</v>
      </c>
      <c r="AK215" s="5">
        <v>1</v>
      </c>
      <c r="AL215" s="6"/>
      <c r="AM215" s="5">
        <v>1</v>
      </c>
    </row>
    <row r="216" spans="1:39" s="7" customFormat="1" x14ac:dyDescent="0.25">
      <c r="A216" s="5">
        <v>167</v>
      </c>
      <c r="B216" s="5">
        <v>1</v>
      </c>
      <c r="C216" s="5">
        <v>1</v>
      </c>
      <c r="D216" s="5">
        <v>1</v>
      </c>
      <c r="E216" s="5">
        <v>1</v>
      </c>
      <c r="F216" s="5">
        <v>1</v>
      </c>
      <c r="G216" s="5">
        <v>1</v>
      </c>
      <c r="H216" s="5">
        <v>1</v>
      </c>
      <c r="I216" s="5">
        <v>1</v>
      </c>
      <c r="J216" s="5">
        <v>1</v>
      </c>
      <c r="K216" s="5">
        <v>1</v>
      </c>
      <c r="L216" s="5">
        <v>1</v>
      </c>
      <c r="M216" s="5">
        <v>1</v>
      </c>
      <c r="N216" s="5">
        <v>1</v>
      </c>
      <c r="O216" s="5">
        <v>1</v>
      </c>
      <c r="P216" s="5">
        <v>1</v>
      </c>
      <c r="Q216" s="5">
        <v>1</v>
      </c>
      <c r="R216" s="5">
        <v>1</v>
      </c>
      <c r="S216" s="5">
        <v>1</v>
      </c>
      <c r="T216" s="5">
        <v>1</v>
      </c>
      <c r="U216" s="5">
        <v>1</v>
      </c>
      <c r="V216" s="5">
        <v>1</v>
      </c>
      <c r="W216" s="5">
        <v>1</v>
      </c>
      <c r="X216" s="5">
        <v>1</v>
      </c>
      <c r="Y216" s="5">
        <v>1</v>
      </c>
      <c r="Z216" s="5">
        <v>1</v>
      </c>
      <c r="AA216" s="5">
        <v>1</v>
      </c>
      <c r="AB216" s="5">
        <v>1</v>
      </c>
      <c r="AC216" s="5">
        <v>1</v>
      </c>
      <c r="AD216" s="5">
        <v>1</v>
      </c>
      <c r="AE216" s="5">
        <v>1</v>
      </c>
      <c r="AF216" s="5">
        <v>1</v>
      </c>
      <c r="AG216" s="5">
        <v>1</v>
      </c>
      <c r="AH216" s="5">
        <v>1</v>
      </c>
      <c r="AI216" s="5">
        <v>1</v>
      </c>
      <c r="AJ216" s="5">
        <v>1</v>
      </c>
      <c r="AK216" s="5">
        <v>1</v>
      </c>
      <c r="AL216" s="5">
        <v>1</v>
      </c>
      <c r="AM216" s="5">
        <v>1</v>
      </c>
    </row>
    <row r="217" spans="1:39" s="7" customFormat="1" x14ac:dyDescent="0.25">
      <c r="A217" s="5">
        <v>168</v>
      </c>
      <c r="B217" s="5">
        <v>1</v>
      </c>
      <c r="C217" s="5">
        <v>1</v>
      </c>
      <c r="D217" s="5">
        <v>1</v>
      </c>
      <c r="E217" s="5">
        <v>1</v>
      </c>
      <c r="F217" s="5">
        <v>1</v>
      </c>
      <c r="G217" s="5">
        <v>1</v>
      </c>
      <c r="H217" s="5">
        <v>1</v>
      </c>
      <c r="I217" s="5">
        <v>1</v>
      </c>
      <c r="J217" s="5">
        <v>1</v>
      </c>
      <c r="K217" s="5">
        <v>1</v>
      </c>
      <c r="L217" s="5">
        <v>1</v>
      </c>
      <c r="M217" s="5">
        <v>1</v>
      </c>
      <c r="N217" s="5"/>
      <c r="O217" s="5">
        <v>1</v>
      </c>
      <c r="P217" s="5"/>
      <c r="Q217" s="5">
        <v>1</v>
      </c>
      <c r="R217" s="5">
        <v>1</v>
      </c>
      <c r="S217" s="5">
        <v>1</v>
      </c>
      <c r="T217" s="5">
        <v>1</v>
      </c>
      <c r="U217" s="5">
        <v>1</v>
      </c>
      <c r="V217" s="5">
        <v>1</v>
      </c>
      <c r="W217" s="5">
        <v>1</v>
      </c>
      <c r="X217" s="5">
        <v>1</v>
      </c>
      <c r="Y217" s="5">
        <v>1</v>
      </c>
      <c r="Z217" s="5">
        <v>1</v>
      </c>
      <c r="AA217" s="5">
        <v>1</v>
      </c>
      <c r="AB217" s="5">
        <v>1</v>
      </c>
      <c r="AC217" s="5">
        <v>1</v>
      </c>
      <c r="AD217" s="5">
        <v>1</v>
      </c>
      <c r="AE217" s="5"/>
      <c r="AF217" s="5">
        <v>1</v>
      </c>
      <c r="AG217" s="5">
        <v>1</v>
      </c>
      <c r="AH217" s="5">
        <v>1</v>
      </c>
      <c r="AI217" s="5">
        <v>1</v>
      </c>
      <c r="AJ217" s="5"/>
      <c r="AK217" s="5">
        <v>1</v>
      </c>
      <c r="AL217" s="5">
        <v>1</v>
      </c>
      <c r="AM217" s="5">
        <v>1</v>
      </c>
    </row>
    <row r="218" spans="1:39" s="7" customFormat="1" x14ac:dyDescent="0.25">
      <c r="A218" s="5">
        <v>169</v>
      </c>
      <c r="B218" s="5">
        <v>1</v>
      </c>
      <c r="C218" s="5">
        <v>1</v>
      </c>
      <c r="D218" s="5">
        <v>1</v>
      </c>
      <c r="E218" s="5">
        <v>1</v>
      </c>
      <c r="F218" s="5">
        <v>1</v>
      </c>
      <c r="G218" s="5">
        <v>1</v>
      </c>
      <c r="H218" s="5">
        <v>1</v>
      </c>
      <c r="I218" s="5">
        <v>1</v>
      </c>
      <c r="J218" s="5">
        <v>1</v>
      </c>
      <c r="K218" s="5">
        <v>1</v>
      </c>
      <c r="L218" s="5">
        <v>1</v>
      </c>
      <c r="M218" s="5">
        <v>1</v>
      </c>
      <c r="N218" s="5"/>
      <c r="O218" s="5">
        <v>1</v>
      </c>
      <c r="P218" s="5"/>
      <c r="Q218" s="5">
        <v>1</v>
      </c>
      <c r="R218" s="5">
        <v>1</v>
      </c>
      <c r="S218" s="5">
        <v>1</v>
      </c>
      <c r="T218" s="5">
        <v>1</v>
      </c>
      <c r="U218" s="5">
        <v>1</v>
      </c>
      <c r="V218" s="5">
        <v>1</v>
      </c>
      <c r="W218" s="5">
        <v>1</v>
      </c>
      <c r="X218" s="5">
        <v>1</v>
      </c>
      <c r="Y218" s="5">
        <v>1</v>
      </c>
      <c r="Z218" s="5">
        <v>1</v>
      </c>
      <c r="AA218" s="5">
        <v>1</v>
      </c>
      <c r="AB218" s="5">
        <v>1</v>
      </c>
      <c r="AC218" s="5">
        <v>1</v>
      </c>
      <c r="AD218" s="5">
        <v>1</v>
      </c>
      <c r="AE218" s="5"/>
      <c r="AF218" s="5">
        <v>1</v>
      </c>
      <c r="AG218" s="5">
        <v>1</v>
      </c>
      <c r="AH218" s="5">
        <v>1</v>
      </c>
      <c r="AI218" s="5">
        <v>1</v>
      </c>
      <c r="AJ218" s="5"/>
      <c r="AK218" s="5">
        <v>1</v>
      </c>
      <c r="AL218" s="5">
        <v>1</v>
      </c>
      <c r="AM218" s="5">
        <v>1</v>
      </c>
    </row>
    <row r="219" spans="1:39" s="7" customFormat="1" x14ac:dyDescent="0.25">
      <c r="A219" s="5">
        <v>170</v>
      </c>
      <c r="B219" s="5">
        <v>1</v>
      </c>
      <c r="C219" s="5">
        <v>1</v>
      </c>
      <c r="D219" s="5">
        <v>1</v>
      </c>
      <c r="E219" s="5">
        <v>1</v>
      </c>
      <c r="F219" s="5">
        <v>1</v>
      </c>
      <c r="G219" s="5">
        <v>1</v>
      </c>
      <c r="H219" s="5">
        <v>1</v>
      </c>
      <c r="I219" s="5">
        <v>1</v>
      </c>
      <c r="J219" s="5">
        <v>1</v>
      </c>
      <c r="K219" s="5">
        <v>1</v>
      </c>
      <c r="L219" s="5">
        <v>1</v>
      </c>
      <c r="M219" s="5">
        <v>1</v>
      </c>
      <c r="N219" s="5">
        <v>1</v>
      </c>
      <c r="O219" s="5">
        <v>1</v>
      </c>
      <c r="P219" s="5">
        <v>1</v>
      </c>
      <c r="Q219" s="5">
        <v>1</v>
      </c>
      <c r="R219" s="5">
        <v>1</v>
      </c>
      <c r="S219" s="5">
        <v>1</v>
      </c>
      <c r="T219" s="5">
        <v>1</v>
      </c>
      <c r="U219" s="5">
        <v>1</v>
      </c>
      <c r="V219" s="5">
        <v>1</v>
      </c>
      <c r="W219" s="5">
        <v>1</v>
      </c>
      <c r="X219" s="5">
        <v>1</v>
      </c>
      <c r="Y219" s="5">
        <v>1</v>
      </c>
      <c r="Z219" s="5">
        <v>1</v>
      </c>
      <c r="AA219" s="5">
        <v>1</v>
      </c>
      <c r="AB219" s="5">
        <v>1</v>
      </c>
      <c r="AC219" s="5">
        <v>1</v>
      </c>
      <c r="AD219" s="5">
        <v>1</v>
      </c>
      <c r="AE219" s="5">
        <v>1</v>
      </c>
      <c r="AF219" s="5">
        <v>1</v>
      </c>
      <c r="AG219" s="5">
        <v>1</v>
      </c>
      <c r="AH219" s="5">
        <v>1</v>
      </c>
      <c r="AI219" s="5">
        <v>1</v>
      </c>
      <c r="AJ219" s="5">
        <v>1</v>
      </c>
      <c r="AK219" s="5">
        <v>1</v>
      </c>
      <c r="AL219" s="5">
        <v>1</v>
      </c>
      <c r="AM219" s="5">
        <v>1</v>
      </c>
    </row>
    <row r="220" spans="1:39" s="7" customFormat="1" x14ac:dyDescent="0.25">
      <c r="A220" s="5">
        <v>171</v>
      </c>
      <c r="B220" s="5">
        <v>1</v>
      </c>
      <c r="C220" s="5">
        <v>1</v>
      </c>
      <c r="D220" s="5">
        <v>1</v>
      </c>
      <c r="E220" s="5">
        <v>1</v>
      </c>
      <c r="F220" s="5">
        <v>1</v>
      </c>
      <c r="G220" s="5">
        <v>1</v>
      </c>
      <c r="H220" s="5">
        <v>1</v>
      </c>
      <c r="I220" s="5">
        <v>1</v>
      </c>
      <c r="J220" s="5">
        <v>1</v>
      </c>
      <c r="K220" s="5">
        <v>1</v>
      </c>
      <c r="L220" s="5">
        <v>1</v>
      </c>
      <c r="M220" s="5">
        <v>1</v>
      </c>
      <c r="N220" s="5">
        <v>1</v>
      </c>
      <c r="O220" s="5">
        <v>1</v>
      </c>
      <c r="P220" s="5">
        <v>1</v>
      </c>
      <c r="Q220" s="5">
        <v>1</v>
      </c>
      <c r="R220" s="5">
        <v>1</v>
      </c>
      <c r="S220" s="5">
        <v>1</v>
      </c>
      <c r="T220" s="5">
        <v>1</v>
      </c>
      <c r="U220" s="5">
        <v>1</v>
      </c>
      <c r="V220" s="5">
        <v>1</v>
      </c>
      <c r="W220" s="5">
        <v>1</v>
      </c>
      <c r="X220" s="5">
        <v>1</v>
      </c>
      <c r="Y220" s="5">
        <v>1</v>
      </c>
      <c r="Z220" s="5">
        <v>1</v>
      </c>
      <c r="AA220" s="5">
        <v>1</v>
      </c>
      <c r="AB220" s="5">
        <v>1</v>
      </c>
      <c r="AC220" s="5">
        <v>1</v>
      </c>
      <c r="AD220" s="5">
        <v>1</v>
      </c>
      <c r="AE220" s="5">
        <v>1</v>
      </c>
      <c r="AF220" s="5">
        <v>1</v>
      </c>
      <c r="AG220" s="5">
        <v>1</v>
      </c>
      <c r="AH220" s="5">
        <v>1</v>
      </c>
      <c r="AI220" s="5">
        <v>1</v>
      </c>
      <c r="AJ220" s="5">
        <v>1</v>
      </c>
      <c r="AK220" s="5">
        <v>1</v>
      </c>
      <c r="AL220" s="5">
        <v>1</v>
      </c>
      <c r="AM220" s="5">
        <v>1</v>
      </c>
    </row>
    <row r="221" spans="1:39" s="7" customFormat="1" x14ac:dyDescent="0.25">
      <c r="A221" s="5">
        <v>172</v>
      </c>
      <c r="B221" s="5">
        <v>1</v>
      </c>
      <c r="C221" s="5">
        <v>1</v>
      </c>
      <c r="D221" s="5">
        <v>1</v>
      </c>
      <c r="E221" s="5">
        <v>1</v>
      </c>
      <c r="F221" s="5">
        <v>1</v>
      </c>
      <c r="G221" s="5">
        <v>1</v>
      </c>
      <c r="H221" s="5">
        <v>1</v>
      </c>
      <c r="I221" s="5">
        <v>1</v>
      </c>
      <c r="J221" s="5">
        <v>1</v>
      </c>
      <c r="K221" s="5">
        <v>1</v>
      </c>
      <c r="L221" s="5">
        <v>1</v>
      </c>
      <c r="M221" s="5">
        <v>1</v>
      </c>
      <c r="N221" s="5">
        <v>1</v>
      </c>
      <c r="O221" s="5">
        <v>1</v>
      </c>
      <c r="P221" s="5">
        <v>1</v>
      </c>
      <c r="Q221" s="5">
        <v>1</v>
      </c>
      <c r="R221" s="5">
        <v>1</v>
      </c>
      <c r="S221" s="5">
        <v>1</v>
      </c>
      <c r="T221" s="5">
        <v>1</v>
      </c>
      <c r="U221" s="5">
        <v>1</v>
      </c>
      <c r="V221" s="5">
        <v>1</v>
      </c>
      <c r="W221" s="5">
        <v>1</v>
      </c>
      <c r="X221" s="5">
        <v>1</v>
      </c>
      <c r="Y221" s="5">
        <v>1</v>
      </c>
      <c r="Z221" s="5">
        <v>1</v>
      </c>
      <c r="AA221" s="5">
        <v>1</v>
      </c>
      <c r="AB221" s="5">
        <v>1</v>
      </c>
      <c r="AC221" s="5">
        <v>1</v>
      </c>
      <c r="AD221" s="5">
        <v>1</v>
      </c>
      <c r="AE221" s="5">
        <v>1</v>
      </c>
      <c r="AF221" s="5">
        <v>1</v>
      </c>
      <c r="AG221" s="5">
        <v>1</v>
      </c>
      <c r="AH221" s="5">
        <v>1</v>
      </c>
      <c r="AI221" s="5">
        <v>1</v>
      </c>
      <c r="AJ221" s="5">
        <v>1</v>
      </c>
      <c r="AK221" s="5">
        <v>1</v>
      </c>
      <c r="AL221" s="5">
        <v>1</v>
      </c>
      <c r="AM221" s="5">
        <v>1</v>
      </c>
    </row>
    <row r="222" spans="1:39" s="7" customFormat="1" x14ac:dyDescent="0.25">
      <c r="A222" s="5">
        <v>173</v>
      </c>
      <c r="B222" s="5">
        <v>1</v>
      </c>
      <c r="C222" s="5">
        <v>1</v>
      </c>
      <c r="D222" s="5">
        <v>1</v>
      </c>
      <c r="E222" s="5">
        <v>1</v>
      </c>
      <c r="F222" s="5">
        <v>1</v>
      </c>
      <c r="G222" s="5">
        <v>1</v>
      </c>
      <c r="H222" s="5">
        <v>1</v>
      </c>
      <c r="I222" s="5">
        <v>1</v>
      </c>
      <c r="J222" s="5">
        <v>1</v>
      </c>
      <c r="K222" s="5">
        <v>1</v>
      </c>
      <c r="L222" s="5">
        <v>1</v>
      </c>
      <c r="M222" s="5">
        <v>1</v>
      </c>
      <c r="N222" s="5">
        <v>1</v>
      </c>
      <c r="O222" s="5">
        <v>1</v>
      </c>
      <c r="P222" s="5">
        <v>1</v>
      </c>
      <c r="Q222" s="5">
        <v>1</v>
      </c>
      <c r="R222" s="5">
        <v>1</v>
      </c>
      <c r="S222" s="5">
        <v>1</v>
      </c>
      <c r="T222" s="5">
        <v>1</v>
      </c>
      <c r="U222" s="5">
        <v>1</v>
      </c>
      <c r="V222" s="5">
        <v>1</v>
      </c>
      <c r="W222" s="5">
        <v>1</v>
      </c>
      <c r="X222" s="5">
        <v>1</v>
      </c>
      <c r="Y222" s="5">
        <v>1</v>
      </c>
      <c r="Z222" s="5">
        <v>1</v>
      </c>
      <c r="AA222" s="5">
        <v>1</v>
      </c>
      <c r="AB222" s="5">
        <v>1</v>
      </c>
      <c r="AC222" s="5">
        <v>1</v>
      </c>
      <c r="AD222" s="5">
        <v>1</v>
      </c>
      <c r="AE222" s="5">
        <v>1</v>
      </c>
      <c r="AF222" s="5">
        <v>1</v>
      </c>
      <c r="AG222" s="5">
        <v>1</v>
      </c>
      <c r="AH222" s="5">
        <v>1</v>
      </c>
      <c r="AI222" s="5">
        <v>1</v>
      </c>
      <c r="AJ222" s="5">
        <v>1</v>
      </c>
      <c r="AK222" s="5">
        <v>1</v>
      </c>
      <c r="AL222" s="5">
        <v>1</v>
      </c>
      <c r="AM222" s="5">
        <v>1</v>
      </c>
    </row>
    <row r="223" spans="1:39" s="7" customFormat="1" x14ac:dyDescent="0.25">
      <c r="A223" s="5">
        <v>174</v>
      </c>
      <c r="B223" s="5">
        <v>1</v>
      </c>
      <c r="C223" s="5">
        <v>1</v>
      </c>
      <c r="D223" s="5">
        <v>1</v>
      </c>
      <c r="E223" s="5">
        <v>1</v>
      </c>
      <c r="F223" s="5">
        <v>1</v>
      </c>
      <c r="G223" s="5">
        <v>1</v>
      </c>
      <c r="H223" s="5">
        <v>1</v>
      </c>
      <c r="I223" s="5">
        <v>1</v>
      </c>
      <c r="J223" s="5">
        <v>1</v>
      </c>
      <c r="K223" s="5">
        <v>1</v>
      </c>
      <c r="L223" s="5">
        <v>1</v>
      </c>
      <c r="M223" s="5">
        <v>1</v>
      </c>
      <c r="N223" s="5">
        <v>1</v>
      </c>
      <c r="O223" s="5">
        <v>1</v>
      </c>
      <c r="P223" s="5">
        <v>1</v>
      </c>
      <c r="Q223" s="5">
        <v>1</v>
      </c>
      <c r="R223" s="5">
        <v>1</v>
      </c>
      <c r="S223" s="5">
        <v>1</v>
      </c>
      <c r="T223" s="5">
        <v>1</v>
      </c>
      <c r="U223" s="5">
        <v>1</v>
      </c>
      <c r="V223" s="5">
        <v>1</v>
      </c>
      <c r="W223" s="5">
        <v>1</v>
      </c>
      <c r="X223" s="5">
        <v>1</v>
      </c>
      <c r="Y223" s="5">
        <v>1</v>
      </c>
      <c r="Z223" s="5">
        <v>1</v>
      </c>
      <c r="AA223" s="5">
        <v>1</v>
      </c>
      <c r="AB223" s="5">
        <v>1</v>
      </c>
      <c r="AC223" s="5">
        <v>1</v>
      </c>
      <c r="AD223" s="5">
        <v>1</v>
      </c>
      <c r="AE223" s="5">
        <v>1</v>
      </c>
      <c r="AF223" s="5">
        <v>1</v>
      </c>
      <c r="AG223" s="5">
        <v>1</v>
      </c>
      <c r="AH223" s="5">
        <v>1</v>
      </c>
      <c r="AI223" s="5">
        <v>1</v>
      </c>
      <c r="AJ223" s="5">
        <v>1</v>
      </c>
      <c r="AK223" s="5">
        <v>1</v>
      </c>
      <c r="AL223" s="5">
        <v>1</v>
      </c>
      <c r="AM223" s="5">
        <v>1</v>
      </c>
    </row>
    <row r="224" spans="1:39" s="7" customFormat="1" x14ac:dyDescent="0.25">
      <c r="A224" s="5">
        <v>175</v>
      </c>
      <c r="B224" s="5">
        <v>1</v>
      </c>
      <c r="C224" s="5">
        <v>1</v>
      </c>
      <c r="D224" s="5">
        <v>1</v>
      </c>
      <c r="E224" s="5">
        <v>1</v>
      </c>
      <c r="F224" s="5">
        <v>1</v>
      </c>
      <c r="G224" s="5">
        <v>1</v>
      </c>
      <c r="H224" s="5">
        <v>1</v>
      </c>
      <c r="I224" s="5">
        <v>1</v>
      </c>
      <c r="J224" s="5">
        <v>1</v>
      </c>
      <c r="K224" s="5">
        <v>1</v>
      </c>
      <c r="L224" s="5">
        <v>1</v>
      </c>
      <c r="M224" s="5">
        <v>1</v>
      </c>
      <c r="N224" s="5">
        <v>1</v>
      </c>
      <c r="O224" s="5">
        <v>1</v>
      </c>
      <c r="P224" s="5">
        <v>1</v>
      </c>
      <c r="Q224" s="5">
        <v>1</v>
      </c>
      <c r="R224" s="5">
        <v>1</v>
      </c>
      <c r="S224" s="5">
        <v>1</v>
      </c>
      <c r="T224" s="5">
        <v>1</v>
      </c>
      <c r="U224" s="5">
        <v>1</v>
      </c>
      <c r="V224" s="5">
        <v>1</v>
      </c>
      <c r="W224" s="5">
        <v>1</v>
      </c>
      <c r="X224" s="5">
        <v>1</v>
      </c>
      <c r="Y224" s="5">
        <v>1</v>
      </c>
      <c r="Z224" s="5">
        <v>1</v>
      </c>
      <c r="AA224" s="5">
        <v>1</v>
      </c>
      <c r="AB224" s="5">
        <v>1</v>
      </c>
      <c r="AC224" s="5">
        <v>1</v>
      </c>
      <c r="AD224" s="5">
        <v>1</v>
      </c>
      <c r="AE224" s="5">
        <v>1</v>
      </c>
      <c r="AF224" s="5">
        <v>1</v>
      </c>
      <c r="AG224" s="5">
        <v>1</v>
      </c>
      <c r="AH224" s="5">
        <v>1</v>
      </c>
      <c r="AI224" s="5">
        <v>1</v>
      </c>
      <c r="AJ224" s="5">
        <v>1</v>
      </c>
      <c r="AK224" s="5">
        <v>1</v>
      </c>
      <c r="AL224" s="5">
        <v>1</v>
      </c>
      <c r="AM224" s="5">
        <v>1</v>
      </c>
    </row>
    <row r="225" spans="1:39" s="7" customFormat="1" x14ac:dyDescent="0.25">
      <c r="A225" s="5">
        <v>176</v>
      </c>
      <c r="B225" s="5">
        <v>1</v>
      </c>
      <c r="C225" s="5">
        <v>1</v>
      </c>
      <c r="D225" s="5">
        <v>1</v>
      </c>
      <c r="E225" s="5">
        <v>1</v>
      </c>
      <c r="F225" s="5">
        <v>1</v>
      </c>
      <c r="G225" s="5">
        <v>1</v>
      </c>
      <c r="H225" s="5">
        <v>1</v>
      </c>
      <c r="I225" s="5">
        <v>1</v>
      </c>
      <c r="J225" s="5">
        <v>1</v>
      </c>
      <c r="K225" s="5">
        <v>1</v>
      </c>
      <c r="L225" s="5">
        <v>1</v>
      </c>
      <c r="M225" s="5">
        <v>1</v>
      </c>
      <c r="N225" s="5">
        <v>1</v>
      </c>
      <c r="O225" s="5">
        <v>1</v>
      </c>
      <c r="P225" s="5">
        <v>1</v>
      </c>
      <c r="Q225" s="5">
        <v>1</v>
      </c>
      <c r="R225" s="5">
        <v>1</v>
      </c>
      <c r="S225" s="5">
        <v>1</v>
      </c>
      <c r="T225" s="5">
        <v>1</v>
      </c>
      <c r="U225" s="5">
        <v>1</v>
      </c>
      <c r="V225" s="5">
        <v>1</v>
      </c>
      <c r="W225" s="5">
        <v>1</v>
      </c>
      <c r="X225" s="5">
        <v>1</v>
      </c>
      <c r="Y225" s="5">
        <v>1</v>
      </c>
      <c r="Z225" s="5">
        <v>1</v>
      </c>
      <c r="AA225" s="5">
        <v>1</v>
      </c>
      <c r="AB225" s="5">
        <v>1</v>
      </c>
      <c r="AC225" s="5">
        <v>1</v>
      </c>
      <c r="AD225" s="5">
        <v>1</v>
      </c>
      <c r="AE225" s="5">
        <v>1</v>
      </c>
      <c r="AF225" s="5">
        <v>1</v>
      </c>
      <c r="AG225" s="5">
        <v>1</v>
      </c>
      <c r="AH225" s="5">
        <v>1</v>
      </c>
      <c r="AI225" s="5">
        <v>1</v>
      </c>
      <c r="AJ225" s="5">
        <v>1</v>
      </c>
      <c r="AK225" s="5">
        <v>1</v>
      </c>
      <c r="AL225" s="5">
        <v>1</v>
      </c>
      <c r="AM225" s="5">
        <v>1</v>
      </c>
    </row>
    <row r="226" spans="1:39" s="7" customFormat="1" x14ac:dyDescent="0.25">
      <c r="A226" s="5">
        <v>177</v>
      </c>
      <c r="B226" s="5">
        <v>1</v>
      </c>
      <c r="C226" s="5">
        <v>1</v>
      </c>
      <c r="D226" s="5">
        <v>1</v>
      </c>
      <c r="E226" s="5">
        <v>1</v>
      </c>
      <c r="F226" s="5">
        <v>1</v>
      </c>
      <c r="G226" s="5">
        <v>1</v>
      </c>
      <c r="H226" s="5">
        <v>1</v>
      </c>
      <c r="I226" s="5">
        <v>1</v>
      </c>
      <c r="J226" s="5">
        <v>1</v>
      </c>
      <c r="K226" s="5">
        <v>1</v>
      </c>
      <c r="L226" s="5">
        <v>1</v>
      </c>
      <c r="M226" s="5">
        <v>1</v>
      </c>
      <c r="N226" s="5">
        <v>1</v>
      </c>
      <c r="O226" s="5">
        <v>1</v>
      </c>
      <c r="P226" s="5">
        <v>1</v>
      </c>
      <c r="Q226" s="5">
        <v>1</v>
      </c>
      <c r="R226" s="5">
        <v>1</v>
      </c>
      <c r="S226" s="5">
        <v>1</v>
      </c>
      <c r="T226" s="5">
        <v>1</v>
      </c>
      <c r="U226" s="5">
        <v>1</v>
      </c>
      <c r="V226" s="5">
        <v>1</v>
      </c>
      <c r="W226" s="5">
        <v>1</v>
      </c>
      <c r="X226" s="5">
        <v>1</v>
      </c>
      <c r="Y226" s="5">
        <v>1</v>
      </c>
      <c r="Z226" s="5">
        <v>1</v>
      </c>
      <c r="AA226" s="5">
        <v>1</v>
      </c>
      <c r="AB226" s="5">
        <v>1</v>
      </c>
      <c r="AC226" s="5">
        <v>1</v>
      </c>
      <c r="AD226" s="5">
        <v>1</v>
      </c>
      <c r="AE226" s="5">
        <v>1</v>
      </c>
      <c r="AF226" s="5">
        <v>1</v>
      </c>
      <c r="AG226" s="5">
        <v>1</v>
      </c>
      <c r="AH226" s="5">
        <v>1</v>
      </c>
      <c r="AI226" s="5">
        <v>1</v>
      </c>
      <c r="AJ226" s="5">
        <v>1</v>
      </c>
      <c r="AK226" s="5">
        <v>1</v>
      </c>
      <c r="AL226" s="5">
        <v>1</v>
      </c>
      <c r="AM226" s="5">
        <v>1</v>
      </c>
    </row>
    <row r="227" spans="1:39" s="7" customFormat="1" x14ac:dyDescent="0.25">
      <c r="A227" s="5">
        <v>178</v>
      </c>
      <c r="B227" s="5">
        <v>1</v>
      </c>
      <c r="C227" s="5">
        <v>1</v>
      </c>
      <c r="D227" s="5">
        <v>1</v>
      </c>
      <c r="E227" s="5">
        <v>1</v>
      </c>
      <c r="F227" s="5">
        <v>1</v>
      </c>
      <c r="G227" s="5">
        <v>1</v>
      </c>
      <c r="H227" s="5">
        <v>1</v>
      </c>
      <c r="I227" s="5">
        <v>1</v>
      </c>
      <c r="J227" s="5">
        <v>1</v>
      </c>
      <c r="K227" s="5">
        <v>1</v>
      </c>
      <c r="L227" s="5">
        <v>1</v>
      </c>
      <c r="M227" s="5">
        <v>1</v>
      </c>
      <c r="N227" s="5">
        <v>1</v>
      </c>
      <c r="O227" s="5">
        <v>1</v>
      </c>
      <c r="P227" s="5">
        <v>1</v>
      </c>
      <c r="Q227" s="5">
        <v>1</v>
      </c>
      <c r="R227" s="5">
        <v>1</v>
      </c>
      <c r="S227" s="5">
        <v>1</v>
      </c>
      <c r="T227" s="5">
        <v>1</v>
      </c>
      <c r="U227" s="5">
        <v>1</v>
      </c>
      <c r="V227" s="5">
        <v>1</v>
      </c>
      <c r="W227" s="5">
        <v>1</v>
      </c>
      <c r="X227" s="5">
        <v>1</v>
      </c>
      <c r="Y227" s="5">
        <v>1</v>
      </c>
      <c r="Z227" s="5">
        <v>1</v>
      </c>
      <c r="AA227" s="5">
        <v>1</v>
      </c>
      <c r="AB227" s="5">
        <v>1</v>
      </c>
      <c r="AC227" s="5">
        <v>1</v>
      </c>
      <c r="AD227" s="5">
        <v>1</v>
      </c>
      <c r="AE227" s="5">
        <v>1</v>
      </c>
      <c r="AF227" s="5">
        <v>1</v>
      </c>
      <c r="AG227" s="5">
        <v>1</v>
      </c>
      <c r="AH227" s="5">
        <v>1</v>
      </c>
      <c r="AI227" s="5">
        <v>1</v>
      </c>
      <c r="AJ227" s="5">
        <v>1</v>
      </c>
      <c r="AK227" s="5">
        <v>1</v>
      </c>
      <c r="AL227" s="5">
        <v>1</v>
      </c>
      <c r="AM227" s="5">
        <v>1</v>
      </c>
    </row>
    <row r="228" spans="1:39" s="7" customFormat="1" x14ac:dyDescent="0.25">
      <c r="A228" s="5">
        <v>179</v>
      </c>
      <c r="B228" s="5">
        <v>1</v>
      </c>
      <c r="C228" s="5">
        <v>1</v>
      </c>
      <c r="D228" s="5">
        <v>1</v>
      </c>
      <c r="E228" s="5">
        <v>1</v>
      </c>
      <c r="F228" s="5">
        <v>1</v>
      </c>
      <c r="G228" s="5">
        <v>1</v>
      </c>
      <c r="H228" s="5">
        <v>1</v>
      </c>
      <c r="I228" s="5">
        <v>1</v>
      </c>
      <c r="J228" s="5">
        <v>1</v>
      </c>
      <c r="K228" s="5">
        <v>1</v>
      </c>
      <c r="L228" s="5">
        <v>1</v>
      </c>
      <c r="M228" s="5">
        <v>1</v>
      </c>
      <c r="N228" s="5">
        <v>1</v>
      </c>
      <c r="O228" s="5">
        <v>1</v>
      </c>
      <c r="P228" s="5">
        <v>1</v>
      </c>
      <c r="Q228" s="5">
        <v>1</v>
      </c>
      <c r="R228" s="5">
        <v>1</v>
      </c>
      <c r="S228" s="5">
        <v>1</v>
      </c>
      <c r="T228" s="5">
        <v>1</v>
      </c>
      <c r="U228" s="5">
        <v>1</v>
      </c>
      <c r="V228" s="5">
        <v>1</v>
      </c>
      <c r="W228" s="5">
        <v>1</v>
      </c>
      <c r="X228" s="5">
        <v>1</v>
      </c>
      <c r="Y228" s="5">
        <v>1</v>
      </c>
      <c r="Z228" s="5">
        <v>1</v>
      </c>
      <c r="AA228" s="5">
        <v>1</v>
      </c>
      <c r="AB228" s="5">
        <v>1</v>
      </c>
      <c r="AC228" s="5">
        <v>1</v>
      </c>
      <c r="AD228" s="5">
        <v>1</v>
      </c>
      <c r="AE228" s="5">
        <v>1</v>
      </c>
      <c r="AF228" s="5">
        <v>1</v>
      </c>
      <c r="AG228" s="5">
        <v>1</v>
      </c>
      <c r="AH228" s="5">
        <v>1</v>
      </c>
      <c r="AI228" s="5">
        <v>1</v>
      </c>
      <c r="AJ228" s="5">
        <v>1</v>
      </c>
      <c r="AK228" s="5">
        <v>1</v>
      </c>
      <c r="AL228" s="5">
        <v>1</v>
      </c>
      <c r="AM228" s="5">
        <v>1</v>
      </c>
    </row>
    <row r="229" spans="1:39" s="7" customFormat="1" x14ac:dyDescent="0.25">
      <c r="A229" s="5">
        <v>180</v>
      </c>
      <c r="B229" s="5">
        <v>1</v>
      </c>
      <c r="C229" s="5">
        <v>1</v>
      </c>
      <c r="D229" s="5">
        <v>1</v>
      </c>
      <c r="E229" s="5">
        <v>1</v>
      </c>
      <c r="F229" s="5">
        <v>1</v>
      </c>
      <c r="G229" s="5">
        <v>1</v>
      </c>
      <c r="H229" s="5">
        <v>1</v>
      </c>
      <c r="I229" s="5">
        <v>1</v>
      </c>
      <c r="J229" s="5">
        <v>1</v>
      </c>
      <c r="K229" s="5">
        <v>1</v>
      </c>
      <c r="L229" s="5">
        <v>1</v>
      </c>
      <c r="M229" s="5">
        <v>1</v>
      </c>
      <c r="N229" s="5">
        <v>1</v>
      </c>
      <c r="O229" s="5">
        <v>1</v>
      </c>
      <c r="P229" s="5">
        <v>1</v>
      </c>
      <c r="Q229" s="5">
        <v>1</v>
      </c>
      <c r="R229" s="5">
        <v>1</v>
      </c>
      <c r="S229" s="5">
        <v>1</v>
      </c>
      <c r="T229" s="5">
        <v>1</v>
      </c>
      <c r="U229" s="5">
        <v>1</v>
      </c>
      <c r="V229" s="5">
        <v>1</v>
      </c>
      <c r="W229" s="5">
        <v>1</v>
      </c>
      <c r="X229" s="5">
        <v>1</v>
      </c>
      <c r="Y229" s="5">
        <v>1</v>
      </c>
      <c r="Z229" s="5">
        <v>1</v>
      </c>
      <c r="AA229" s="5">
        <v>1</v>
      </c>
      <c r="AB229" s="5">
        <v>1</v>
      </c>
      <c r="AC229" s="5">
        <v>1</v>
      </c>
      <c r="AD229" s="5">
        <v>1</v>
      </c>
      <c r="AE229" s="5">
        <v>1</v>
      </c>
      <c r="AF229" s="5">
        <v>1</v>
      </c>
      <c r="AG229" s="5">
        <v>1</v>
      </c>
      <c r="AH229" s="5">
        <v>1</v>
      </c>
      <c r="AI229" s="5">
        <v>1</v>
      </c>
      <c r="AJ229" s="5">
        <v>1</v>
      </c>
      <c r="AK229" s="5">
        <v>1</v>
      </c>
      <c r="AL229" s="5">
        <v>1</v>
      </c>
      <c r="AM229" s="5">
        <v>1</v>
      </c>
    </row>
    <row r="230" spans="1:39" s="7" customFormat="1" x14ac:dyDescent="0.25">
      <c r="A230" s="5">
        <v>181</v>
      </c>
      <c r="B230" s="5">
        <v>1</v>
      </c>
      <c r="C230" s="5">
        <v>1</v>
      </c>
      <c r="D230" s="5">
        <v>1</v>
      </c>
      <c r="E230" s="5">
        <v>1</v>
      </c>
      <c r="F230" s="5">
        <v>1</v>
      </c>
      <c r="G230" s="5">
        <v>1</v>
      </c>
      <c r="H230" s="5">
        <v>1</v>
      </c>
      <c r="I230" s="5">
        <v>1</v>
      </c>
      <c r="J230" s="5">
        <v>1</v>
      </c>
      <c r="K230" s="5">
        <v>1</v>
      </c>
      <c r="L230" s="5">
        <v>1</v>
      </c>
      <c r="M230" s="5">
        <v>1</v>
      </c>
      <c r="N230" s="5">
        <v>1</v>
      </c>
      <c r="O230" s="5">
        <v>1</v>
      </c>
      <c r="P230" s="5">
        <v>1</v>
      </c>
      <c r="Q230" s="5">
        <v>1</v>
      </c>
      <c r="R230" s="5">
        <v>1</v>
      </c>
      <c r="S230" s="5">
        <v>1</v>
      </c>
      <c r="T230" s="5">
        <v>1</v>
      </c>
      <c r="U230" s="5">
        <v>1</v>
      </c>
      <c r="V230" s="5">
        <v>1</v>
      </c>
      <c r="W230" s="5">
        <v>1</v>
      </c>
      <c r="X230" s="5">
        <v>1</v>
      </c>
      <c r="Y230" s="5">
        <v>1</v>
      </c>
      <c r="Z230" s="5">
        <v>1</v>
      </c>
      <c r="AA230" s="5">
        <v>1</v>
      </c>
      <c r="AB230" s="5">
        <v>1</v>
      </c>
      <c r="AC230" s="5">
        <v>1</v>
      </c>
      <c r="AD230" s="5">
        <v>1</v>
      </c>
      <c r="AE230" s="5">
        <v>1</v>
      </c>
      <c r="AF230" s="5">
        <v>1</v>
      </c>
      <c r="AG230" s="5">
        <v>1</v>
      </c>
      <c r="AH230" s="5">
        <v>1</v>
      </c>
      <c r="AI230" s="5">
        <v>1</v>
      </c>
      <c r="AJ230" s="5">
        <v>1</v>
      </c>
      <c r="AK230" s="5">
        <v>1</v>
      </c>
      <c r="AL230" s="5">
        <v>1</v>
      </c>
      <c r="AM230" s="5">
        <v>1</v>
      </c>
    </row>
    <row r="231" spans="1:39" s="7" customFormat="1" x14ac:dyDescent="0.25">
      <c r="A231" s="5">
        <v>182</v>
      </c>
      <c r="B231" s="5">
        <v>1</v>
      </c>
      <c r="C231" s="5">
        <v>1</v>
      </c>
      <c r="D231" s="5">
        <v>1</v>
      </c>
      <c r="E231" s="5">
        <v>1</v>
      </c>
      <c r="F231" s="5">
        <v>1</v>
      </c>
      <c r="G231" s="5">
        <v>1</v>
      </c>
      <c r="H231" s="5">
        <v>1</v>
      </c>
      <c r="I231" s="5">
        <v>1</v>
      </c>
      <c r="J231" s="5">
        <v>1</v>
      </c>
      <c r="K231" s="5">
        <v>1</v>
      </c>
      <c r="L231" s="5">
        <v>1</v>
      </c>
      <c r="M231" s="5">
        <v>1</v>
      </c>
      <c r="N231" s="5">
        <v>1</v>
      </c>
      <c r="O231" s="5">
        <v>1</v>
      </c>
      <c r="P231" s="5">
        <v>1</v>
      </c>
      <c r="Q231" s="5">
        <v>1</v>
      </c>
      <c r="R231" s="5">
        <v>1</v>
      </c>
      <c r="S231" s="5">
        <v>1</v>
      </c>
      <c r="T231" s="5">
        <v>1</v>
      </c>
      <c r="U231" s="5">
        <v>1</v>
      </c>
      <c r="V231" s="5">
        <v>1</v>
      </c>
      <c r="W231" s="5">
        <v>1</v>
      </c>
      <c r="X231" s="5">
        <v>1</v>
      </c>
      <c r="Y231" s="5">
        <v>1</v>
      </c>
      <c r="Z231" s="5">
        <v>1</v>
      </c>
      <c r="AA231" s="5">
        <v>1</v>
      </c>
      <c r="AB231" s="5">
        <v>1</v>
      </c>
      <c r="AC231" s="5">
        <v>1</v>
      </c>
      <c r="AD231" s="5">
        <v>1</v>
      </c>
      <c r="AE231" s="5">
        <v>1</v>
      </c>
      <c r="AF231" s="5">
        <v>1</v>
      </c>
      <c r="AG231" s="5">
        <v>1</v>
      </c>
      <c r="AH231" s="5">
        <v>1</v>
      </c>
      <c r="AI231" s="5">
        <v>1</v>
      </c>
      <c r="AJ231" s="5">
        <v>1</v>
      </c>
      <c r="AK231" s="5">
        <v>1</v>
      </c>
      <c r="AL231" s="5">
        <v>1</v>
      </c>
      <c r="AM231" s="5">
        <v>1</v>
      </c>
    </row>
    <row r="232" spans="1:39" s="7" customFormat="1" x14ac:dyDescent="0.25">
      <c r="A232" s="5">
        <v>183</v>
      </c>
      <c r="B232" s="5">
        <v>1</v>
      </c>
      <c r="C232" s="5">
        <v>1</v>
      </c>
      <c r="D232" s="5">
        <v>1</v>
      </c>
      <c r="E232" s="5">
        <v>1</v>
      </c>
      <c r="F232" s="5">
        <v>1</v>
      </c>
      <c r="G232" s="5">
        <v>1</v>
      </c>
      <c r="H232" s="5">
        <v>1</v>
      </c>
      <c r="I232" s="5">
        <v>1</v>
      </c>
      <c r="J232" s="5">
        <v>1</v>
      </c>
      <c r="K232" s="5">
        <v>1</v>
      </c>
      <c r="L232" s="5">
        <v>1</v>
      </c>
      <c r="M232" s="5">
        <v>1</v>
      </c>
      <c r="N232" s="5">
        <v>1</v>
      </c>
      <c r="O232" s="5">
        <v>1</v>
      </c>
      <c r="P232" s="5">
        <v>1</v>
      </c>
      <c r="Q232" s="5">
        <v>1</v>
      </c>
      <c r="R232" s="5">
        <v>1</v>
      </c>
      <c r="S232" s="5">
        <v>1</v>
      </c>
      <c r="T232" s="5">
        <v>1</v>
      </c>
      <c r="U232" s="5">
        <v>1</v>
      </c>
      <c r="V232" s="5">
        <v>1</v>
      </c>
      <c r="W232" s="5">
        <v>1</v>
      </c>
      <c r="X232" s="5">
        <v>1</v>
      </c>
      <c r="Y232" s="5">
        <v>1</v>
      </c>
      <c r="Z232" s="5">
        <v>1</v>
      </c>
      <c r="AA232" s="5">
        <v>1</v>
      </c>
      <c r="AB232" s="5">
        <v>1</v>
      </c>
      <c r="AC232" s="5">
        <v>1</v>
      </c>
      <c r="AD232" s="5">
        <v>1</v>
      </c>
      <c r="AE232" s="5">
        <v>1</v>
      </c>
      <c r="AF232" s="5">
        <v>1</v>
      </c>
      <c r="AG232" s="5">
        <v>1</v>
      </c>
      <c r="AH232" s="5">
        <v>1</v>
      </c>
      <c r="AI232" s="5">
        <v>1</v>
      </c>
      <c r="AJ232" s="5">
        <v>1</v>
      </c>
      <c r="AK232" s="5">
        <v>1</v>
      </c>
      <c r="AL232" s="5">
        <v>1</v>
      </c>
      <c r="AM232" s="5">
        <v>1</v>
      </c>
    </row>
    <row r="233" spans="1:39" s="7" customFormat="1" x14ac:dyDescent="0.25">
      <c r="A233" s="5">
        <v>184</v>
      </c>
      <c r="B233" s="5">
        <v>1</v>
      </c>
      <c r="C233" s="5">
        <v>1</v>
      </c>
      <c r="D233" s="5">
        <v>1</v>
      </c>
      <c r="E233" s="5">
        <v>1</v>
      </c>
      <c r="F233" s="5">
        <v>1</v>
      </c>
      <c r="G233" s="5">
        <v>1</v>
      </c>
      <c r="H233" s="5">
        <v>1</v>
      </c>
      <c r="I233" s="5">
        <v>1</v>
      </c>
      <c r="J233" s="5">
        <v>1</v>
      </c>
      <c r="K233" s="5">
        <v>1</v>
      </c>
      <c r="L233" s="5">
        <v>1</v>
      </c>
      <c r="M233" s="5">
        <v>1</v>
      </c>
      <c r="N233" s="5">
        <v>1</v>
      </c>
      <c r="O233" s="5">
        <v>1</v>
      </c>
      <c r="P233" s="5">
        <v>1</v>
      </c>
      <c r="Q233" s="5">
        <v>1</v>
      </c>
      <c r="R233" s="5">
        <v>1</v>
      </c>
      <c r="S233" s="5">
        <v>1</v>
      </c>
      <c r="T233" s="5">
        <v>1</v>
      </c>
      <c r="U233" s="5">
        <v>1</v>
      </c>
      <c r="V233" s="5">
        <v>1</v>
      </c>
      <c r="W233" s="5">
        <v>1</v>
      </c>
      <c r="X233" s="5">
        <v>1</v>
      </c>
      <c r="Y233" s="5">
        <v>1</v>
      </c>
      <c r="Z233" s="5">
        <v>1</v>
      </c>
      <c r="AA233" s="5">
        <v>1</v>
      </c>
      <c r="AB233" s="5">
        <v>1</v>
      </c>
      <c r="AC233" s="5">
        <v>1</v>
      </c>
      <c r="AD233" s="5">
        <v>1</v>
      </c>
      <c r="AE233" s="5">
        <v>1</v>
      </c>
      <c r="AF233" s="5">
        <v>1</v>
      </c>
      <c r="AG233" s="5">
        <v>1</v>
      </c>
      <c r="AH233" s="5">
        <v>1</v>
      </c>
      <c r="AI233" s="5">
        <v>1</v>
      </c>
      <c r="AJ233" s="5">
        <v>1</v>
      </c>
      <c r="AK233" s="5">
        <v>1</v>
      </c>
      <c r="AL233" s="5">
        <v>1</v>
      </c>
      <c r="AM233" s="5">
        <v>1</v>
      </c>
    </row>
    <row r="234" spans="1:39" s="7" customFormat="1" x14ac:dyDescent="0.25">
      <c r="A234" s="5">
        <v>191</v>
      </c>
      <c r="B234" s="5">
        <v>1</v>
      </c>
      <c r="C234" s="5">
        <v>1</v>
      </c>
      <c r="D234" s="5">
        <v>1</v>
      </c>
      <c r="E234" s="5">
        <v>1</v>
      </c>
      <c r="F234" s="5">
        <v>1</v>
      </c>
      <c r="G234" s="5">
        <v>1</v>
      </c>
      <c r="H234" s="5">
        <v>1</v>
      </c>
      <c r="I234" s="5">
        <v>1</v>
      </c>
      <c r="J234" s="5">
        <v>1</v>
      </c>
      <c r="K234" s="5">
        <v>1</v>
      </c>
      <c r="L234" s="5">
        <v>1</v>
      </c>
      <c r="M234" s="5">
        <v>1</v>
      </c>
      <c r="N234" s="5">
        <v>1</v>
      </c>
      <c r="O234" s="5">
        <v>1</v>
      </c>
      <c r="P234" s="5">
        <v>1</v>
      </c>
      <c r="Q234" s="5">
        <v>1</v>
      </c>
      <c r="R234" s="5">
        <v>1</v>
      </c>
      <c r="S234" s="5">
        <v>1</v>
      </c>
      <c r="T234" s="5">
        <v>1</v>
      </c>
      <c r="U234" s="5">
        <v>1</v>
      </c>
      <c r="V234" s="5">
        <v>1</v>
      </c>
      <c r="W234" s="5">
        <v>1</v>
      </c>
      <c r="X234" s="5">
        <v>1</v>
      </c>
      <c r="Y234" s="5">
        <v>1</v>
      </c>
      <c r="Z234" s="5">
        <v>1</v>
      </c>
      <c r="AA234" s="5">
        <v>1</v>
      </c>
      <c r="AB234" s="5">
        <v>1</v>
      </c>
      <c r="AC234" s="5">
        <v>1</v>
      </c>
      <c r="AD234" s="5">
        <v>1</v>
      </c>
      <c r="AE234" s="5">
        <v>1</v>
      </c>
      <c r="AF234" s="5">
        <v>1</v>
      </c>
      <c r="AG234" s="5">
        <v>1</v>
      </c>
      <c r="AH234" s="5">
        <v>1</v>
      </c>
      <c r="AI234" s="5">
        <v>1</v>
      </c>
      <c r="AJ234" s="5">
        <v>1</v>
      </c>
      <c r="AK234" s="5">
        <v>1</v>
      </c>
      <c r="AL234" s="5">
        <v>1</v>
      </c>
      <c r="AM234" s="5">
        <v>1</v>
      </c>
    </row>
    <row r="235" spans="1:39" s="7" customFormat="1" x14ac:dyDescent="0.25">
      <c r="A235" s="5">
        <v>192</v>
      </c>
      <c r="B235" s="5">
        <v>1</v>
      </c>
      <c r="C235" s="6"/>
      <c r="D235" s="5">
        <v>1</v>
      </c>
      <c r="E235" s="5">
        <v>1</v>
      </c>
      <c r="F235" s="5">
        <v>1</v>
      </c>
      <c r="G235" s="6"/>
      <c r="H235" s="5">
        <v>1</v>
      </c>
      <c r="I235" s="5">
        <v>1</v>
      </c>
      <c r="J235" s="6"/>
      <c r="K235" s="5">
        <v>1</v>
      </c>
      <c r="L235" s="6"/>
      <c r="M235" s="5">
        <v>1</v>
      </c>
      <c r="N235" s="5">
        <v>1</v>
      </c>
      <c r="O235" s="6"/>
      <c r="P235" s="5">
        <v>1</v>
      </c>
      <c r="Q235" s="6"/>
      <c r="R235" s="6"/>
      <c r="S235" s="6"/>
      <c r="T235" s="6"/>
      <c r="U235" s="5">
        <v>1</v>
      </c>
      <c r="V235" s="6"/>
      <c r="W235" s="5">
        <v>1</v>
      </c>
      <c r="X235" s="6"/>
      <c r="Y235" s="5">
        <v>1</v>
      </c>
      <c r="Z235" s="6"/>
      <c r="AA235" s="6"/>
      <c r="AB235" s="6"/>
      <c r="AC235" s="5">
        <v>1</v>
      </c>
      <c r="AD235" s="5">
        <v>1</v>
      </c>
      <c r="AE235" s="5">
        <v>1</v>
      </c>
      <c r="AF235" s="5">
        <v>1</v>
      </c>
      <c r="AG235" s="5">
        <v>1</v>
      </c>
      <c r="AH235" s="5">
        <v>1</v>
      </c>
      <c r="AI235" s="6"/>
      <c r="AJ235" s="6"/>
      <c r="AK235" s="5">
        <v>1</v>
      </c>
      <c r="AL235" s="5">
        <v>1</v>
      </c>
      <c r="AM235" s="6"/>
    </row>
    <row r="236" spans="1:39" s="7" customFormat="1" x14ac:dyDescent="0.25">
      <c r="A236" s="5">
        <v>192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5">
        <v>1</v>
      </c>
      <c r="M236" s="6"/>
      <c r="N236" s="6"/>
      <c r="O236" s="6"/>
      <c r="P236" s="6"/>
      <c r="Q236" s="5">
        <v>1</v>
      </c>
      <c r="R236" s="6"/>
      <c r="S236" s="6"/>
      <c r="T236" s="5">
        <v>1</v>
      </c>
      <c r="U236" s="6"/>
      <c r="V236" s="6"/>
      <c r="W236" s="6"/>
      <c r="X236" s="5">
        <v>1</v>
      </c>
      <c r="Y236" s="6"/>
      <c r="Z236" s="6"/>
      <c r="AA236" s="5">
        <v>1</v>
      </c>
      <c r="AB236" s="6"/>
      <c r="AC236" s="6"/>
      <c r="AD236" s="6"/>
      <c r="AE236" s="6"/>
      <c r="AF236" s="6"/>
      <c r="AG236" s="6"/>
      <c r="AH236" s="6"/>
      <c r="AI236" s="5">
        <v>1</v>
      </c>
      <c r="AJ236" s="6"/>
      <c r="AK236" s="6"/>
      <c r="AL236" s="6"/>
      <c r="AM236" s="6"/>
    </row>
    <row r="237" spans="1:39" s="7" customFormat="1" x14ac:dyDescent="0.25">
      <c r="A237" s="5">
        <v>192</v>
      </c>
      <c r="B237" s="6"/>
      <c r="C237" s="5">
        <v>1</v>
      </c>
      <c r="D237" s="6"/>
      <c r="E237" s="6"/>
      <c r="F237" s="6"/>
      <c r="G237" s="5">
        <v>1</v>
      </c>
      <c r="H237" s="6"/>
      <c r="I237" s="6"/>
      <c r="J237" s="5">
        <v>1</v>
      </c>
      <c r="K237" s="6"/>
      <c r="L237" s="6"/>
      <c r="M237" s="6"/>
      <c r="N237" s="6"/>
      <c r="O237" s="5">
        <v>1</v>
      </c>
      <c r="P237" s="6"/>
      <c r="Q237" s="6"/>
      <c r="R237" s="5">
        <v>1</v>
      </c>
      <c r="S237" s="5">
        <v>1</v>
      </c>
      <c r="T237" s="6"/>
      <c r="U237" s="6"/>
      <c r="V237" s="5">
        <v>1</v>
      </c>
      <c r="W237" s="6"/>
      <c r="X237" s="6"/>
      <c r="Y237" s="6"/>
      <c r="Z237" s="5">
        <v>1</v>
      </c>
      <c r="AA237" s="6"/>
      <c r="AB237" s="5">
        <v>1</v>
      </c>
      <c r="AC237" s="6"/>
      <c r="AD237" s="6"/>
      <c r="AE237" s="6"/>
      <c r="AF237" s="6"/>
      <c r="AG237" s="6"/>
      <c r="AH237" s="6"/>
      <c r="AI237" s="6"/>
      <c r="AJ237" s="5">
        <v>1</v>
      </c>
      <c r="AK237" s="6"/>
      <c r="AL237" s="6"/>
      <c r="AM237" s="5">
        <v>1</v>
      </c>
    </row>
    <row r="238" spans="1:39" s="7" customFormat="1" x14ac:dyDescent="0.25">
      <c r="A238" s="5">
        <v>193</v>
      </c>
      <c r="B238" s="6"/>
      <c r="C238" s="5">
        <v>1</v>
      </c>
      <c r="D238" s="6"/>
      <c r="E238" s="6"/>
      <c r="F238" s="5">
        <v>1</v>
      </c>
      <c r="G238" s="5">
        <v>1</v>
      </c>
      <c r="H238" s="5">
        <v>1</v>
      </c>
      <c r="I238" s="5">
        <v>1</v>
      </c>
      <c r="J238" s="5">
        <v>1</v>
      </c>
      <c r="K238" s="5">
        <v>1</v>
      </c>
      <c r="L238" s="5">
        <v>1</v>
      </c>
      <c r="M238" s="5">
        <v>1</v>
      </c>
      <c r="N238" s="6"/>
      <c r="O238" s="5">
        <v>1</v>
      </c>
      <c r="P238" s="5">
        <v>1</v>
      </c>
      <c r="Q238" s="5">
        <v>1</v>
      </c>
      <c r="R238" s="5">
        <v>1</v>
      </c>
      <c r="S238" s="5">
        <v>1</v>
      </c>
      <c r="T238" s="5">
        <v>1</v>
      </c>
      <c r="U238" s="6"/>
      <c r="V238" s="5">
        <v>1</v>
      </c>
      <c r="W238" s="5">
        <v>1</v>
      </c>
      <c r="X238" s="5">
        <v>1</v>
      </c>
      <c r="Y238" s="6"/>
      <c r="Z238" s="5">
        <v>1</v>
      </c>
      <c r="AA238" s="5">
        <v>1</v>
      </c>
      <c r="AB238" s="5">
        <v>1</v>
      </c>
      <c r="AC238" s="5">
        <v>1</v>
      </c>
      <c r="AD238" s="5">
        <v>1</v>
      </c>
      <c r="AE238" s="5">
        <v>1</v>
      </c>
      <c r="AF238" s="5">
        <v>1</v>
      </c>
      <c r="AG238" s="6"/>
      <c r="AH238" s="5">
        <v>1</v>
      </c>
      <c r="AI238" s="5">
        <v>1</v>
      </c>
      <c r="AJ238" s="5">
        <v>1</v>
      </c>
      <c r="AK238" s="5">
        <v>1</v>
      </c>
      <c r="AL238" s="6"/>
      <c r="AM238" s="5">
        <v>1</v>
      </c>
    </row>
    <row r="239" spans="1:39" s="7" customFormat="1" x14ac:dyDescent="0.25">
      <c r="A239" s="5">
        <v>194</v>
      </c>
      <c r="B239" s="6"/>
      <c r="C239" s="5">
        <v>1</v>
      </c>
      <c r="D239" s="6"/>
      <c r="E239" s="6"/>
      <c r="F239" s="5"/>
      <c r="G239" s="5">
        <v>1</v>
      </c>
      <c r="H239" s="5">
        <v>1</v>
      </c>
      <c r="I239" s="5">
        <v>1</v>
      </c>
      <c r="J239" s="5">
        <v>1</v>
      </c>
      <c r="K239" s="5"/>
      <c r="L239" s="5"/>
      <c r="M239" s="5"/>
      <c r="N239" s="6"/>
      <c r="O239" s="5">
        <v>1</v>
      </c>
      <c r="P239" s="5">
        <v>1</v>
      </c>
      <c r="Q239" s="5"/>
      <c r="R239" s="5">
        <v>1</v>
      </c>
      <c r="S239" s="5">
        <v>1</v>
      </c>
      <c r="T239" s="5"/>
      <c r="U239" s="6"/>
      <c r="V239" s="5">
        <v>1</v>
      </c>
      <c r="W239" s="5">
        <v>1</v>
      </c>
      <c r="X239" s="5"/>
      <c r="Y239" s="6"/>
      <c r="Z239" s="5">
        <v>1</v>
      </c>
      <c r="AA239" s="5"/>
      <c r="AB239" s="5">
        <v>1</v>
      </c>
      <c r="AC239" s="5">
        <v>1</v>
      </c>
      <c r="AD239" s="5"/>
      <c r="AE239" s="5">
        <v>1</v>
      </c>
      <c r="AF239" s="5"/>
      <c r="AG239" s="6"/>
      <c r="AH239" s="5">
        <v>1</v>
      </c>
      <c r="AI239" s="5"/>
      <c r="AJ239" s="5">
        <v>1</v>
      </c>
      <c r="AK239" s="5">
        <v>1</v>
      </c>
      <c r="AL239" s="6"/>
      <c r="AM239" s="5">
        <v>1</v>
      </c>
    </row>
    <row r="240" spans="1:39" s="7" customFormat="1" x14ac:dyDescent="0.25">
      <c r="A240" s="5">
        <v>195</v>
      </c>
      <c r="B240" s="6"/>
      <c r="C240" s="6"/>
      <c r="D240" s="5">
        <v>1</v>
      </c>
      <c r="E240" s="6"/>
      <c r="F240" s="6"/>
      <c r="G240" s="6"/>
      <c r="H240" s="6"/>
      <c r="I240" s="6"/>
      <c r="J240" s="6"/>
      <c r="K240" s="6"/>
      <c r="L240" s="6"/>
      <c r="M240" s="5">
        <v>1</v>
      </c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5">
        <v>1</v>
      </c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5">
        <v>1</v>
      </c>
      <c r="AM240" s="6"/>
    </row>
    <row r="241" spans="1:39" s="7" customFormat="1" x14ac:dyDescent="0.25">
      <c r="A241" s="5">
        <v>195</v>
      </c>
      <c r="B241" s="6"/>
      <c r="C241" s="6"/>
      <c r="D241" s="6"/>
      <c r="E241" s="5">
        <v>1</v>
      </c>
      <c r="F241" s="6"/>
      <c r="G241" s="6"/>
      <c r="H241" s="6"/>
      <c r="I241" s="5">
        <v>1</v>
      </c>
      <c r="J241" s="6"/>
      <c r="K241" s="5">
        <v>1</v>
      </c>
      <c r="L241" s="6"/>
      <c r="M241" s="6"/>
      <c r="N241" s="6"/>
      <c r="O241" s="6"/>
      <c r="P241" s="6"/>
      <c r="Q241" s="6"/>
      <c r="R241" s="6"/>
      <c r="S241" s="6"/>
      <c r="T241" s="6"/>
      <c r="U241" s="5">
        <v>1</v>
      </c>
      <c r="V241" s="6"/>
      <c r="W241" s="6"/>
      <c r="X241" s="6"/>
      <c r="Y241" s="6"/>
      <c r="Z241" s="6"/>
      <c r="AA241" s="6"/>
      <c r="AB241" s="6"/>
      <c r="AC241" s="5">
        <v>1</v>
      </c>
      <c r="AD241" s="5">
        <v>1</v>
      </c>
      <c r="AE241" s="6"/>
      <c r="AF241" s="6"/>
      <c r="AG241" s="6"/>
      <c r="AH241" s="6"/>
      <c r="AI241" s="6"/>
      <c r="AJ241" s="6"/>
      <c r="AK241" s="6"/>
      <c r="AL241" s="6"/>
      <c r="AM241" s="6"/>
    </row>
    <row r="242" spans="1:39" s="7" customFormat="1" x14ac:dyDescent="0.25">
      <c r="A242" s="5">
        <v>195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5">
        <v>1</v>
      </c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5">
        <v>1</v>
      </c>
      <c r="X242" s="5">
        <v>1</v>
      </c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5">
        <v>1</v>
      </c>
      <c r="AL242" s="6"/>
      <c r="AM242" s="6"/>
    </row>
    <row r="243" spans="1:39" s="7" customFormat="1" x14ac:dyDescent="0.25">
      <c r="A243" s="5">
        <v>195</v>
      </c>
      <c r="B243" s="6"/>
      <c r="C243" s="6"/>
      <c r="D243" s="6"/>
      <c r="E243" s="6"/>
      <c r="F243" s="6"/>
      <c r="G243" s="6"/>
      <c r="H243" s="6"/>
      <c r="I243" s="6"/>
      <c r="J243" s="5">
        <v>1</v>
      </c>
      <c r="K243" s="6"/>
      <c r="L243" s="6"/>
      <c r="M243" s="6"/>
      <c r="N243" s="6"/>
      <c r="O243" s="5">
        <v>1</v>
      </c>
      <c r="P243" s="6"/>
      <c r="Q243" s="5">
        <v>1</v>
      </c>
      <c r="R243" s="6"/>
      <c r="S243" s="6"/>
      <c r="T243" s="5">
        <v>1</v>
      </c>
      <c r="U243" s="6"/>
      <c r="V243" s="5">
        <v>1</v>
      </c>
      <c r="W243" s="6"/>
      <c r="X243" s="6"/>
      <c r="Y243" s="6"/>
      <c r="Z243" s="5">
        <v>1</v>
      </c>
      <c r="AA243" s="6"/>
      <c r="AB243" s="6"/>
      <c r="AC243" s="6"/>
      <c r="AD243" s="6"/>
      <c r="AE243" s="6"/>
      <c r="AF243" s="6"/>
      <c r="AG243" s="6"/>
      <c r="AH243" s="6"/>
      <c r="AI243" s="5">
        <v>1</v>
      </c>
      <c r="AJ243" s="6"/>
      <c r="AK243" s="6"/>
      <c r="AL243" s="6"/>
      <c r="AM243" s="6"/>
    </row>
    <row r="244" spans="1:39" s="7" customFormat="1" x14ac:dyDescent="0.25">
      <c r="A244" s="5">
        <v>195</v>
      </c>
      <c r="B244" s="6"/>
      <c r="C244" s="5">
        <v>1</v>
      </c>
      <c r="D244" s="6"/>
      <c r="E244" s="6"/>
      <c r="F244" s="6"/>
      <c r="G244" s="5">
        <v>1</v>
      </c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5">
        <v>1</v>
      </c>
      <c r="S244" s="6"/>
      <c r="T244" s="6"/>
      <c r="U244" s="6"/>
      <c r="V244" s="6"/>
      <c r="W244" s="6"/>
      <c r="X244" s="6"/>
      <c r="Y244" s="6"/>
      <c r="Z244" s="6"/>
      <c r="AA244" s="6"/>
      <c r="AB244" s="5">
        <v>1</v>
      </c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5">
        <v>1</v>
      </c>
    </row>
    <row r="245" spans="1:39" s="7" customFormat="1" x14ac:dyDescent="0.25">
      <c r="A245" s="5">
        <v>196</v>
      </c>
      <c r="B245" s="6"/>
      <c r="C245" s="6"/>
      <c r="D245" s="5">
        <v>1</v>
      </c>
      <c r="E245" s="6"/>
      <c r="F245" s="6"/>
      <c r="G245" s="6"/>
      <c r="H245" s="6"/>
      <c r="I245" s="6"/>
      <c r="J245" s="6"/>
      <c r="K245" s="6"/>
      <c r="L245" s="6"/>
      <c r="M245" s="5">
        <v>1</v>
      </c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5">
        <v>1</v>
      </c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5">
        <v>1</v>
      </c>
      <c r="AM245" s="6"/>
    </row>
    <row r="246" spans="1:39" s="7" customFormat="1" x14ac:dyDescent="0.25">
      <c r="A246" s="5">
        <v>196</v>
      </c>
      <c r="B246" s="6"/>
      <c r="C246" s="6"/>
      <c r="D246" s="6"/>
      <c r="E246" s="5">
        <v>1</v>
      </c>
      <c r="F246" s="6"/>
      <c r="G246" s="6"/>
      <c r="H246" s="6"/>
      <c r="I246" s="5">
        <v>1</v>
      </c>
      <c r="J246" s="6"/>
      <c r="K246" s="5">
        <v>1</v>
      </c>
      <c r="L246" s="6"/>
      <c r="M246" s="6"/>
      <c r="N246" s="6"/>
      <c r="O246" s="6"/>
      <c r="P246" s="6"/>
      <c r="Q246" s="6"/>
      <c r="R246" s="6"/>
      <c r="S246" s="6"/>
      <c r="T246" s="6"/>
      <c r="U246" s="5">
        <v>1</v>
      </c>
      <c r="V246" s="6"/>
      <c r="W246" s="6"/>
      <c r="X246" s="6"/>
      <c r="Y246" s="6"/>
      <c r="Z246" s="6"/>
      <c r="AA246" s="6"/>
      <c r="AB246" s="6"/>
      <c r="AC246" s="5">
        <v>1</v>
      </c>
      <c r="AD246" s="5">
        <v>1</v>
      </c>
      <c r="AE246" s="6"/>
      <c r="AF246" s="6"/>
      <c r="AG246" s="6"/>
      <c r="AH246" s="6"/>
      <c r="AI246" s="6"/>
      <c r="AJ246" s="6"/>
      <c r="AK246" s="6"/>
      <c r="AL246" s="6"/>
      <c r="AM246" s="6"/>
    </row>
    <row r="247" spans="1:39" s="7" customFormat="1" x14ac:dyDescent="0.25">
      <c r="A247" s="5">
        <v>196</v>
      </c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5">
        <v>1</v>
      </c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5">
        <v>1</v>
      </c>
      <c r="X247" s="5">
        <v>1</v>
      </c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5">
        <v>1</v>
      </c>
      <c r="AL247" s="6"/>
      <c r="AM247" s="6"/>
    </row>
    <row r="248" spans="1:39" s="7" customFormat="1" x14ac:dyDescent="0.25">
      <c r="A248" s="5">
        <v>196</v>
      </c>
      <c r="B248" s="6"/>
      <c r="C248" s="6"/>
      <c r="D248" s="6"/>
      <c r="E248" s="6"/>
      <c r="F248" s="6"/>
      <c r="G248" s="6"/>
      <c r="H248" s="6"/>
      <c r="I248" s="6"/>
      <c r="J248" s="5">
        <v>1</v>
      </c>
      <c r="K248" s="6"/>
      <c r="L248" s="6"/>
      <c r="M248" s="6"/>
      <c r="N248" s="6"/>
      <c r="O248" s="5">
        <v>1</v>
      </c>
      <c r="P248" s="6"/>
      <c r="Q248" s="5">
        <v>1</v>
      </c>
      <c r="R248" s="6"/>
      <c r="S248" s="6"/>
      <c r="T248" s="5">
        <v>1</v>
      </c>
      <c r="U248" s="6"/>
      <c r="V248" s="5">
        <v>1</v>
      </c>
      <c r="W248" s="6"/>
      <c r="X248" s="6"/>
      <c r="Y248" s="6"/>
      <c r="Z248" s="5">
        <v>1</v>
      </c>
      <c r="AA248" s="6"/>
      <c r="AB248" s="6"/>
      <c r="AC248" s="6"/>
      <c r="AD248" s="6"/>
      <c r="AE248" s="6"/>
      <c r="AF248" s="6"/>
      <c r="AG248" s="6"/>
      <c r="AH248" s="6"/>
      <c r="AI248" s="5">
        <v>1</v>
      </c>
      <c r="AJ248" s="6"/>
      <c r="AK248" s="6"/>
      <c r="AL248" s="6"/>
      <c r="AM248" s="6"/>
    </row>
    <row r="249" spans="1:39" s="7" customFormat="1" x14ac:dyDescent="0.25">
      <c r="A249" s="5">
        <v>196</v>
      </c>
      <c r="B249" s="6"/>
      <c r="C249" s="5">
        <v>1</v>
      </c>
      <c r="D249" s="6"/>
      <c r="E249" s="6"/>
      <c r="F249" s="6"/>
      <c r="G249" s="5">
        <v>1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5">
        <v>1</v>
      </c>
      <c r="S249" s="6"/>
      <c r="T249" s="6"/>
      <c r="U249" s="6"/>
      <c r="V249" s="6"/>
      <c r="W249" s="6"/>
      <c r="X249" s="6"/>
      <c r="Y249" s="6"/>
      <c r="Z249" s="6"/>
      <c r="AA249" s="6"/>
      <c r="AB249" s="5">
        <v>1</v>
      </c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5">
        <v>1</v>
      </c>
    </row>
    <row r="250" spans="1:39" s="7" customFormat="1" x14ac:dyDescent="0.25">
      <c r="A250" s="5">
        <v>197</v>
      </c>
      <c r="B250" s="6"/>
      <c r="C250" s="5">
        <v>1</v>
      </c>
      <c r="D250" s="5">
        <v>1</v>
      </c>
      <c r="E250" s="5">
        <v>1</v>
      </c>
      <c r="F250" s="6"/>
      <c r="G250" s="5">
        <v>1</v>
      </c>
      <c r="H250" s="6"/>
      <c r="I250" s="5">
        <v>1</v>
      </c>
      <c r="J250" s="5">
        <v>1</v>
      </c>
      <c r="K250" s="5">
        <v>1</v>
      </c>
      <c r="L250" s="5">
        <v>1</v>
      </c>
      <c r="M250" s="5">
        <v>1</v>
      </c>
      <c r="N250" s="6"/>
      <c r="O250" s="5">
        <v>1</v>
      </c>
      <c r="P250" s="6"/>
      <c r="Q250" s="5">
        <v>1</v>
      </c>
      <c r="R250" s="5">
        <v>1</v>
      </c>
      <c r="S250" s="6"/>
      <c r="T250" s="5">
        <v>1</v>
      </c>
      <c r="U250" s="5">
        <v>1</v>
      </c>
      <c r="V250" s="5">
        <v>1</v>
      </c>
      <c r="W250" s="5">
        <v>1</v>
      </c>
      <c r="X250" s="5">
        <v>1</v>
      </c>
      <c r="Y250" s="5">
        <v>1</v>
      </c>
      <c r="Z250" s="5">
        <v>1</v>
      </c>
      <c r="AA250" s="6"/>
      <c r="AB250" s="5">
        <v>1</v>
      </c>
      <c r="AC250" s="5">
        <v>1</v>
      </c>
      <c r="AD250" s="5">
        <v>1</v>
      </c>
      <c r="AE250" s="6"/>
      <c r="AF250" s="6"/>
      <c r="AG250" s="6"/>
      <c r="AH250" s="6"/>
      <c r="AI250" s="5">
        <v>1</v>
      </c>
      <c r="AJ250" s="6"/>
      <c r="AK250" s="5">
        <v>1</v>
      </c>
      <c r="AL250" s="5">
        <v>1</v>
      </c>
      <c r="AM250" s="5">
        <v>1</v>
      </c>
    </row>
    <row r="251" spans="1:39" s="7" customFormat="1" x14ac:dyDescent="0.25">
      <c r="A251" s="5">
        <v>198</v>
      </c>
      <c r="B251" s="6"/>
      <c r="C251" s="5">
        <v>1</v>
      </c>
      <c r="D251" s="5">
        <v>1</v>
      </c>
      <c r="E251" s="5">
        <v>1</v>
      </c>
      <c r="F251" s="6"/>
      <c r="G251" s="5">
        <v>1</v>
      </c>
      <c r="H251" s="6"/>
      <c r="I251" s="5">
        <v>1</v>
      </c>
      <c r="J251" s="5">
        <v>1</v>
      </c>
      <c r="K251" s="5">
        <v>1</v>
      </c>
      <c r="L251" s="5">
        <v>1</v>
      </c>
      <c r="M251" s="5">
        <v>1</v>
      </c>
      <c r="N251" s="6"/>
      <c r="O251" s="5">
        <v>1</v>
      </c>
      <c r="P251" s="6"/>
      <c r="Q251" s="5">
        <v>1</v>
      </c>
      <c r="R251" s="5">
        <v>1</v>
      </c>
      <c r="S251" s="6"/>
      <c r="T251" s="5">
        <v>1</v>
      </c>
      <c r="U251" s="5">
        <v>1</v>
      </c>
      <c r="V251" s="5">
        <v>1</v>
      </c>
      <c r="W251" s="5">
        <v>1</v>
      </c>
      <c r="X251" s="5">
        <v>1</v>
      </c>
      <c r="Y251" s="5">
        <v>1</v>
      </c>
      <c r="Z251" s="5">
        <v>1</v>
      </c>
      <c r="AA251" s="6"/>
      <c r="AB251" s="5">
        <v>1</v>
      </c>
      <c r="AC251" s="5">
        <v>1</v>
      </c>
      <c r="AD251" s="5">
        <v>1</v>
      </c>
      <c r="AE251" s="6"/>
      <c r="AF251" s="6"/>
      <c r="AG251" s="6"/>
      <c r="AH251" s="6"/>
      <c r="AI251" s="5">
        <v>1</v>
      </c>
      <c r="AJ251" s="6"/>
      <c r="AK251" s="5">
        <v>1</v>
      </c>
      <c r="AL251" s="5">
        <v>1</v>
      </c>
      <c r="AM251" s="5">
        <v>1</v>
      </c>
    </row>
    <row r="252" spans="1:39" s="7" customFormat="1" x14ac:dyDescent="0.25">
      <c r="A252" s="5">
        <v>199</v>
      </c>
      <c r="B252" s="5">
        <v>1</v>
      </c>
      <c r="C252" s="5">
        <v>1</v>
      </c>
      <c r="D252" s="5">
        <v>1</v>
      </c>
      <c r="E252" s="5">
        <v>1</v>
      </c>
      <c r="F252" s="5">
        <v>1</v>
      </c>
      <c r="G252" s="5">
        <v>1</v>
      </c>
      <c r="H252" s="5">
        <v>1</v>
      </c>
      <c r="I252" s="6"/>
      <c r="J252" s="6"/>
      <c r="K252" s="5">
        <v>1</v>
      </c>
      <c r="L252" s="6"/>
      <c r="M252" s="6"/>
      <c r="N252" s="5">
        <v>1</v>
      </c>
      <c r="O252" s="6"/>
      <c r="P252" s="6"/>
      <c r="Q252" s="5">
        <v>1</v>
      </c>
      <c r="R252" s="5">
        <v>1</v>
      </c>
      <c r="S252" s="5">
        <v>1</v>
      </c>
      <c r="T252" s="5">
        <v>1</v>
      </c>
      <c r="U252" s="5">
        <v>1</v>
      </c>
      <c r="V252" s="6"/>
      <c r="W252" s="5">
        <v>1</v>
      </c>
      <c r="X252" s="6"/>
      <c r="Y252" s="5">
        <v>1</v>
      </c>
      <c r="Z252" s="6"/>
      <c r="AA252" s="5">
        <v>1</v>
      </c>
      <c r="AB252" s="5">
        <v>1</v>
      </c>
      <c r="AC252" s="6"/>
      <c r="AD252" s="5">
        <v>1</v>
      </c>
      <c r="AE252" s="5">
        <v>1</v>
      </c>
      <c r="AF252" s="6"/>
      <c r="AG252" s="5">
        <v>1</v>
      </c>
      <c r="AH252" s="6"/>
      <c r="AI252" s="5">
        <v>1</v>
      </c>
      <c r="AJ252" s="5">
        <v>1</v>
      </c>
      <c r="AK252" s="5">
        <v>1</v>
      </c>
      <c r="AL252" s="5">
        <v>1</v>
      </c>
      <c r="AM252" s="5">
        <v>1</v>
      </c>
    </row>
    <row r="253" spans="1:39" s="7" customFormat="1" x14ac:dyDescent="0.25">
      <c r="A253" s="5">
        <v>200</v>
      </c>
      <c r="B253" s="5">
        <v>1</v>
      </c>
      <c r="C253" s="6"/>
      <c r="D253" s="5">
        <v>1</v>
      </c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5">
        <v>1</v>
      </c>
      <c r="AM253" s="6"/>
    </row>
    <row r="254" spans="1:39" s="7" customFormat="1" x14ac:dyDescent="0.25">
      <c r="A254" s="5">
        <v>200</v>
      </c>
      <c r="B254" s="6"/>
      <c r="C254" s="6"/>
      <c r="D254" s="6"/>
      <c r="E254" s="6"/>
      <c r="F254" s="5">
        <v>1</v>
      </c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5">
        <v>1</v>
      </c>
      <c r="Z254" s="6"/>
      <c r="AA254" s="6"/>
      <c r="AB254" s="6"/>
      <c r="AC254" s="6"/>
      <c r="AD254" s="5">
        <v>1</v>
      </c>
      <c r="AE254" s="6"/>
      <c r="AF254" s="6"/>
      <c r="AG254" s="6"/>
      <c r="AH254" s="6"/>
      <c r="AI254" s="6"/>
      <c r="AJ254" s="6"/>
      <c r="AK254" s="6"/>
      <c r="AL254" s="6"/>
      <c r="AM254" s="6"/>
    </row>
    <row r="255" spans="1:39" s="7" customFormat="1" x14ac:dyDescent="0.25">
      <c r="A255" s="5">
        <v>200</v>
      </c>
      <c r="B255" s="6"/>
      <c r="C255" s="6"/>
      <c r="D255" s="6"/>
      <c r="E255" s="5">
        <v>1</v>
      </c>
      <c r="F255" s="6"/>
      <c r="G255" s="6"/>
      <c r="H255" s="6"/>
      <c r="I255" s="6"/>
      <c r="J255" s="6"/>
      <c r="K255" s="5">
        <v>1</v>
      </c>
      <c r="L255" s="6"/>
      <c r="M255" s="6"/>
      <c r="N255" s="5">
        <v>1</v>
      </c>
      <c r="O255" s="6"/>
      <c r="P255" s="6"/>
      <c r="Q255" s="6"/>
      <c r="R255" s="6"/>
      <c r="S255" s="6"/>
      <c r="T255" s="6"/>
      <c r="U255" s="5">
        <v>1</v>
      </c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5">
        <v>1</v>
      </c>
      <c r="AH255" s="6"/>
      <c r="AI255" s="6"/>
      <c r="AJ255" s="6"/>
      <c r="AK255" s="6"/>
      <c r="AL255" s="6"/>
      <c r="AM255" s="6"/>
    </row>
    <row r="256" spans="1:39" s="7" customFormat="1" x14ac:dyDescent="0.25">
      <c r="A256" s="5">
        <v>200</v>
      </c>
      <c r="B256" s="6"/>
      <c r="C256" s="6"/>
      <c r="D256" s="6"/>
      <c r="E256" s="6"/>
      <c r="F256" s="6"/>
      <c r="G256" s="6"/>
      <c r="H256" s="5">
        <v>1</v>
      </c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5">
        <v>1</v>
      </c>
      <c r="X256" s="6"/>
      <c r="Y256" s="6"/>
      <c r="Z256" s="6"/>
      <c r="AA256" s="5">
        <v>1</v>
      </c>
      <c r="AB256" s="6"/>
      <c r="AC256" s="6"/>
      <c r="AD256" s="6"/>
      <c r="AE256" s="5">
        <v>1</v>
      </c>
      <c r="AF256" s="6"/>
      <c r="AG256" s="6"/>
      <c r="AH256" s="6"/>
      <c r="AI256" s="5">
        <v>1</v>
      </c>
      <c r="AJ256" s="6"/>
      <c r="AK256" s="5">
        <v>1</v>
      </c>
      <c r="AL256" s="6"/>
      <c r="AM256" s="6"/>
    </row>
    <row r="257" spans="1:39" s="7" customFormat="1" x14ac:dyDescent="0.25">
      <c r="A257" s="5">
        <v>200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5">
        <v>1</v>
      </c>
      <c r="R257" s="6"/>
      <c r="S257" s="6"/>
      <c r="T257" s="5">
        <v>1</v>
      </c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</row>
    <row r="258" spans="1:39" s="7" customFormat="1" x14ac:dyDescent="0.25">
      <c r="A258" s="5">
        <v>200</v>
      </c>
      <c r="B258" s="6"/>
      <c r="C258" s="5">
        <v>1</v>
      </c>
      <c r="D258" s="6"/>
      <c r="E258" s="6"/>
      <c r="F258" s="6"/>
      <c r="G258" s="5">
        <v>1</v>
      </c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5">
        <v>1</v>
      </c>
      <c r="S258" s="5">
        <v>1</v>
      </c>
      <c r="T258" s="6"/>
      <c r="U258" s="6"/>
      <c r="V258" s="6"/>
      <c r="W258" s="6"/>
      <c r="X258" s="6"/>
      <c r="Y258" s="6"/>
      <c r="Z258" s="6"/>
      <c r="AA258" s="6"/>
      <c r="AB258" s="5">
        <v>1</v>
      </c>
      <c r="AC258" s="6"/>
      <c r="AD258" s="6"/>
      <c r="AE258" s="6"/>
      <c r="AF258" s="6"/>
      <c r="AG258" s="6"/>
      <c r="AH258" s="6"/>
      <c r="AI258" s="6"/>
      <c r="AJ258" s="5">
        <v>1</v>
      </c>
      <c r="AK258" s="6"/>
      <c r="AL258" s="6"/>
      <c r="AM258" s="5">
        <v>1</v>
      </c>
    </row>
    <row r="259" spans="1:39" s="7" customFormat="1" x14ac:dyDescent="0.25">
      <c r="A259" s="5">
        <v>201</v>
      </c>
      <c r="B259" s="6"/>
      <c r="C259" s="6"/>
      <c r="D259" s="6"/>
      <c r="E259" s="6"/>
      <c r="F259" s="6"/>
      <c r="G259" s="6"/>
      <c r="H259" s="6"/>
      <c r="I259" s="5">
        <v>1</v>
      </c>
      <c r="J259" s="5">
        <v>1</v>
      </c>
      <c r="K259" s="6"/>
      <c r="L259" s="5">
        <v>1</v>
      </c>
      <c r="M259" s="5">
        <v>1</v>
      </c>
      <c r="N259" s="6"/>
      <c r="O259" s="5">
        <v>1</v>
      </c>
      <c r="P259" s="5">
        <v>1</v>
      </c>
      <c r="Q259" s="6"/>
      <c r="R259" s="6"/>
      <c r="S259" s="6"/>
      <c r="T259" s="6"/>
      <c r="U259" s="6"/>
      <c r="V259" s="5">
        <v>1</v>
      </c>
      <c r="W259" s="6"/>
      <c r="X259" s="5">
        <v>1</v>
      </c>
      <c r="Y259" s="6"/>
      <c r="Z259" s="5">
        <v>1</v>
      </c>
      <c r="AA259" s="6"/>
      <c r="AB259" s="6"/>
      <c r="AC259" s="5">
        <v>1</v>
      </c>
      <c r="AD259" s="6"/>
      <c r="AE259" s="6"/>
      <c r="AF259" s="5">
        <v>1</v>
      </c>
      <c r="AG259" s="6"/>
      <c r="AH259" s="5">
        <v>1</v>
      </c>
      <c r="AI259" s="6"/>
      <c r="AJ259" s="6"/>
      <c r="AK259" s="6"/>
      <c r="AL259" s="6"/>
      <c r="AM259" s="6"/>
    </row>
    <row r="260" spans="1:39" s="7" customFormat="1" x14ac:dyDescent="0.25">
      <c r="A260" s="5">
        <v>202</v>
      </c>
      <c r="B260" s="6"/>
      <c r="C260" s="6"/>
      <c r="D260" s="6"/>
      <c r="E260" s="6"/>
      <c r="F260" s="6"/>
      <c r="G260" s="6"/>
      <c r="H260" s="6"/>
      <c r="I260" s="5">
        <v>1</v>
      </c>
      <c r="J260" s="5">
        <v>1</v>
      </c>
      <c r="K260" s="6"/>
      <c r="L260" s="5">
        <v>1</v>
      </c>
      <c r="M260" s="5">
        <v>1</v>
      </c>
      <c r="N260" s="6"/>
      <c r="O260" s="5">
        <v>1</v>
      </c>
      <c r="P260" s="5">
        <v>1</v>
      </c>
      <c r="Q260" s="6"/>
      <c r="R260" s="6"/>
      <c r="S260" s="6"/>
      <c r="T260" s="6"/>
      <c r="U260" s="6"/>
      <c r="V260" s="5">
        <v>1</v>
      </c>
      <c r="W260" s="6"/>
      <c r="X260" s="5">
        <v>1</v>
      </c>
      <c r="Y260" s="6"/>
      <c r="Z260" s="5">
        <v>1</v>
      </c>
      <c r="AA260" s="6"/>
      <c r="AB260" s="6"/>
      <c r="AC260" s="5">
        <v>1</v>
      </c>
      <c r="AD260" s="6"/>
      <c r="AE260" s="6"/>
      <c r="AF260" s="5">
        <v>1</v>
      </c>
      <c r="AG260" s="6"/>
      <c r="AH260" s="5">
        <v>1</v>
      </c>
      <c r="AI260" s="6"/>
      <c r="AJ260" s="6"/>
      <c r="AK260" s="6"/>
      <c r="AL260" s="6"/>
      <c r="AM260" s="6"/>
    </row>
    <row r="261" spans="1:39" s="7" customFormat="1" x14ac:dyDescent="0.25">
      <c r="A261" s="5">
        <v>203</v>
      </c>
      <c r="B261" s="6"/>
      <c r="C261" s="6"/>
      <c r="D261" s="6"/>
      <c r="E261" s="6"/>
      <c r="F261" s="6"/>
      <c r="G261" s="6"/>
      <c r="H261" s="6"/>
      <c r="I261" s="5">
        <v>1</v>
      </c>
      <c r="J261" s="5">
        <v>1</v>
      </c>
      <c r="K261" s="6"/>
      <c r="L261" s="5">
        <v>1</v>
      </c>
      <c r="M261" s="5">
        <v>1</v>
      </c>
      <c r="N261" s="6"/>
      <c r="O261" s="5">
        <v>1</v>
      </c>
      <c r="P261" s="5">
        <v>1</v>
      </c>
      <c r="Q261" s="6"/>
      <c r="R261" s="6"/>
      <c r="S261" s="6"/>
      <c r="T261" s="6"/>
      <c r="U261" s="6"/>
      <c r="V261" s="5">
        <v>1</v>
      </c>
      <c r="W261" s="6"/>
      <c r="X261" s="5">
        <v>1</v>
      </c>
      <c r="Y261" s="6"/>
      <c r="Z261" s="5">
        <v>1</v>
      </c>
      <c r="AA261" s="6"/>
      <c r="AB261" s="6"/>
      <c r="AC261" s="5">
        <v>1</v>
      </c>
      <c r="AD261" s="6"/>
      <c r="AE261" s="6"/>
      <c r="AF261" s="5">
        <v>1</v>
      </c>
      <c r="AG261" s="6"/>
      <c r="AH261" s="5">
        <v>1</v>
      </c>
      <c r="AI261" s="6"/>
      <c r="AJ261" s="6"/>
      <c r="AK261" s="6"/>
      <c r="AL261" s="6"/>
      <c r="AM261" s="6"/>
    </row>
    <row r="262" spans="1:39" s="7" customFormat="1" x14ac:dyDescent="0.25">
      <c r="A262" s="5">
        <v>204</v>
      </c>
      <c r="B262" s="5">
        <v>1</v>
      </c>
      <c r="C262" s="6"/>
      <c r="D262" s="5">
        <v>1</v>
      </c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5">
        <v>1</v>
      </c>
      <c r="AM262" s="6"/>
    </row>
    <row r="263" spans="1:39" s="7" customFormat="1" x14ac:dyDescent="0.25">
      <c r="A263" s="5">
        <v>204</v>
      </c>
      <c r="B263" s="6"/>
      <c r="C263" s="6"/>
      <c r="D263" s="6"/>
      <c r="E263" s="6"/>
      <c r="F263" s="5">
        <v>1</v>
      </c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5">
        <v>1</v>
      </c>
      <c r="Z263" s="6"/>
      <c r="AA263" s="6"/>
      <c r="AB263" s="6"/>
      <c r="AC263" s="6"/>
      <c r="AD263" s="5">
        <v>1</v>
      </c>
      <c r="AE263" s="6"/>
      <c r="AF263" s="6"/>
      <c r="AG263" s="6"/>
      <c r="AH263" s="6"/>
      <c r="AI263" s="6"/>
      <c r="AJ263" s="6"/>
      <c r="AK263" s="6"/>
      <c r="AL263" s="6"/>
      <c r="AM263" s="6"/>
    </row>
    <row r="264" spans="1:39" s="7" customFormat="1" x14ac:dyDescent="0.25">
      <c r="A264" s="5">
        <v>204</v>
      </c>
      <c r="B264" s="6"/>
      <c r="C264" s="6"/>
      <c r="D264" s="6"/>
      <c r="E264" s="5">
        <v>1</v>
      </c>
      <c r="F264" s="6"/>
      <c r="G264" s="6"/>
      <c r="H264" s="6"/>
      <c r="I264" s="6"/>
      <c r="J264" s="6"/>
      <c r="K264" s="5">
        <v>1</v>
      </c>
      <c r="L264" s="6"/>
      <c r="M264" s="6"/>
      <c r="N264" s="5">
        <v>1</v>
      </c>
      <c r="O264" s="6"/>
      <c r="P264" s="6"/>
      <c r="Q264" s="6"/>
      <c r="R264" s="6"/>
      <c r="S264" s="6"/>
      <c r="T264" s="6"/>
      <c r="U264" s="5">
        <v>1</v>
      </c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5">
        <v>1</v>
      </c>
      <c r="AH264" s="6"/>
      <c r="AI264" s="6"/>
      <c r="AJ264" s="6"/>
      <c r="AK264" s="6"/>
      <c r="AL264" s="6"/>
      <c r="AM264" s="6"/>
    </row>
    <row r="265" spans="1:39" s="7" customFormat="1" x14ac:dyDescent="0.25">
      <c r="A265" s="5">
        <v>204</v>
      </c>
      <c r="B265" s="6"/>
      <c r="C265" s="6"/>
      <c r="D265" s="6"/>
      <c r="E265" s="6"/>
      <c r="F265" s="6"/>
      <c r="G265" s="6"/>
      <c r="H265" s="5">
        <v>1</v>
      </c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5">
        <v>1</v>
      </c>
      <c r="X265" s="6"/>
      <c r="Y265" s="6"/>
      <c r="Z265" s="6"/>
      <c r="AA265" s="5">
        <v>1</v>
      </c>
      <c r="AB265" s="6"/>
      <c r="AC265" s="6"/>
      <c r="AD265" s="6"/>
      <c r="AE265" s="5">
        <v>1</v>
      </c>
      <c r="AF265" s="6"/>
      <c r="AG265" s="6"/>
      <c r="AH265" s="6"/>
      <c r="AI265" s="5">
        <v>1</v>
      </c>
      <c r="AJ265" s="6"/>
      <c r="AK265" s="5">
        <v>1</v>
      </c>
      <c r="AL265" s="6"/>
      <c r="AM265" s="6"/>
    </row>
    <row r="266" spans="1:39" s="7" customFormat="1" x14ac:dyDescent="0.25">
      <c r="A266" s="5">
        <v>204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5">
        <v>1</v>
      </c>
      <c r="R266" s="6"/>
      <c r="S266" s="6"/>
      <c r="T266" s="5">
        <v>1</v>
      </c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</row>
    <row r="267" spans="1:39" s="7" customFormat="1" x14ac:dyDescent="0.25">
      <c r="A267" s="5">
        <v>204</v>
      </c>
      <c r="B267" s="6"/>
      <c r="C267" s="5">
        <v>1</v>
      </c>
      <c r="D267" s="6"/>
      <c r="E267" s="6"/>
      <c r="F267" s="6"/>
      <c r="G267" s="5">
        <v>1</v>
      </c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5">
        <v>1</v>
      </c>
      <c r="S267" s="5">
        <v>1</v>
      </c>
      <c r="T267" s="6"/>
      <c r="U267" s="6"/>
      <c r="V267" s="6"/>
      <c r="W267" s="6"/>
      <c r="X267" s="6"/>
      <c r="Y267" s="6"/>
      <c r="Z267" s="6"/>
      <c r="AA267" s="6"/>
      <c r="AB267" s="5">
        <v>1</v>
      </c>
      <c r="AC267" s="6"/>
      <c r="AD267" s="6"/>
      <c r="AE267" s="6"/>
      <c r="AF267" s="6"/>
      <c r="AG267" s="6"/>
      <c r="AH267" s="6"/>
      <c r="AI267" s="6"/>
      <c r="AJ267" s="5">
        <v>1</v>
      </c>
      <c r="AK267" s="6"/>
      <c r="AL267" s="6"/>
      <c r="AM267" s="5">
        <v>1</v>
      </c>
    </row>
    <row r="268" spans="1:39" s="7" customFormat="1" x14ac:dyDescent="0.25">
      <c r="A268" s="5">
        <v>204</v>
      </c>
      <c r="B268" s="6"/>
      <c r="C268" s="6"/>
      <c r="D268" s="6"/>
      <c r="E268" s="6"/>
      <c r="F268" s="6"/>
      <c r="G268" s="6"/>
      <c r="H268" s="6"/>
      <c r="I268" s="5">
        <v>1</v>
      </c>
      <c r="J268" s="5">
        <v>1</v>
      </c>
      <c r="K268" s="6"/>
      <c r="L268" s="5">
        <v>1</v>
      </c>
      <c r="M268" s="5">
        <v>1</v>
      </c>
      <c r="N268" s="6"/>
      <c r="O268" s="5">
        <v>1</v>
      </c>
      <c r="P268" s="5">
        <v>1</v>
      </c>
      <c r="Q268" s="6"/>
      <c r="R268" s="6"/>
      <c r="S268" s="6"/>
      <c r="T268" s="6"/>
      <c r="U268" s="6"/>
      <c r="V268" s="5">
        <v>1</v>
      </c>
      <c r="W268" s="6"/>
      <c r="X268" s="5">
        <v>1</v>
      </c>
      <c r="Y268" s="6"/>
      <c r="Z268" s="5">
        <v>1</v>
      </c>
      <c r="AA268" s="6"/>
      <c r="AB268" s="6"/>
      <c r="AC268" s="5">
        <v>1</v>
      </c>
      <c r="AD268" s="6"/>
      <c r="AE268" s="6"/>
      <c r="AF268" s="5">
        <v>1</v>
      </c>
      <c r="AG268" s="6"/>
      <c r="AH268" s="5">
        <v>1</v>
      </c>
      <c r="AI268" s="6"/>
      <c r="AJ268" s="6"/>
      <c r="AK268" s="6"/>
      <c r="AL268" s="6"/>
      <c r="AM268" s="6"/>
    </row>
    <row r="269" spans="1:39" s="7" customFormat="1" x14ac:dyDescent="0.25">
      <c r="A269" s="5">
        <v>205</v>
      </c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5">
        <v>1</v>
      </c>
      <c r="M269" s="5">
        <v>1</v>
      </c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5">
        <v>1</v>
      </c>
      <c r="AA269" s="6"/>
      <c r="AB269" s="6"/>
      <c r="AC269" s="5">
        <v>1</v>
      </c>
      <c r="AD269" s="6"/>
      <c r="AE269" s="6"/>
      <c r="AF269" s="5">
        <v>1</v>
      </c>
      <c r="AG269" s="6"/>
      <c r="AH269" s="6"/>
      <c r="AI269" s="6"/>
      <c r="AJ269" s="6"/>
      <c r="AK269" s="6"/>
      <c r="AL269" s="6"/>
      <c r="AM269" s="6"/>
    </row>
    <row r="270" spans="1:39" s="7" customFormat="1" x14ac:dyDescent="0.25">
      <c r="A270" s="5">
        <v>205</v>
      </c>
      <c r="B270" s="6"/>
      <c r="C270" s="6"/>
      <c r="D270" s="6"/>
      <c r="E270" s="6"/>
      <c r="F270" s="6"/>
      <c r="G270" s="6"/>
      <c r="H270" s="6"/>
      <c r="I270" s="5">
        <v>1</v>
      </c>
      <c r="J270" s="5">
        <v>1</v>
      </c>
      <c r="K270" s="6"/>
      <c r="L270" s="6"/>
      <c r="M270" s="6"/>
      <c r="N270" s="6"/>
      <c r="O270" s="6"/>
      <c r="P270" s="5">
        <v>1</v>
      </c>
      <c r="Q270" s="6"/>
      <c r="R270" s="6"/>
      <c r="S270" s="6"/>
      <c r="T270" s="6"/>
      <c r="U270" s="6"/>
      <c r="V270" s="5"/>
      <c r="W270" s="6"/>
      <c r="X270" s="5"/>
      <c r="Y270" s="6"/>
      <c r="Z270" s="6"/>
      <c r="AA270" s="6"/>
      <c r="AB270" s="6"/>
      <c r="AC270" s="6"/>
      <c r="AD270" s="6"/>
      <c r="AE270" s="6"/>
      <c r="AF270" s="6"/>
      <c r="AG270" s="6"/>
      <c r="AH270" s="5">
        <v>1</v>
      </c>
      <c r="AI270" s="6"/>
      <c r="AJ270" s="6"/>
      <c r="AK270" s="6"/>
      <c r="AL270" s="6"/>
      <c r="AM270" s="6"/>
    </row>
    <row r="271" spans="1:39" s="7" customFormat="1" x14ac:dyDescent="0.25">
      <c r="A271" s="5">
        <v>205</v>
      </c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5">
        <v>1</v>
      </c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</row>
    <row r="272" spans="1:39" s="7" customFormat="1" x14ac:dyDescent="0.25">
      <c r="A272" s="5">
        <v>206</v>
      </c>
      <c r="B272" s="6"/>
      <c r="C272" s="5">
        <v>1</v>
      </c>
      <c r="D272" s="6"/>
      <c r="E272" s="6"/>
      <c r="F272" s="6"/>
      <c r="G272" s="5">
        <v>1</v>
      </c>
      <c r="H272" s="6"/>
      <c r="I272" s="6"/>
      <c r="J272" s="5">
        <v>1</v>
      </c>
      <c r="K272" s="6"/>
      <c r="L272" s="5">
        <v>1</v>
      </c>
      <c r="M272" s="6"/>
      <c r="N272" s="6"/>
      <c r="O272" s="5">
        <v>1</v>
      </c>
      <c r="P272" s="6"/>
      <c r="Q272" s="5">
        <v>1</v>
      </c>
      <c r="R272" s="5">
        <v>1</v>
      </c>
      <c r="S272" s="5">
        <v>1</v>
      </c>
      <c r="T272" s="5">
        <v>1</v>
      </c>
      <c r="U272" s="6"/>
      <c r="V272" s="5">
        <v>1</v>
      </c>
      <c r="W272" s="6"/>
      <c r="X272" s="5">
        <v>1</v>
      </c>
      <c r="Y272" s="6"/>
      <c r="Z272" s="5">
        <v>1</v>
      </c>
      <c r="AA272" s="5">
        <v>1</v>
      </c>
      <c r="AB272" s="5">
        <v>1</v>
      </c>
      <c r="AC272" s="6"/>
      <c r="AD272" s="6"/>
      <c r="AE272" s="6"/>
      <c r="AF272" s="6"/>
      <c r="AG272" s="6"/>
      <c r="AH272" s="6"/>
      <c r="AI272" s="5">
        <v>1</v>
      </c>
      <c r="AJ272" s="6"/>
      <c r="AK272" s="6"/>
      <c r="AL272" s="6"/>
      <c r="AM272" s="5">
        <v>1</v>
      </c>
    </row>
    <row r="273" spans="1:39" s="7" customFormat="1" x14ac:dyDescent="0.25">
      <c r="A273" s="5">
        <v>207</v>
      </c>
      <c r="B273" s="5">
        <v>1</v>
      </c>
      <c r="C273" s="5">
        <v>1</v>
      </c>
      <c r="D273" s="5">
        <v>1</v>
      </c>
      <c r="E273" s="5">
        <v>1</v>
      </c>
      <c r="F273" s="5">
        <v>1</v>
      </c>
      <c r="G273" s="5">
        <v>1</v>
      </c>
      <c r="H273" s="5">
        <v>1</v>
      </c>
      <c r="I273" s="5">
        <v>1</v>
      </c>
      <c r="J273" s="5">
        <v>1</v>
      </c>
      <c r="K273" s="5">
        <v>1</v>
      </c>
      <c r="L273" s="5">
        <v>1</v>
      </c>
      <c r="M273" s="5">
        <v>1</v>
      </c>
      <c r="N273" s="6"/>
      <c r="O273" s="5">
        <v>1</v>
      </c>
      <c r="P273" s="6"/>
      <c r="Q273" s="5">
        <v>1</v>
      </c>
      <c r="R273" s="5">
        <v>1</v>
      </c>
      <c r="S273" s="5">
        <v>1</v>
      </c>
      <c r="T273" s="5">
        <v>1</v>
      </c>
      <c r="U273" s="5">
        <v>1</v>
      </c>
      <c r="V273" s="5">
        <v>1</v>
      </c>
      <c r="W273" s="5">
        <v>1</v>
      </c>
      <c r="X273" s="5">
        <v>1</v>
      </c>
      <c r="Y273" s="5">
        <v>1</v>
      </c>
      <c r="Z273" s="5">
        <v>1</v>
      </c>
      <c r="AA273" s="5">
        <v>1</v>
      </c>
      <c r="AB273" s="5">
        <v>1</v>
      </c>
      <c r="AC273" s="5">
        <v>1</v>
      </c>
      <c r="AD273" s="5">
        <v>1</v>
      </c>
      <c r="AE273" s="6"/>
      <c r="AF273" s="5">
        <v>1</v>
      </c>
      <c r="AG273" s="5">
        <v>1</v>
      </c>
      <c r="AH273" s="5">
        <v>1</v>
      </c>
      <c r="AI273" s="5">
        <v>1</v>
      </c>
      <c r="AJ273" s="6"/>
      <c r="AK273" s="5">
        <v>1</v>
      </c>
      <c r="AL273" s="5">
        <v>1</v>
      </c>
      <c r="AM273" s="5">
        <v>1</v>
      </c>
    </row>
    <row r="274" spans="1:39" s="7" customFormat="1" x14ac:dyDescent="0.25">
      <c r="A274" s="5">
        <v>208</v>
      </c>
      <c r="B274" s="5">
        <v>1</v>
      </c>
      <c r="C274" s="5">
        <v>1</v>
      </c>
      <c r="D274" s="5">
        <v>1</v>
      </c>
      <c r="E274" s="5">
        <v>1</v>
      </c>
      <c r="F274" s="5">
        <v>1</v>
      </c>
      <c r="G274" s="5">
        <v>1</v>
      </c>
      <c r="H274" s="5">
        <v>1</v>
      </c>
      <c r="I274" s="5">
        <v>1</v>
      </c>
      <c r="J274" s="5">
        <v>1</v>
      </c>
      <c r="K274" s="5">
        <v>1</v>
      </c>
      <c r="L274" s="5">
        <v>1</v>
      </c>
      <c r="M274" s="5">
        <v>1</v>
      </c>
      <c r="N274" s="6"/>
      <c r="O274" s="5">
        <v>1</v>
      </c>
      <c r="P274" s="6"/>
      <c r="Q274" s="5">
        <v>1</v>
      </c>
      <c r="R274" s="5">
        <v>1</v>
      </c>
      <c r="S274" s="5">
        <v>1</v>
      </c>
      <c r="T274" s="5">
        <v>1</v>
      </c>
      <c r="U274" s="5">
        <v>1</v>
      </c>
      <c r="V274" s="5">
        <v>1</v>
      </c>
      <c r="W274" s="5">
        <v>1</v>
      </c>
      <c r="X274" s="5">
        <v>1</v>
      </c>
      <c r="Y274" s="5">
        <v>1</v>
      </c>
      <c r="Z274" s="5">
        <v>1</v>
      </c>
      <c r="AA274" s="5">
        <v>1</v>
      </c>
      <c r="AB274" s="5">
        <v>1</v>
      </c>
      <c r="AC274" s="5">
        <v>1</v>
      </c>
      <c r="AD274" s="5">
        <v>1</v>
      </c>
      <c r="AE274" s="6"/>
      <c r="AF274" s="5">
        <v>1</v>
      </c>
      <c r="AG274" s="5">
        <v>1</v>
      </c>
      <c r="AH274" s="5">
        <v>1</v>
      </c>
      <c r="AI274" s="5">
        <v>1</v>
      </c>
      <c r="AJ274" s="6"/>
      <c r="AK274" s="5">
        <v>1</v>
      </c>
      <c r="AL274" s="5">
        <v>1</v>
      </c>
      <c r="AM274" s="5">
        <v>1</v>
      </c>
    </row>
    <row r="275" spans="1:39" s="7" customFormat="1" x14ac:dyDescent="0.25">
      <c r="A275" s="5">
        <v>209</v>
      </c>
      <c r="B275" s="5">
        <v>1</v>
      </c>
      <c r="C275" s="5">
        <v>1</v>
      </c>
      <c r="D275" s="5">
        <v>1</v>
      </c>
      <c r="E275" s="5">
        <v>1</v>
      </c>
      <c r="F275" s="5">
        <v>1</v>
      </c>
      <c r="G275" s="5">
        <v>1</v>
      </c>
      <c r="H275" s="5">
        <v>1</v>
      </c>
      <c r="I275" s="5">
        <v>1</v>
      </c>
      <c r="J275" s="5">
        <v>1</v>
      </c>
      <c r="K275" s="5">
        <v>1</v>
      </c>
      <c r="L275" s="5">
        <v>1</v>
      </c>
      <c r="M275" s="5">
        <v>1</v>
      </c>
      <c r="N275" s="6"/>
      <c r="O275" s="5">
        <v>1</v>
      </c>
      <c r="P275" s="6"/>
      <c r="Q275" s="5">
        <v>1</v>
      </c>
      <c r="R275" s="5">
        <v>1</v>
      </c>
      <c r="S275" s="5">
        <v>1</v>
      </c>
      <c r="T275" s="5">
        <v>1</v>
      </c>
      <c r="U275" s="5">
        <v>1</v>
      </c>
      <c r="V275" s="5">
        <v>1</v>
      </c>
      <c r="W275" s="5">
        <v>1</v>
      </c>
      <c r="X275" s="5">
        <v>1</v>
      </c>
      <c r="Y275" s="5">
        <v>1</v>
      </c>
      <c r="Z275" s="5">
        <v>1</v>
      </c>
      <c r="AA275" s="5">
        <v>1</v>
      </c>
      <c r="AB275" s="5">
        <v>1</v>
      </c>
      <c r="AC275" s="5">
        <v>1</v>
      </c>
      <c r="AD275" s="5">
        <v>1</v>
      </c>
      <c r="AE275" s="6"/>
      <c r="AF275" s="5">
        <v>1</v>
      </c>
      <c r="AG275" s="5">
        <v>1</v>
      </c>
      <c r="AH275" s="5">
        <v>1</v>
      </c>
      <c r="AI275" s="5">
        <v>1</v>
      </c>
      <c r="AJ275" s="6"/>
      <c r="AK275" s="5">
        <v>1</v>
      </c>
      <c r="AL275" s="5">
        <v>1</v>
      </c>
      <c r="AM275" s="5">
        <v>1</v>
      </c>
    </row>
    <row r="276" spans="1:39" s="7" customFormat="1" x14ac:dyDescent="0.25">
      <c r="A276" s="5">
        <v>210</v>
      </c>
      <c r="B276" s="5">
        <v>1</v>
      </c>
      <c r="C276" s="5">
        <v>1</v>
      </c>
      <c r="D276" s="5">
        <v>1</v>
      </c>
      <c r="E276" s="5">
        <v>1</v>
      </c>
      <c r="F276" s="5">
        <v>1</v>
      </c>
      <c r="G276" s="5">
        <v>1</v>
      </c>
      <c r="H276" s="5">
        <v>1</v>
      </c>
      <c r="I276" s="5">
        <v>1</v>
      </c>
      <c r="J276" s="5">
        <v>1</v>
      </c>
      <c r="K276" s="5">
        <v>1</v>
      </c>
      <c r="L276" s="5">
        <v>1</v>
      </c>
      <c r="M276" s="5">
        <v>1</v>
      </c>
      <c r="N276" s="6"/>
      <c r="O276" s="5">
        <v>1</v>
      </c>
      <c r="P276" s="6"/>
      <c r="Q276" s="5">
        <v>1</v>
      </c>
      <c r="R276" s="5">
        <v>1</v>
      </c>
      <c r="S276" s="5">
        <v>1</v>
      </c>
      <c r="T276" s="5">
        <v>1</v>
      </c>
      <c r="U276" s="5">
        <v>1</v>
      </c>
      <c r="V276" s="5">
        <v>1</v>
      </c>
      <c r="W276" s="5">
        <v>1</v>
      </c>
      <c r="X276" s="5">
        <v>1</v>
      </c>
      <c r="Y276" s="5">
        <v>1</v>
      </c>
      <c r="Z276" s="5">
        <v>1</v>
      </c>
      <c r="AA276" s="5">
        <v>1</v>
      </c>
      <c r="AB276" s="5">
        <v>1</v>
      </c>
      <c r="AC276" s="5">
        <v>1</v>
      </c>
      <c r="AD276" s="5">
        <v>1</v>
      </c>
      <c r="AE276" s="6"/>
      <c r="AF276" s="5">
        <v>1</v>
      </c>
      <c r="AG276" s="5">
        <v>1</v>
      </c>
      <c r="AH276" s="5">
        <v>1</v>
      </c>
      <c r="AI276" s="5">
        <v>1</v>
      </c>
      <c r="AJ276" s="6"/>
      <c r="AK276" s="5">
        <v>1</v>
      </c>
      <c r="AL276" s="5">
        <v>1</v>
      </c>
      <c r="AM276" s="5">
        <v>1</v>
      </c>
    </row>
    <row r="277" spans="1:39" s="7" customFormat="1" x14ac:dyDescent="0.25">
      <c r="A277" s="5">
        <v>211</v>
      </c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5">
        <v>1</v>
      </c>
      <c r="O277" s="6"/>
      <c r="P277" s="5">
        <v>1</v>
      </c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5">
        <v>1</v>
      </c>
      <c r="AF277" s="6"/>
      <c r="AG277" s="6"/>
      <c r="AH277" s="6"/>
      <c r="AI277" s="6"/>
      <c r="AJ277" s="5">
        <v>1</v>
      </c>
      <c r="AK277" s="6"/>
      <c r="AL277" s="6"/>
      <c r="AM277" s="6"/>
    </row>
    <row r="278" spans="1:39" s="7" customFormat="1" x14ac:dyDescent="0.25">
      <c r="A278" s="5">
        <v>212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5">
        <v>1</v>
      </c>
      <c r="O278" s="6"/>
      <c r="P278" s="5">
        <v>1</v>
      </c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5">
        <v>1</v>
      </c>
      <c r="AF278" s="6"/>
      <c r="AG278" s="6"/>
      <c r="AH278" s="6"/>
      <c r="AI278" s="6"/>
      <c r="AJ278" s="5">
        <v>1</v>
      </c>
      <c r="AK278" s="6"/>
      <c r="AL278" s="6"/>
      <c r="AM278" s="6"/>
    </row>
    <row r="279" spans="1:39" s="7" customFormat="1" x14ac:dyDescent="0.25">
      <c r="A279" s="5">
        <v>213</v>
      </c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5">
        <v>1</v>
      </c>
      <c r="O279" s="6"/>
      <c r="P279" s="5">
        <v>1</v>
      </c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5">
        <v>1</v>
      </c>
      <c r="AF279" s="6"/>
      <c r="AG279" s="6"/>
      <c r="AH279" s="6"/>
      <c r="AI279" s="6"/>
      <c r="AJ279" s="5">
        <v>1</v>
      </c>
      <c r="AK279" s="6"/>
      <c r="AL279" s="6"/>
      <c r="AM279" s="6"/>
    </row>
    <row r="280" spans="1:39" s="7" customFormat="1" x14ac:dyDescent="0.25">
      <c r="A280" s="5">
        <v>214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5">
        <v>1</v>
      </c>
      <c r="O280" s="6"/>
      <c r="P280" s="5">
        <v>1</v>
      </c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5">
        <v>1</v>
      </c>
      <c r="AF280" s="6"/>
      <c r="AG280" s="6"/>
      <c r="AH280" s="6"/>
      <c r="AI280" s="6"/>
      <c r="AJ280" s="5">
        <v>1</v>
      </c>
      <c r="AK280" s="6"/>
      <c r="AL280" s="6"/>
      <c r="AM280" s="6"/>
    </row>
    <row r="281" spans="1:39" s="7" customFormat="1" x14ac:dyDescent="0.25">
      <c r="A281" s="5">
        <v>215</v>
      </c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5">
        <v>1</v>
      </c>
      <c r="O281" s="6"/>
      <c r="P281" s="5">
        <v>1</v>
      </c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5">
        <v>1</v>
      </c>
      <c r="AF281" s="6"/>
      <c r="AG281" s="6"/>
      <c r="AH281" s="6"/>
      <c r="AI281" s="6"/>
      <c r="AJ281" s="5">
        <v>1</v>
      </c>
      <c r="AK281" s="6"/>
      <c r="AL281" s="6"/>
      <c r="AM281" s="6"/>
    </row>
    <row r="282" spans="1:39" s="7" customFormat="1" x14ac:dyDescent="0.25">
      <c r="A282" s="5">
        <v>217</v>
      </c>
      <c r="B282" s="5">
        <v>1</v>
      </c>
      <c r="C282" s="5">
        <v>1</v>
      </c>
      <c r="D282" s="5">
        <v>1</v>
      </c>
      <c r="E282" s="5">
        <v>1</v>
      </c>
      <c r="F282" s="5">
        <v>1</v>
      </c>
      <c r="G282" s="5">
        <v>1</v>
      </c>
      <c r="H282" s="5">
        <v>1</v>
      </c>
      <c r="I282" s="5">
        <v>1</v>
      </c>
      <c r="J282" s="5">
        <v>1</v>
      </c>
      <c r="K282" s="5">
        <v>1</v>
      </c>
      <c r="L282" s="5">
        <v>1</v>
      </c>
      <c r="M282" s="5">
        <v>1</v>
      </c>
      <c r="N282" s="5">
        <v>1</v>
      </c>
      <c r="O282" s="5">
        <v>1</v>
      </c>
      <c r="P282" s="5">
        <v>1</v>
      </c>
      <c r="Q282" s="5">
        <v>1</v>
      </c>
      <c r="R282" s="5">
        <v>1</v>
      </c>
      <c r="S282" s="5">
        <v>1</v>
      </c>
      <c r="T282" s="5">
        <v>1</v>
      </c>
      <c r="U282" s="5">
        <v>1</v>
      </c>
      <c r="V282" s="5">
        <v>1</v>
      </c>
      <c r="W282" s="5">
        <v>1</v>
      </c>
      <c r="X282" s="5">
        <v>1</v>
      </c>
      <c r="Y282" s="5">
        <v>1</v>
      </c>
      <c r="Z282" s="5">
        <v>1</v>
      </c>
      <c r="AA282" s="5">
        <v>1</v>
      </c>
      <c r="AB282" s="5">
        <v>1</v>
      </c>
      <c r="AC282" s="5">
        <v>1</v>
      </c>
      <c r="AD282" s="5">
        <v>1</v>
      </c>
      <c r="AE282" s="5">
        <v>1</v>
      </c>
      <c r="AF282" s="5">
        <v>1</v>
      </c>
      <c r="AG282" s="5">
        <v>1</v>
      </c>
      <c r="AH282" s="5">
        <v>1</v>
      </c>
      <c r="AI282" s="5">
        <v>1</v>
      </c>
      <c r="AJ282" s="5">
        <v>1</v>
      </c>
      <c r="AK282" s="5">
        <v>1</v>
      </c>
      <c r="AL282" s="5">
        <v>1</v>
      </c>
      <c r="AM282" s="5">
        <v>1</v>
      </c>
    </row>
    <row r="283" spans="1:39" s="7" customFormat="1" x14ac:dyDescent="0.25">
      <c r="A283" s="5">
        <v>218</v>
      </c>
      <c r="B283" s="6"/>
      <c r="C283" s="6"/>
      <c r="D283" s="6"/>
      <c r="E283" s="6"/>
      <c r="F283" s="6"/>
      <c r="G283" s="5">
        <v>1</v>
      </c>
      <c r="H283" s="6"/>
      <c r="I283" s="6"/>
      <c r="J283" s="6"/>
      <c r="K283" s="6"/>
      <c r="L283" s="6"/>
      <c r="M283" s="6"/>
      <c r="N283" s="6"/>
      <c r="O283" s="6"/>
      <c r="P283" s="6"/>
      <c r="Q283" s="5">
        <v>1</v>
      </c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</row>
    <row r="284" spans="1:39" s="7" customFormat="1" x14ac:dyDescent="0.25">
      <c r="A284" s="5">
        <v>218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5">
        <v>1</v>
      </c>
      <c r="W284" s="6"/>
      <c r="X284" s="5">
        <v>1</v>
      </c>
      <c r="Y284" s="6"/>
      <c r="Z284" s="6"/>
      <c r="AA284" s="6"/>
      <c r="AB284" s="5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</row>
    <row r="285" spans="1:39" s="7" customFormat="1" x14ac:dyDescent="0.25">
      <c r="A285" s="5">
        <v>218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5">
        <v>1</v>
      </c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</row>
    <row r="286" spans="1:39" s="7" customFormat="1" x14ac:dyDescent="0.25">
      <c r="A286" s="5">
        <v>219</v>
      </c>
      <c r="B286" s="6"/>
      <c r="C286" s="5">
        <v>1</v>
      </c>
      <c r="D286" s="6"/>
      <c r="E286" s="6"/>
      <c r="F286" s="6"/>
      <c r="G286" s="5">
        <v>1</v>
      </c>
      <c r="H286" s="6"/>
      <c r="I286" s="6"/>
      <c r="J286" s="5">
        <v>1</v>
      </c>
      <c r="K286" s="6"/>
      <c r="L286" s="5">
        <v>1</v>
      </c>
      <c r="M286" s="6"/>
      <c r="N286" s="6"/>
      <c r="O286" s="5">
        <v>1</v>
      </c>
      <c r="P286" s="6"/>
      <c r="Q286" s="5">
        <v>1</v>
      </c>
      <c r="R286" s="5">
        <v>1</v>
      </c>
      <c r="S286" s="5">
        <v>1</v>
      </c>
      <c r="T286" s="5">
        <v>1</v>
      </c>
      <c r="U286" s="6"/>
      <c r="V286" s="5">
        <v>1</v>
      </c>
      <c r="W286" s="6"/>
      <c r="X286" s="5">
        <v>1</v>
      </c>
      <c r="Y286" s="6"/>
      <c r="Z286" s="5">
        <v>1</v>
      </c>
      <c r="AA286" s="5">
        <v>1</v>
      </c>
      <c r="AB286" s="5">
        <v>1</v>
      </c>
      <c r="AC286" s="6"/>
      <c r="AD286" s="6"/>
      <c r="AE286" s="6"/>
      <c r="AF286" s="6"/>
      <c r="AG286" s="6"/>
      <c r="AH286" s="6"/>
      <c r="AI286" s="6"/>
      <c r="AJ286" s="5">
        <v>1</v>
      </c>
      <c r="AK286" s="6"/>
      <c r="AL286" s="6"/>
      <c r="AM286" s="5">
        <v>1</v>
      </c>
    </row>
    <row r="287" spans="1:39" s="7" customFormat="1" x14ac:dyDescent="0.25">
      <c r="A287" s="5">
        <v>219</v>
      </c>
      <c r="B287" s="5">
        <v>1</v>
      </c>
      <c r="C287" s="6"/>
      <c r="D287" s="6"/>
      <c r="E287" s="5">
        <v>1</v>
      </c>
      <c r="F287" s="5">
        <v>1</v>
      </c>
      <c r="G287" s="6"/>
      <c r="H287" s="5">
        <v>1</v>
      </c>
      <c r="I287" s="5">
        <v>1</v>
      </c>
      <c r="J287" s="6"/>
      <c r="K287" s="5">
        <v>1</v>
      </c>
      <c r="L287" s="6"/>
      <c r="M287" s="5">
        <v>1</v>
      </c>
      <c r="N287" s="5">
        <v>1</v>
      </c>
      <c r="O287" s="6"/>
      <c r="P287" s="5">
        <v>1</v>
      </c>
      <c r="Q287" s="6"/>
      <c r="R287" s="6"/>
      <c r="S287" s="6"/>
      <c r="T287" s="6"/>
      <c r="U287" s="5">
        <v>1</v>
      </c>
      <c r="V287" s="6"/>
      <c r="W287" s="5">
        <v>1</v>
      </c>
      <c r="X287" s="6"/>
      <c r="Y287" s="5">
        <v>1</v>
      </c>
      <c r="Z287" s="6"/>
      <c r="AA287" s="6"/>
      <c r="AB287" s="6"/>
      <c r="AC287" s="5">
        <v>1</v>
      </c>
      <c r="AD287" s="6"/>
      <c r="AE287" s="5">
        <v>1</v>
      </c>
      <c r="AF287" s="5">
        <v>1</v>
      </c>
      <c r="AG287" s="5">
        <v>1</v>
      </c>
      <c r="AH287" s="5">
        <v>1</v>
      </c>
      <c r="AI287" s="6"/>
      <c r="AJ287" s="6"/>
      <c r="AK287" s="5">
        <v>1</v>
      </c>
      <c r="AL287" s="6"/>
      <c r="AM287" s="6"/>
    </row>
    <row r="288" spans="1:39" s="7" customFormat="1" x14ac:dyDescent="0.25">
      <c r="A288" s="5">
        <v>220</v>
      </c>
      <c r="B288" s="6"/>
      <c r="C288" s="5">
        <v>1</v>
      </c>
      <c r="D288" s="6"/>
      <c r="E288" s="6"/>
      <c r="F288" s="6"/>
      <c r="G288" s="5">
        <v>1</v>
      </c>
      <c r="H288" s="6"/>
      <c r="I288" s="6"/>
      <c r="J288" s="5">
        <v>1</v>
      </c>
      <c r="K288" s="6"/>
      <c r="L288" s="5">
        <v>1</v>
      </c>
      <c r="M288" s="6"/>
      <c r="N288" s="6"/>
      <c r="O288" s="5">
        <v>1</v>
      </c>
      <c r="P288" s="6"/>
      <c r="Q288" s="5">
        <v>1</v>
      </c>
      <c r="R288" s="5">
        <v>1</v>
      </c>
      <c r="S288" s="5">
        <v>1</v>
      </c>
      <c r="T288" s="5">
        <v>1</v>
      </c>
      <c r="U288" s="6"/>
      <c r="V288" s="5">
        <v>1</v>
      </c>
      <c r="W288" s="6"/>
      <c r="X288" s="5">
        <v>1</v>
      </c>
      <c r="Y288" s="6"/>
      <c r="Z288" s="5">
        <v>1</v>
      </c>
      <c r="AA288" s="5">
        <v>1</v>
      </c>
      <c r="AB288" s="5">
        <v>1</v>
      </c>
      <c r="AC288" s="6"/>
      <c r="AD288" s="6"/>
      <c r="AE288" s="6"/>
      <c r="AF288" s="6"/>
      <c r="AG288" s="6"/>
      <c r="AH288" s="6"/>
      <c r="AI288" s="6"/>
      <c r="AJ288" s="5">
        <v>1</v>
      </c>
      <c r="AK288" s="6"/>
      <c r="AL288" s="6"/>
      <c r="AM288" s="5">
        <v>1</v>
      </c>
    </row>
    <row r="289" spans="1:39" s="7" customFormat="1" x14ac:dyDescent="0.25">
      <c r="A289" s="5">
        <v>220</v>
      </c>
      <c r="B289" s="5">
        <v>1</v>
      </c>
      <c r="C289" s="6"/>
      <c r="D289" s="6"/>
      <c r="E289" s="5">
        <v>1</v>
      </c>
      <c r="F289" s="5">
        <v>1</v>
      </c>
      <c r="G289" s="6"/>
      <c r="H289" s="5">
        <v>1</v>
      </c>
      <c r="I289" s="5">
        <v>1</v>
      </c>
      <c r="J289" s="6"/>
      <c r="K289" s="5">
        <v>1</v>
      </c>
      <c r="L289" s="6"/>
      <c r="M289" s="5">
        <v>1</v>
      </c>
      <c r="N289" s="5">
        <v>1</v>
      </c>
      <c r="O289" s="6"/>
      <c r="P289" s="5">
        <v>1</v>
      </c>
      <c r="Q289" s="6"/>
      <c r="R289" s="6"/>
      <c r="S289" s="6"/>
      <c r="T289" s="6"/>
      <c r="U289" s="5">
        <v>1</v>
      </c>
      <c r="V289" s="6"/>
      <c r="W289" s="5">
        <v>1</v>
      </c>
      <c r="X289" s="6"/>
      <c r="Y289" s="5">
        <v>1</v>
      </c>
      <c r="Z289" s="6"/>
      <c r="AA289" s="6"/>
      <c r="AB289" s="6"/>
      <c r="AC289" s="5">
        <v>1</v>
      </c>
      <c r="AD289" s="6"/>
      <c r="AE289" s="5">
        <v>1</v>
      </c>
      <c r="AF289" s="5">
        <v>1</v>
      </c>
      <c r="AG289" s="5">
        <v>1</v>
      </c>
      <c r="AH289" s="5">
        <v>1</v>
      </c>
      <c r="AI289" s="6"/>
      <c r="AJ289" s="6"/>
      <c r="AK289" s="5">
        <v>1</v>
      </c>
      <c r="AL289" s="6"/>
      <c r="AM289" s="6"/>
    </row>
    <row r="290" spans="1:39" s="7" customFormat="1" x14ac:dyDescent="0.25">
      <c r="A290" s="5">
        <v>220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5">
        <v>1</v>
      </c>
      <c r="AJ290" s="6"/>
      <c r="AK290" s="6"/>
      <c r="AL290" s="6"/>
      <c r="AM290" s="6"/>
    </row>
    <row r="291" spans="1:39" s="7" customFormat="1" x14ac:dyDescent="0.25">
      <c r="A291" s="5">
        <v>220</v>
      </c>
      <c r="B291" s="6"/>
      <c r="C291" s="6"/>
      <c r="D291" s="5">
        <v>1</v>
      </c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5">
        <v>1</v>
      </c>
      <c r="AE291" s="6"/>
      <c r="AF291" s="6"/>
      <c r="AG291" s="6"/>
      <c r="AH291" s="6"/>
      <c r="AI291" s="6"/>
      <c r="AJ291" s="6"/>
      <c r="AK291" s="6"/>
      <c r="AL291" s="5">
        <v>1</v>
      </c>
      <c r="AM291" s="6"/>
    </row>
    <row r="292" spans="1:39" s="7" customFormat="1" x14ac:dyDescent="0.25">
      <c r="A292" s="5">
        <v>221</v>
      </c>
      <c r="B292" s="6"/>
      <c r="C292" s="5">
        <v>1</v>
      </c>
      <c r="D292" s="6"/>
      <c r="E292" s="6"/>
      <c r="F292" s="6"/>
      <c r="G292" s="5">
        <v>1</v>
      </c>
      <c r="H292" s="6"/>
      <c r="I292" s="6"/>
      <c r="J292" s="5">
        <v>1</v>
      </c>
      <c r="K292" s="6"/>
      <c r="L292" s="5">
        <v>1</v>
      </c>
      <c r="M292" s="6"/>
      <c r="N292" s="6"/>
      <c r="O292" s="5">
        <v>1</v>
      </c>
      <c r="P292" s="6"/>
      <c r="Q292" s="5">
        <v>1</v>
      </c>
      <c r="R292" s="5">
        <v>1</v>
      </c>
      <c r="S292" s="5">
        <v>1</v>
      </c>
      <c r="T292" s="5">
        <v>1</v>
      </c>
      <c r="U292" s="6"/>
      <c r="V292" s="5">
        <v>1</v>
      </c>
      <c r="W292" s="6"/>
      <c r="X292" s="5">
        <v>1</v>
      </c>
      <c r="Y292" s="6"/>
      <c r="Z292" s="5">
        <v>1</v>
      </c>
      <c r="AA292" s="5">
        <v>1</v>
      </c>
      <c r="AB292" s="5">
        <v>1</v>
      </c>
      <c r="AC292" s="6"/>
      <c r="AD292" s="6"/>
      <c r="AE292" s="6"/>
      <c r="AF292" s="6"/>
      <c r="AG292" s="6"/>
      <c r="AH292" s="6"/>
      <c r="AI292" s="6"/>
      <c r="AJ292" s="5">
        <v>1</v>
      </c>
      <c r="AK292" s="6"/>
      <c r="AL292" s="6"/>
      <c r="AM292" s="5">
        <v>1</v>
      </c>
    </row>
    <row r="293" spans="1:39" s="7" customFormat="1" x14ac:dyDescent="0.25">
      <c r="A293" s="5">
        <v>221</v>
      </c>
      <c r="B293" s="5">
        <v>1</v>
      </c>
      <c r="C293" s="6"/>
      <c r="D293" s="6"/>
      <c r="E293" s="5">
        <v>1</v>
      </c>
      <c r="F293" s="5">
        <v>1</v>
      </c>
      <c r="G293" s="6"/>
      <c r="H293" s="5">
        <v>1</v>
      </c>
      <c r="I293" s="5">
        <v>1</v>
      </c>
      <c r="J293" s="6"/>
      <c r="K293" s="5">
        <v>1</v>
      </c>
      <c r="L293" s="6"/>
      <c r="M293" s="5">
        <v>1</v>
      </c>
      <c r="N293" s="5">
        <v>1</v>
      </c>
      <c r="O293" s="6"/>
      <c r="P293" s="5">
        <v>1</v>
      </c>
      <c r="Q293" s="6"/>
      <c r="R293" s="6"/>
      <c r="S293" s="6"/>
      <c r="T293" s="6"/>
      <c r="U293" s="5">
        <v>1</v>
      </c>
      <c r="V293" s="6"/>
      <c r="W293" s="5">
        <v>1</v>
      </c>
      <c r="X293" s="6"/>
      <c r="Y293" s="5">
        <v>1</v>
      </c>
      <c r="Z293" s="6"/>
      <c r="AA293" s="6"/>
      <c r="AB293" s="6"/>
      <c r="AC293" s="5">
        <v>1</v>
      </c>
      <c r="AD293" s="6"/>
      <c r="AE293" s="5">
        <v>1</v>
      </c>
      <c r="AF293" s="5">
        <v>1</v>
      </c>
      <c r="AG293" s="5">
        <v>1</v>
      </c>
      <c r="AH293" s="5">
        <v>1</v>
      </c>
      <c r="AI293" s="6"/>
      <c r="AJ293" s="6"/>
      <c r="AK293" s="5">
        <v>1</v>
      </c>
      <c r="AL293" s="6"/>
      <c r="AM293" s="6"/>
    </row>
    <row r="294" spans="1:39" s="7" customFormat="1" x14ac:dyDescent="0.25">
      <c r="A294" s="5">
        <v>221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5">
        <v>1</v>
      </c>
      <c r="AJ294" s="6"/>
      <c r="AK294" s="6"/>
      <c r="AL294" s="6"/>
      <c r="AM294" s="6"/>
    </row>
    <row r="295" spans="1:39" s="7" customFormat="1" x14ac:dyDescent="0.25">
      <c r="A295" s="5">
        <v>221</v>
      </c>
      <c r="B295" s="6"/>
      <c r="C295" s="6"/>
      <c r="D295" s="5">
        <v>1</v>
      </c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5">
        <v>1</v>
      </c>
      <c r="AE295" s="6"/>
      <c r="AF295" s="6"/>
      <c r="AG295" s="6"/>
      <c r="AH295" s="6"/>
      <c r="AI295" s="6"/>
      <c r="AJ295" s="6"/>
      <c r="AK295" s="6"/>
      <c r="AL295" s="5">
        <v>1</v>
      </c>
      <c r="AM295" s="6"/>
    </row>
    <row r="296" spans="1:39" s="7" customFormat="1" x14ac:dyDescent="0.25">
      <c r="A296" s="5">
        <v>222</v>
      </c>
      <c r="B296" s="6"/>
      <c r="C296" s="5">
        <v>1</v>
      </c>
      <c r="D296" s="6"/>
      <c r="E296" s="6"/>
      <c r="F296" s="6"/>
      <c r="G296" s="5">
        <v>1</v>
      </c>
      <c r="H296" s="6"/>
      <c r="I296" s="6"/>
      <c r="J296" s="5">
        <v>1</v>
      </c>
      <c r="K296" s="6"/>
      <c r="L296" s="5">
        <v>1</v>
      </c>
      <c r="M296" s="6"/>
      <c r="N296" s="6"/>
      <c r="O296" s="5">
        <v>1</v>
      </c>
      <c r="P296" s="6"/>
      <c r="Q296" s="5">
        <v>1</v>
      </c>
      <c r="R296" s="5">
        <v>1</v>
      </c>
      <c r="S296" s="5"/>
      <c r="T296" s="5">
        <v>1</v>
      </c>
      <c r="U296" s="6"/>
      <c r="V296" s="5">
        <v>1</v>
      </c>
      <c r="W296" s="6"/>
      <c r="X296" s="5">
        <v>1</v>
      </c>
      <c r="Y296" s="6"/>
      <c r="Z296" s="5">
        <v>1</v>
      </c>
      <c r="AA296" s="5">
        <v>1</v>
      </c>
      <c r="AB296" s="5">
        <v>1</v>
      </c>
      <c r="AC296" s="6"/>
      <c r="AD296" s="6"/>
      <c r="AE296" s="6"/>
      <c r="AF296" s="6"/>
      <c r="AG296" s="6"/>
      <c r="AH296" s="6"/>
      <c r="AI296" s="5">
        <v>1</v>
      </c>
      <c r="AJ296" s="5"/>
      <c r="AK296" s="6"/>
      <c r="AL296" s="6"/>
      <c r="AM296" s="5">
        <v>1</v>
      </c>
    </row>
    <row r="297" spans="1:39" s="7" customFormat="1" x14ac:dyDescent="0.25">
      <c r="A297" s="5">
        <v>222</v>
      </c>
      <c r="B297" s="5">
        <v>1</v>
      </c>
      <c r="C297" s="6"/>
      <c r="D297" s="5">
        <v>1</v>
      </c>
      <c r="E297" s="5">
        <v>1</v>
      </c>
      <c r="F297" s="5">
        <v>1</v>
      </c>
      <c r="G297" s="6"/>
      <c r="H297" s="5"/>
      <c r="I297" s="5">
        <v>1</v>
      </c>
      <c r="J297" s="6"/>
      <c r="K297" s="5">
        <v>1</v>
      </c>
      <c r="L297" s="6"/>
      <c r="M297" s="5">
        <v>1</v>
      </c>
      <c r="N297" s="5"/>
      <c r="O297" s="6"/>
      <c r="P297" s="5">
        <v>1</v>
      </c>
      <c r="Q297" s="6"/>
      <c r="R297" s="6"/>
      <c r="S297" s="6"/>
      <c r="T297" s="6"/>
      <c r="U297" s="5">
        <v>1</v>
      </c>
      <c r="V297" s="6"/>
      <c r="W297" s="5">
        <v>1</v>
      </c>
      <c r="X297" s="6"/>
      <c r="Y297" s="5">
        <v>1</v>
      </c>
      <c r="Z297" s="6"/>
      <c r="AA297" s="6"/>
      <c r="AB297" s="6"/>
      <c r="AC297" s="5">
        <v>1</v>
      </c>
      <c r="AD297" s="5">
        <v>1</v>
      </c>
      <c r="AE297" s="5"/>
      <c r="AF297" s="5">
        <v>1</v>
      </c>
      <c r="AG297" s="5"/>
      <c r="AH297" s="5"/>
      <c r="AI297" s="6"/>
      <c r="AJ297" s="6"/>
      <c r="AK297" s="5">
        <v>1</v>
      </c>
      <c r="AL297" s="5">
        <v>1</v>
      </c>
      <c r="AM297" s="6"/>
    </row>
    <row r="298" spans="1:39" s="7" customFormat="1" x14ac:dyDescent="0.25">
      <c r="A298" s="5">
        <v>223</v>
      </c>
      <c r="B298" s="5">
        <v>1</v>
      </c>
      <c r="C298" s="6"/>
      <c r="D298" s="5">
        <v>1</v>
      </c>
      <c r="E298" s="5">
        <v>1</v>
      </c>
      <c r="F298" s="6"/>
      <c r="G298" s="6"/>
      <c r="H298" s="6"/>
      <c r="I298" s="6"/>
      <c r="J298" s="6"/>
      <c r="K298" s="6"/>
      <c r="L298" s="6"/>
      <c r="M298" s="6"/>
      <c r="N298" s="5">
        <v>1</v>
      </c>
      <c r="O298" s="6"/>
      <c r="P298" s="6"/>
      <c r="Q298" s="6"/>
      <c r="R298" s="6"/>
      <c r="S298" s="6"/>
      <c r="T298" s="6"/>
      <c r="U298" s="5">
        <v>1</v>
      </c>
      <c r="V298" s="6"/>
      <c r="W298" s="6"/>
      <c r="X298" s="6"/>
      <c r="Y298" s="5">
        <v>1</v>
      </c>
      <c r="Z298" s="6"/>
      <c r="AA298" s="6"/>
      <c r="AB298" s="6"/>
      <c r="AC298" s="6"/>
      <c r="AD298" s="6"/>
      <c r="AE298" s="6"/>
      <c r="AF298" s="6"/>
      <c r="AG298" s="5">
        <v>1</v>
      </c>
      <c r="AH298" s="6"/>
      <c r="AI298" s="6"/>
      <c r="AJ298" s="6"/>
      <c r="AK298" s="6"/>
      <c r="AL298" s="5">
        <v>1</v>
      </c>
      <c r="AM298" s="6"/>
    </row>
    <row r="299" spans="1:39" s="7" customFormat="1" x14ac:dyDescent="0.25">
      <c r="A299" s="5">
        <v>223</v>
      </c>
      <c r="B299" s="6"/>
      <c r="C299" s="5">
        <v>1</v>
      </c>
      <c r="D299" s="6"/>
      <c r="E299" s="6"/>
      <c r="F299" s="5">
        <v>1</v>
      </c>
      <c r="G299" s="5">
        <v>1</v>
      </c>
      <c r="H299" s="5">
        <v>1</v>
      </c>
      <c r="I299" s="5">
        <v>1</v>
      </c>
      <c r="J299" s="5">
        <v>1</v>
      </c>
      <c r="K299" s="5">
        <v>1</v>
      </c>
      <c r="L299" s="5">
        <v>1</v>
      </c>
      <c r="M299" s="5">
        <v>1</v>
      </c>
      <c r="N299" s="6"/>
      <c r="O299" s="5">
        <v>1</v>
      </c>
      <c r="P299" s="5">
        <v>1</v>
      </c>
      <c r="Q299" s="5">
        <v>1</v>
      </c>
      <c r="R299" s="5">
        <v>1</v>
      </c>
      <c r="S299" s="5">
        <v>1</v>
      </c>
      <c r="T299" s="5">
        <v>1</v>
      </c>
      <c r="U299" s="6"/>
      <c r="V299" s="5">
        <v>1</v>
      </c>
      <c r="W299" s="5">
        <v>1</v>
      </c>
      <c r="X299" s="5">
        <v>1</v>
      </c>
      <c r="Y299" s="6"/>
      <c r="Z299" s="5">
        <v>1</v>
      </c>
      <c r="AA299" s="5">
        <v>1</v>
      </c>
      <c r="AB299" s="5">
        <v>1</v>
      </c>
      <c r="AC299" s="5">
        <v>1</v>
      </c>
      <c r="AD299" s="5">
        <v>1</v>
      </c>
      <c r="AE299" s="5">
        <v>1</v>
      </c>
      <c r="AF299" s="5">
        <v>1</v>
      </c>
      <c r="AG299" s="6"/>
      <c r="AH299" s="5">
        <v>1</v>
      </c>
      <c r="AI299" s="5">
        <v>1</v>
      </c>
      <c r="AJ299" s="5">
        <v>1</v>
      </c>
      <c r="AK299" s="5">
        <v>1</v>
      </c>
      <c r="AL299" s="6"/>
      <c r="AM299" s="5">
        <v>1</v>
      </c>
    </row>
    <row r="300" spans="1:39" s="7" customFormat="1" x14ac:dyDescent="0.25">
      <c r="A300" s="5">
        <v>224</v>
      </c>
      <c r="B300" s="6"/>
      <c r="C300" s="5">
        <v>1</v>
      </c>
      <c r="D300" s="6"/>
      <c r="E300" s="6"/>
      <c r="F300" s="6"/>
      <c r="G300" s="5">
        <v>1</v>
      </c>
      <c r="H300" s="6"/>
      <c r="I300" s="6"/>
      <c r="J300" s="5">
        <v>1</v>
      </c>
      <c r="K300" s="6"/>
      <c r="L300" s="5">
        <v>1</v>
      </c>
      <c r="M300" s="6"/>
      <c r="N300" s="6"/>
      <c r="O300" s="5">
        <v>1</v>
      </c>
      <c r="P300" s="6"/>
      <c r="Q300" s="5">
        <v>1</v>
      </c>
      <c r="R300" s="5">
        <v>1</v>
      </c>
      <c r="S300" s="5">
        <v>1</v>
      </c>
      <c r="T300" s="5">
        <v>1</v>
      </c>
      <c r="U300" s="6"/>
      <c r="V300" s="5">
        <v>1</v>
      </c>
      <c r="W300" s="6"/>
      <c r="X300" s="5">
        <v>1</v>
      </c>
      <c r="Y300" s="6"/>
      <c r="Z300" s="5">
        <v>1</v>
      </c>
      <c r="AA300" s="5">
        <v>1</v>
      </c>
      <c r="AB300" s="5">
        <v>1</v>
      </c>
      <c r="AC300" s="6"/>
      <c r="AD300" s="6"/>
      <c r="AE300" s="6"/>
      <c r="AF300" s="6"/>
      <c r="AG300" s="6"/>
      <c r="AH300" s="6"/>
      <c r="AI300" s="6"/>
      <c r="AJ300" s="5">
        <v>1</v>
      </c>
      <c r="AK300" s="6"/>
      <c r="AL300" s="6"/>
      <c r="AM300" s="5">
        <v>1</v>
      </c>
    </row>
    <row r="301" spans="1:39" s="7" customFormat="1" x14ac:dyDescent="0.25">
      <c r="A301" s="5">
        <v>224</v>
      </c>
      <c r="B301" s="5">
        <v>1</v>
      </c>
      <c r="C301" s="6"/>
      <c r="D301" s="6"/>
      <c r="E301" s="5">
        <v>1</v>
      </c>
      <c r="F301" s="5">
        <v>1</v>
      </c>
      <c r="G301" s="6"/>
      <c r="H301" s="5">
        <v>1</v>
      </c>
      <c r="I301" s="5">
        <v>1</v>
      </c>
      <c r="J301" s="6"/>
      <c r="K301" s="5">
        <v>1</v>
      </c>
      <c r="L301" s="6"/>
      <c r="M301" s="5">
        <v>1</v>
      </c>
      <c r="N301" s="5">
        <v>1</v>
      </c>
      <c r="O301" s="6"/>
      <c r="P301" s="5">
        <v>1</v>
      </c>
      <c r="Q301" s="6"/>
      <c r="R301" s="6"/>
      <c r="S301" s="6"/>
      <c r="T301" s="6"/>
      <c r="U301" s="5">
        <v>1</v>
      </c>
      <c r="V301" s="6"/>
      <c r="W301" s="5">
        <v>1</v>
      </c>
      <c r="X301" s="6"/>
      <c r="Y301" s="5">
        <v>1</v>
      </c>
      <c r="Z301" s="6"/>
      <c r="AA301" s="6"/>
      <c r="AB301" s="6"/>
      <c r="AC301" s="5">
        <v>1</v>
      </c>
      <c r="AD301" s="6"/>
      <c r="AE301" s="5">
        <v>1</v>
      </c>
      <c r="AF301" s="5">
        <v>1</v>
      </c>
      <c r="AG301" s="5">
        <v>1</v>
      </c>
      <c r="AH301" s="5">
        <v>1</v>
      </c>
      <c r="AI301" s="6"/>
      <c r="AJ301" s="6"/>
      <c r="AK301" s="5">
        <v>1</v>
      </c>
      <c r="AL301" s="6"/>
      <c r="AM301" s="6"/>
    </row>
    <row r="302" spans="1:39" s="7" customFormat="1" x14ac:dyDescent="0.25">
      <c r="A302" s="5">
        <v>224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5">
        <v>1</v>
      </c>
      <c r="AJ302" s="6"/>
      <c r="AK302" s="6"/>
      <c r="AL302" s="6"/>
      <c r="AM302" s="6"/>
    </row>
    <row r="303" spans="1:39" s="7" customFormat="1" x14ac:dyDescent="0.25">
      <c r="A303" s="5">
        <v>224</v>
      </c>
      <c r="B303" s="6"/>
      <c r="C303" s="6"/>
      <c r="D303" s="5">
        <v>1</v>
      </c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5">
        <v>1</v>
      </c>
      <c r="AE303" s="6"/>
      <c r="AF303" s="6"/>
      <c r="AG303" s="6"/>
      <c r="AH303" s="6"/>
      <c r="AI303" s="6"/>
      <c r="AJ303" s="6"/>
      <c r="AK303" s="6"/>
      <c r="AL303" s="5">
        <v>1</v>
      </c>
      <c r="AM303" s="6"/>
    </row>
    <row r="304" spans="1:39" s="7" customFormat="1" x14ac:dyDescent="0.25">
      <c r="A304" s="5">
        <v>225</v>
      </c>
      <c r="B304" s="6"/>
      <c r="C304" s="5">
        <v>1</v>
      </c>
      <c r="D304" s="6"/>
      <c r="E304" s="6"/>
      <c r="F304" s="6"/>
      <c r="G304" s="5">
        <v>1</v>
      </c>
      <c r="H304" s="6"/>
      <c r="I304" s="6"/>
      <c r="J304" s="5">
        <v>1</v>
      </c>
      <c r="K304" s="6"/>
      <c r="L304" s="5">
        <v>1</v>
      </c>
      <c r="M304" s="6"/>
      <c r="N304" s="6"/>
      <c r="O304" s="5">
        <v>1</v>
      </c>
      <c r="P304" s="6"/>
      <c r="Q304" s="5">
        <v>1</v>
      </c>
      <c r="R304" s="5">
        <v>1</v>
      </c>
      <c r="S304" s="5">
        <v>1</v>
      </c>
      <c r="T304" s="5">
        <v>1</v>
      </c>
      <c r="U304" s="6"/>
      <c r="V304" s="5">
        <v>1</v>
      </c>
      <c r="W304" s="6"/>
      <c r="X304" s="5">
        <v>1</v>
      </c>
      <c r="Y304" s="6"/>
      <c r="Z304" s="5">
        <v>1</v>
      </c>
      <c r="AA304" s="5">
        <v>1</v>
      </c>
      <c r="AB304" s="5">
        <v>1</v>
      </c>
      <c r="AC304" s="6"/>
      <c r="AD304" s="6"/>
      <c r="AE304" s="6"/>
      <c r="AF304" s="6"/>
      <c r="AG304" s="6"/>
      <c r="AH304" s="6"/>
      <c r="AI304" s="6"/>
      <c r="AJ304" s="5">
        <v>1</v>
      </c>
      <c r="AK304" s="6"/>
      <c r="AL304" s="6"/>
      <c r="AM304" s="5">
        <v>1</v>
      </c>
    </row>
    <row r="305" spans="1:39" s="7" customFormat="1" x14ac:dyDescent="0.25">
      <c r="A305" s="5">
        <v>225</v>
      </c>
      <c r="B305" s="5">
        <v>1</v>
      </c>
      <c r="C305" s="6"/>
      <c r="D305" s="6"/>
      <c r="E305" s="5">
        <v>1</v>
      </c>
      <c r="F305" s="5">
        <v>1</v>
      </c>
      <c r="G305" s="6"/>
      <c r="H305" s="5">
        <v>1</v>
      </c>
      <c r="I305" s="5">
        <v>1</v>
      </c>
      <c r="J305" s="6"/>
      <c r="K305" s="5">
        <v>1</v>
      </c>
      <c r="L305" s="6"/>
      <c r="M305" s="5">
        <v>1</v>
      </c>
      <c r="N305" s="5">
        <v>1</v>
      </c>
      <c r="O305" s="6"/>
      <c r="P305" s="5">
        <v>1</v>
      </c>
      <c r="Q305" s="6"/>
      <c r="R305" s="6"/>
      <c r="S305" s="6"/>
      <c r="T305" s="6"/>
      <c r="U305" s="5">
        <v>1</v>
      </c>
      <c r="V305" s="6"/>
      <c r="W305" s="5">
        <v>1</v>
      </c>
      <c r="X305" s="6"/>
      <c r="Y305" s="5">
        <v>1</v>
      </c>
      <c r="Z305" s="6"/>
      <c r="AA305" s="6"/>
      <c r="AB305" s="6"/>
      <c r="AC305" s="5">
        <v>1</v>
      </c>
      <c r="AD305" s="6"/>
      <c r="AE305" s="5">
        <v>1</v>
      </c>
      <c r="AF305" s="5">
        <v>1</v>
      </c>
      <c r="AG305" s="5">
        <v>1</v>
      </c>
      <c r="AH305" s="5">
        <v>1</v>
      </c>
      <c r="AI305" s="6"/>
      <c r="AJ305" s="6"/>
      <c r="AK305" s="5">
        <v>1</v>
      </c>
      <c r="AL305" s="6"/>
      <c r="AM305" s="6"/>
    </row>
    <row r="306" spans="1:39" s="7" customFormat="1" x14ac:dyDescent="0.25">
      <c r="A306" s="5">
        <v>225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5">
        <v>1</v>
      </c>
      <c r="AJ306" s="6"/>
      <c r="AK306" s="6"/>
      <c r="AL306" s="6"/>
      <c r="AM306" s="6"/>
    </row>
    <row r="307" spans="1:39" s="7" customFormat="1" x14ac:dyDescent="0.25">
      <c r="A307" s="5">
        <v>225</v>
      </c>
      <c r="B307" s="6"/>
      <c r="C307" s="6"/>
      <c r="D307" s="5">
        <v>1</v>
      </c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5">
        <v>1</v>
      </c>
      <c r="AE307" s="6"/>
      <c r="AF307" s="6"/>
      <c r="AG307" s="6"/>
      <c r="AH307" s="6"/>
      <c r="AI307" s="6"/>
      <c r="AJ307" s="6"/>
      <c r="AK307" s="6"/>
      <c r="AL307" s="5">
        <v>1</v>
      </c>
      <c r="AM307" s="6"/>
    </row>
    <row r="308" spans="1:39" s="7" customFormat="1" x14ac:dyDescent="0.25">
      <c r="A308" s="5">
        <v>226</v>
      </c>
      <c r="B308" s="6"/>
      <c r="C308" s="5">
        <v>1</v>
      </c>
      <c r="D308" s="6"/>
      <c r="E308" s="6"/>
      <c r="F308" s="6"/>
      <c r="G308" s="5">
        <v>1</v>
      </c>
      <c r="H308" s="6"/>
      <c r="I308" s="6"/>
      <c r="J308" s="5">
        <v>1</v>
      </c>
      <c r="K308" s="6"/>
      <c r="L308" s="5">
        <v>1</v>
      </c>
      <c r="M308" s="6"/>
      <c r="N308" s="6"/>
      <c r="O308" s="5">
        <v>1</v>
      </c>
      <c r="P308" s="6"/>
      <c r="Q308" s="5">
        <v>1</v>
      </c>
      <c r="R308" s="5">
        <v>1</v>
      </c>
      <c r="S308" s="5"/>
      <c r="T308" s="5">
        <v>1</v>
      </c>
      <c r="U308" s="6"/>
      <c r="V308" s="5">
        <v>1</v>
      </c>
      <c r="W308" s="6"/>
      <c r="X308" s="5">
        <v>1</v>
      </c>
      <c r="Y308" s="6"/>
      <c r="Z308" s="5">
        <v>1</v>
      </c>
      <c r="AA308" s="5">
        <v>1</v>
      </c>
      <c r="AB308" s="5">
        <v>1</v>
      </c>
      <c r="AC308" s="6"/>
      <c r="AD308" s="6"/>
      <c r="AE308" s="6"/>
      <c r="AF308" s="6"/>
      <c r="AG308" s="6"/>
      <c r="AH308" s="6"/>
      <c r="AI308" s="5">
        <v>1</v>
      </c>
      <c r="AJ308" s="5"/>
      <c r="AK308" s="6"/>
      <c r="AL308" s="6"/>
      <c r="AM308" s="5">
        <v>1</v>
      </c>
    </row>
    <row r="309" spans="1:39" s="7" customFormat="1" x14ac:dyDescent="0.25">
      <c r="A309" s="5">
        <v>226</v>
      </c>
      <c r="B309" s="5">
        <v>1</v>
      </c>
      <c r="C309" s="6"/>
      <c r="D309" s="5">
        <v>1</v>
      </c>
      <c r="E309" s="5">
        <v>1</v>
      </c>
      <c r="F309" s="5">
        <v>1</v>
      </c>
      <c r="G309" s="6"/>
      <c r="H309" s="5"/>
      <c r="I309" s="5">
        <v>1</v>
      </c>
      <c r="J309" s="6"/>
      <c r="K309" s="5">
        <v>1</v>
      </c>
      <c r="L309" s="6"/>
      <c r="M309" s="5">
        <v>1</v>
      </c>
      <c r="N309" s="5"/>
      <c r="O309" s="6"/>
      <c r="P309" s="5">
        <v>1</v>
      </c>
      <c r="Q309" s="6"/>
      <c r="R309" s="6"/>
      <c r="S309" s="6"/>
      <c r="T309" s="6"/>
      <c r="U309" s="5">
        <v>1</v>
      </c>
      <c r="V309" s="6"/>
      <c r="W309" s="5">
        <v>1</v>
      </c>
      <c r="X309" s="6"/>
      <c r="Y309" s="5">
        <v>1</v>
      </c>
      <c r="Z309" s="6"/>
      <c r="AA309" s="6"/>
      <c r="AB309" s="6"/>
      <c r="AC309" s="5">
        <v>1</v>
      </c>
      <c r="AD309" s="5">
        <v>1</v>
      </c>
      <c r="AE309" s="5"/>
      <c r="AF309" s="5">
        <v>1</v>
      </c>
      <c r="AG309" s="5"/>
      <c r="AH309" s="5"/>
      <c r="AI309" s="6"/>
      <c r="AJ309" s="6"/>
      <c r="AK309" s="5">
        <v>1</v>
      </c>
      <c r="AL309" s="5">
        <v>1</v>
      </c>
      <c r="AM309" s="6"/>
    </row>
    <row r="310" spans="1:39" s="7" customFormat="1" x14ac:dyDescent="0.25">
      <c r="A310" s="5">
        <v>227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5">
        <v>1</v>
      </c>
      <c r="M310" s="6"/>
      <c r="N310" s="6"/>
      <c r="O310" s="6"/>
      <c r="P310" s="6"/>
      <c r="Q310" s="5">
        <v>1</v>
      </c>
      <c r="R310" s="6"/>
      <c r="S310" s="6"/>
      <c r="T310" s="5">
        <v>1</v>
      </c>
      <c r="U310" s="6"/>
      <c r="V310" s="6"/>
      <c r="W310" s="6"/>
      <c r="X310" s="5">
        <v>1</v>
      </c>
      <c r="Y310" s="6"/>
      <c r="Z310" s="6"/>
      <c r="AA310" s="5">
        <v>1</v>
      </c>
      <c r="AB310" s="6"/>
      <c r="AC310" s="6"/>
      <c r="AD310" s="6"/>
      <c r="AE310" s="6"/>
      <c r="AF310" s="6"/>
      <c r="AG310" s="6"/>
      <c r="AH310" s="6"/>
      <c r="AI310" s="5">
        <v>1</v>
      </c>
      <c r="AJ310" s="6"/>
      <c r="AK310" s="6"/>
      <c r="AL310" s="6"/>
      <c r="AM310" s="6"/>
    </row>
    <row r="311" spans="1:39" s="7" customFormat="1" x14ac:dyDescent="0.25">
      <c r="A311" s="5">
        <v>227</v>
      </c>
      <c r="B311" s="6"/>
      <c r="C311" s="5">
        <v>1</v>
      </c>
      <c r="D311" s="6"/>
      <c r="E311" s="6"/>
      <c r="F311" s="6"/>
      <c r="G311" s="5">
        <v>1</v>
      </c>
      <c r="H311" s="6"/>
      <c r="I311" s="6"/>
      <c r="J311" s="5">
        <v>1</v>
      </c>
      <c r="K311" s="6"/>
      <c r="L311" s="6"/>
      <c r="M311" s="6"/>
      <c r="N311" s="6"/>
      <c r="O311" s="5">
        <v>1</v>
      </c>
      <c r="P311" s="6"/>
      <c r="Q311" s="6"/>
      <c r="R311" s="5">
        <v>1</v>
      </c>
      <c r="S311" s="5">
        <v>1</v>
      </c>
      <c r="T311" s="6"/>
      <c r="U311" s="6"/>
      <c r="V311" s="5">
        <v>1</v>
      </c>
      <c r="W311" s="6"/>
      <c r="X311" s="6"/>
      <c r="Y311" s="6"/>
      <c r="Z311" s="5">
        <v>1</v>
      </c>
      <c r="AA311" s="6"/>
      <c r="AB311" s="5">
        <v>1</v>
      </c>
      <c r="AC311" s="6"/>
      <c r="AD311" s="6"/>
      <c r="AE311" s="6"/>
      <c r="AF311" s="6"/>
      <c r="AG311" s="6"/>
      <c r="AH311" s="6"/>
      <c r="AI311" s="6"/>
      <c r="AJ311" s="5">
        <v>1</v>
      </c>
      <c r="AK311" s="6"/>
      <c r="AL311" s="6"/>
      <c r="AM311" s="5">
        <v>1</v>
      </c>
    </row>
    <row r="312" spans="1:39" s="7" customFormat="1" x14ac:dyDescent="0.25">
      <c r="A312" s="5">
        <v>228</v>
      </c>
      <c r="B312" s="6"/>
      <c r="C312" s="5">
        <v>1</v>
      </c>
      <c r="D312" s="6"/>
      <c r="E312" s="6"/>
      <c r="F312" s="6"/>
      <c r="G312" s="5">
        <v>1</v>
      </c>
      <c r="H312" s="6"/>
      <c r="I312" s="6"/>
      <c r="J312" s="5">
        <v>1</v>
      </c>
      <c r="K312" s="6"/>
      <c r="L312" s="5">
        <v>1</v>
      </c>
      <c r="M312" s="6"/>
      <c r="N312" s="6"/>
      <c r="O312" s="5">
        <v>1</v>
      </c>
      <c r="P312" s="6"/>
      <c r="Q312" s="5">
        <v>1</v>
      </c>
      <c r="R312" s="5">
        <v>1</v>
      </c>
      <c r="S312" s="5">
        <v>1</v>
      </c>
      <c r="T312" s="5">
        <v>1</v>
      </c>
      <c r="U312" s="6"/>
      <c r="V312" s="5">
        <v>1</v>
      </c>
      <c r="W312" s="6"/>
      <c r="X312" s="5">
        <v>1</v>
      </c>
      <c r="Y312" s="6"/>
      <c r="Z312" s="5">
        <v>1</v>
      </c>
      <c r="AA312" s="5">
        <v>1</v>
      </c>
      <c r="AB312" s="5">
        <v>1</v>
      </c>
      <c r="AC312" s="6"/>
      <c r="AD312" s="6"/>
      <c r="AE312" s="6"/>
      <c r="AF312" s="6"/>
      <c r="AG312" s="6"/>
      <c r="AH312" s="6"/>
      <c r="AI312" s="5">
        <v>1</v>
      </c>
      <c r="AJ312" s="5">
        <v>1</v>
      </c>
      <c r="AK312" s="6"/>
      <c r="AL312" s="6"/>
      <c r="AM312" s="5">
        <v>1</v>
      </c>
    </row>
    <row r="313" spans="1:39" s="7" customFormat="1" x14ac:dyDescent="0.25">
      <c r="A313" s="5">
        <v>229</v>
      </c>
      <c r="B313" s="6"/>
      <c r="C313" s="5">
        <v>1</v>
      </c>
      <c r="D313" s="6"/>
      <c r="E313" s="6"/>
      <c r="F313" s="6"/>
      <c r="G313" s="5">
        <v>1</v>
      </c>
      <c r="H313" s="6"/>
      <c r="I313" s="6"/>
      <c r="J313" s="5">
        <v>1</v>
      </c>
      <c r="K313" s="6"/>
      <c r="L313" s="5">
        <v>1</v>
      </c>
      <c r="M313" s="6"/>
      <c r="N313" s="6"/>
      <c r="O313" s="5">
        <v>1</v>
      </c>
      <c r="P313" s="6"/>
      <c r="Q313" s="5">
        <v>1</v>
      </c>
      <c r="R313" s="5">
        <v>1</v>
      </c>
      <c r="S313" s="5">
        <v>1</v>
      </c>
      <c r="T313" s="5">
        <v>1</v>
      </c>
      <c r="U313" s="6"/>
      <c r="V313" s="5">
        <v>1</v>
      </c>
      <c r="W313" s="6"/>
      <c r="X313" s="5">
        <v>1</v>
      </c>
      <c r="Y313" s="6"/>
      <c r="Z313" s="5">
        <v>1</v>
      </c>
      <c r="AA313" s="5">
        <v>1</v>
      </c>
      <c r="AB313" s="5">
        <v>1</v>
      </c>
      <c r="AC313" s="6"/>
      <c r="AD313" s="6"/>
      <c r="AE313" s="6"/>
      <c r="AF313" s="6"/>
      <c r="AG313" s="6"/>
      <c r="AH313" s="6"/>
      <c r="AI313" s="5">
        <v>1</v>
      </c>
      <c r="AJ313" s="5">
        <v>1</v>
      </c>
      <c r="AK313" s="6"/>
      <c r="AL313" s="6"/>
      <c r="AM313" s="5">
        <v>1</v>
      </c>
    </row>
    <row r="314" spans="1:39" s="7" customFormat="1" x14ac:dyDescent="0.25">
      <c r="A314" s="5">
        <v>230</v>
      </c>
      <c r="B314" s="6"/>
      <c r="C314" s="5">
        <v>1</v>
      </c>
      <c r="D314" s="6"/>
      <c r="E314" s="6"/>
      <c r="F314" s="6"/>
      <c r="G314" s="5">
        <v>1</v>
      </c>
      <c r="H314" s="6"/>
      <c r="I314" s="6"/>
      <c r="J314" s="5">
        <v>1</v>
      </c>
      <c r="K314" s="6"/>
      <c r="L314" s="5">
        <v>1</v>
      </c>
      <c r="M314" s="6"/>
      <c r="N314" s="6"/>
      <c r="O314" s="5">
        <v>1</v>
      </c>
      <c r="P314" s="6"/>
      <c r="Q314" s="5">
        <v>1</v>
      </c>
      <c r="R314" s="5">
        <v>1</v>
      </c>
      <c r="S314" s="5">
        <v>1</v>
      </c>
      <c r="T314" s="5">
        <v>1</v>
      </c>
      <c r="U314" s="6"/>
      <c r="V314" s="5">
        <v>1</v>
      </c>
      <c r="W314" s="6"/>
      <c r="X314" s="5">
        <v>1</v>
      </c>
      <c r="Y314" s="6"/>
      <c r="Z314" s="5">
        <v>1</v>
      </c>
      <c r="AA314" s="5">
        <v>1</v>
      </c>
      <c r="AB314" s="5">
        <v>1</v>
      </c>
      <c r="AC314" s="6"/>
      <c r="AD314" s="6"/>
      <c r="AE314" s="6"/>
      <c r="AF314" s="6"/>
      <c r="AG314" s="6"/>
      <c r="AH314" s="6"/>
      <c r="AI314" s="6"/>
      <c r="AJ314" s="5">
        <v>1</v>
      </c>
      <c r="AK314" s="6"/>
      <c r="AL314" s="6"/>
      <c r="AM314" s="5">
        <v>1</v>
      </c>
    </row>
    <row r="315" spans="1:39" s="7" customFormat="1" x14ac:dyDescent="0.25">
      <c r="A315" s="5">
        <v>230</v>
      </c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5">
        <v>1</v>
      </c>
      <c r="AJ315" s="6"/>
      <c r="AK315" s="6"/>
      <c r="AL315" s="6"/>
      <c r="AM315" s="6"/>
    </row>
    <row r="316" spans="1:39" s="7" customFormat="1" x14ac:dyDescent="0.25">
      <c r="A316" s="5">
        <v>231</v>
      </c>
      <c r="B316" s="6"/>
      <c r="C316" s="5">
        <v>1</v>
      </c>
      <c r="D316" s="6"/>
      <c r="E316" s="6"/>
      <c r="F316" s="6"/>
      <c r="G316" s="5">
        <v>1</v>
      </c>
      <c r="H316" s="6"/>
      <c r="I316" s="6"/>
      <c r="J316" s="5">
        <v>1</v>
      </c>
      <c r="K316" s="6"/>
      <c r="L316" s="5">
        <v>1</v>
      </c>
      <c r="M316" s="6"/>
      <c r="N316" s="6"/>
      <c r="O316" s="5">
        <v>1</v>
      </c>
      <c r="P316" s="6"/>
      <c r="Q316" s="5">
        <v>1</v>
      </c>
      <c r="R316" s="5">
        <v>1</v>
      </c>
      <c r="S316" s="5"/>
      <c r="T316" s="5">
        <v>1</v>
      </c>
      <c r="U316" s="6"/>
      <c r="V316" s="5">
        <v>1</v>
      </c>
      <c r="W316" s="6"/>
      <c r="X316" s="5">
        <v>1</v>
      </c>
      <c r="Y316" s="6"/>
      <c r="Z316" s="5">
        <v>1</v>
      </c>
      <c r="AA316" s="5">
        <v>1</v>
      </c>
      <c r="AB316" s="5">
        <v>1</v>
      </c>
      <c r="AC316" s="6"/>
      <c r="AD316" s="6"/>
      <c r="AE316" s="6"/>
      <c r="AF316" s="6"/>
      <c r="AG316" s="6"/>
      <c r="AH316" s="6"/>
      <c r="AI316" s="5">
        <v>1</v>
      </c>
      <c r="AJ316" s="5"/>
      <c r="AK316" s="6"/>
      <c r="AL316" s="6"/>
      <c r="AM316" s="5">
        <v>1</v>
      </c>
    </row>
    <row r="317" spans="1:39" s="7" customFormat="1" x14ac:dyDescent="0.25">
      <c r="A317" s="5">
        <v>232</v>
      </c>
      <c r="B317" s="6"/>
      <c r="C317" s="5">
        <v>1</v>
      </c>
      <c r="D317" s="6"/>
      <c r="E317" s="6"/>
      <c r="F317" s="6"/>
      <c r="G317" s="5">
        <v>1</v>
      </c>
      <c r="H317" s="6"/>
      <c r="I317" s="6"/>
      <c r="J317" s="5">
        <v>1</v>
      </c>
      <c r="K317" s="6"/>
      <c r="L317" s="5">
        <v>1</v>
      </c>
      <c r="M317" s="6"/>
      <c r="N317" s="6"/>
      <c r="O317" s="5">
        <v>1</v>
      </c>
      <c r="P317" s="6"/>
      <c r="Q317" s="5">
        <v>1</v>
      </c>
      <c r="R317" s="5">
        <v>1</v>
      </c>
      <c r="S317" s="5">
        <v>1</v>
      </c>
      <c r="T317" s="5">
        <v>1</v>
      </c>
      <c r="U317" s="6"/>
      <c r="V317" s="5">
        <v>1</v>
      </c>
      <c r="W317" s="6"/>
      <c r="X317" s="5">
        <v>1</v>
      </c>
      <c r="Y317" s="6"/>
      <c r="Z317" s="5">
        <v>1</v>
      </c>
      <c r="AA317" s="5">
        <v>1</v>
      </c>
      <c r="AB317" s="5">
        <v>1</v>
      </c>
      <c r="AC317" s="6"/>
      <c r="AD317" s="6"/>
      <c r="AE317" s="6"/>
      <c r="AF317" s="6"/>
      <c r="AG317" s="6"/>
      <c r="AH317" s="6"/>
      <c r="AI317" s="5">
        <v>1</v>
      </c>
      <c r="AJ317" s="5">
        <v>1</v>
      </c>
      <c r="AK317" s="6"/>
      <c r="AL317" s="6"/>
      <c r="AM317" s="5">
        <v>1</v>
      </c>
    </row>
    <row r="318" spans="1:39" s="7" customFormat="1" x14ac:dyDescent="0.25">
      <c r="A318" s="5">
        <v>233</v>
      </c>
      <c r="B318" s="5">
        <v>1</v>
      </c>
      <c r="C318" s="5">
        <v>1</v>
      </c>
      <c r="D318" s="5">
        <v>1</v>
      </c>
      <c r="E318" s="5">
        <v>1</v>
      </c>
      <c r="F318" s="5">
        <v>1</v>
      </c>
      <c r="G318" s="5">
        <v>1</v>
      </c>
      <c r="H318" s="5">
        <v>1</v>
      </c>
      <c r="I318" s="5">
        <v>1</v>
      </c>
      <c r="J318" s="5">
        <v>1</v>
      </c>
      <c r="K318" s="5">
        <v>1</v>
      </c>
      <c r="L318" s="5">
        <v>1</v>
      </c>
      <c r="M318" s="5">
        <v>1</v>
      </c>
      <c r="N318" s="5">
        <v>1</v>
      </c>
      <c r="O318" s="5">
        <v>1</v>
      </c>
      <c r="P318" s="5">
        <v>1</v>
      </c>
      <c r="Q318" s="5">
        <v>1</v>
      </c>
      <c r="R318" s="5">
        <v>1</v>
      </c>
      <c r="S318" s="5">
        <v>1</v>
      </c>
      <c r="T318" s="5">
        <v>1</v>
      </c>
      <c r="U318" s="5">
        <v>1</v>
      </c>
      <c r="V318" s="5">
        <v>1</v>
      </c>
      <c r="W318" s="5">
        <v>1</v>
      </c>
      <c r="X318" s="5">
        <v>1</v>
      </c>
      <c r="Y318" s="5">
        <v>1</v>
      </c>
      <c r="Z318" s="5">
        <v>1</v>
      </c>
      <c r="AA318" s="5">
        <v>1</v>
      </c>
      <c r="AB318" s="5">
        <v>1</v>
      </c>
      <c r="AC318" s="5">
        <v>1</v>
      </c>
      <c r="AD318" s="5">
        <v>1</v>
      </c>
      <c r="AE318" s="5">
        <v>1</v>
      </c>
      <c r="AF318" s="5">
        <v>1</v>
      </c>
      <c r="AG318" s="5">
        <v>1</v>
      </c>
      <c r="AH318" s="5">
        <v>1</v>
      </c>
      <c r="AI318" s="5">
        <v>1</v>
      </c>
      <c r="AJ318" s="5">
        <v>1</v>
      </c>
      <c r="AK318" s="5">
        <v>1</v>
      </c>
      <c r="AL318" s="5">
        <v>1</v>
      </c>
      <c r="AM318" s="5">
        <v>1</v>
      </c>
    </row>
    <row r="319" spans="1:39" s="7" customFormat="1" x14ac:dyDescent="0.25">
      <c r="A319" s="5">
        <v>234</v>
      </c>
      <c r="B319" s="5">
        <v>1</v>
      </c>
      <c r="C319" s="5">
        <v>1</v>
      </c>
      <c r="D319" s="5">
        <v>1</v>
      </c>
      <c r="E319" s="5">
        <v>1</v>
      </c>
      <c r="F319" s="5">
        <v>1</v>
      </c>
      <c r="G319" s="5">
        <v>1</v>
      </c>
      <c r="H319" s="5">
        <v>1</v>
      </c>
      <c r="I319" s="5">
        <v>1</v>
      </c>
      <c r="J319" s="5">
        <v>1</v>
      </c>
      <c r="K319" s="5">
        <v>1</v>
      </c>
      <c r="L319" s="5">
        <v>1</v>
      </c>
      <c r="M319" s="5">
        <v>1</v>
      </c>
      <c r="N319" s="5">
        <v>1</v>
      </c>
      <c r="O319" s="5">
        <v>1</v>
      </c>
      <c r="P319" s="5">
        <v>1</v>
      </c>
      <c r="Q319" s="5">
        <v>1</v>
      </c>
      <c r="R319" s="5">
        <v>1</v>
      </c>
      <c r="S319" s="5">
        <v>1</v>
      </c>
      <c r="T319" s="5">
        <v>1</v>
      </c>
      <c r="U319" s="5">
        <v>1</v>
      </c>
      <c r="V319" s="5">
        <v>1</v>
      </c>
      <c r="W319" s="5">
        <v>1</v>
      </c>
      <c r="X319" s="5">
        <v>1</v>
      </c>
      <c r="Y319" s="5">
        <v>1</v>
      </c>
      <c r="Z319" s="5">
        <v>1</v>
      </c>
      <c r="AA319" s="5">
        <v>1</v>
      </c>
      <c r="AB319" s="5">
        <v>1</v>
      </c>
      <c r="AC319" s="5">
        <v>1</v>
      </c>
      <c r="AD319" s="5">
        <v>1</v>
      </c>
      <c r="AE319" s="5">
        <v>1</v>
      </c>
      <c r="AF319" s="5">
        <v>1</v>
      </c>
      <c r="AG319" s="5">
        <v>1</v>
      </c>
      <c r="AH319" s="5">
        <v>1</v>
      </c>
      <c r="AI319" s="5">
        <v>1</v>
      </c>
      <c r="AJ319" s="5">
        <v>1</v>
      </c>
      <c r="AK319" s="5">
        <v>1</v>
      </c>
      <c r="AL319" s="5">
        <v>1</v>
      </c>
      <c r="AM319" s="5">
        <v>1</v>
      </c>
    </row>
    <row r="320" spans="1:39" s="7" customFormat="1" x14ac:dyDescent="0.25">
      <c r="A320" s="5">
        <v>235</v>
      </c>
      <c r="B320" s="6"/>
      <c r="C320" s="6"/>
      <c r="D320" s="5">
        <v>1</v>
      </c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5">
        <v>1</v>
      </c>
      <c r="AE320" s="6"/>
      <c r="AF320" s="6"/>
      <c r="AG320" s="6"/>
      <c r="AH320" s="6"/>
      <c r="AI320" s="5">
        <v>1</v>
      </c>
      <c r="AJ320" s="6"/>
      <c r="AK320" s="6"/>
      <c r="AL320" s="5">
        <v>1</v>
      </c>
      <c r="AM320" s="6"/>
    </row>
    <row r="321" spans="1:39" s="7" customFormat="1" x14ac:dyDescent="0.25">
      <c r="A321" s="5">
        <v>235</v>
      </c>
      <c r="B321" s="5">
        <v>1</v>
      </c>
      <c r="C321" s="5">
        <v>1</v>
      </c>
      <c r="D321" s="6"/>
      <c r="E321" s="6"/>
      <c r="F321" s="5">
        <v>1</v>
      </c>
      <c r="G321" s="6"/>
      <c r="H321" s="6"/>
      <c r="I321" s="6"/>
      <c r="J321" s="6"/>
      <c r="K321" s="5">
        <v>1</v>
      </c>
      <c r="L321" s="6"/>
      <c r="M321" s="6"/>
      <c r="N321" s="6"/>
      <c r="O321" s="6"/>
      <c r="P321" s="6"/>
      <c r="Q321" s="6"/>
      <c r="R321" s="6"/>
      <c r="S321" s="6"/>
      <c r="T321" s="5">
        <v>1</v>
      </c>
      <c r="U321" s="5">
        <v>1</v>
      </c>
      <c r="V321" s="6"/>
      <c r="W321" s="6"/>
      <c r="X321" s="6"/>
      <c r="Y321" s="5">
        <v>1</v>
      </c>
      <c r="Z321" s="6"/>
      <c r="AA321" s="5">
        <v>1</v>
      </c>
      <c r="AB321" s="6"/>
      <c r="AC321" s="6"/>
      <c r="AD321" s="6"/>
      <c r="AE321" s="6"/>
      <c r="AF321" s="6"/>
      <c r="AG321" s="6"/>
      <c r="AH321" s="6"/>
      <c r="AI321" s="6"/>
      <c r="AJ321" s="6"/>
      <c r="AK321" s="5">
        <v>1</v>
      </c>
      <c r="AL321" s="6"/>
      <c r="AM321" s="5">
        <v>1</v>
      </c>
    </row>
    <row r="322" spans="1:39" s="7" customFormat="1" x14ac:dyDescent="0.25">
      <c r="A322" s="5">
        <v>235</v>
      </c>
      <c r="B322" s="6"/>
      <c r="C322" s="6"/>
      <c r="D322" s="6"/>
      <c r="E322" s="5">
        <v>1</v>
      </c>
      <c r="F322" s="6"/>
      <c r="G322" s="5"/>
      <c r="H322" s="5">
        <v>1</v>
      </c>
      <c r="I322" s="6"/>
      <c r="J322" s="6"/>
      <c r="K322" s="6"/>
      <c r="L322" s="5"/>
      <c r="M322" s="5"/>
      <c r="N322" s="5">
        <v>1</v>
      </c>
      <c r="O322" s="6"/>
      <c r="P322" s="6"/>
      <c r="Q322" s="5"/>
      <c r="R322" s="5">
        <v>1</v>
      </c>
      <c r="S322" s="5">
        <v>1</v>
      </c>
      <c r="T322" s="6"/>
      <c r="U322" s="6"/>
      <c r="V322" s="6"/>
      <c r="W322" s="5">
        <v>1</v>
      </c>
      <c r="X322" s="6"/>
      <c r="Y322" s="6"/>
      <c r="Z322" s="5"/>
      <c r="AA322" s="6"/>
      <c r="AB322" s="6"/>
      <c r="AC322" s="5"/>
      <c r="AD322" s="6"/>
      <c r="AE322" s="5">
        <v>1</v>
      </c>
      <c r="AF322" s="5"/>
      <c r="AG322" s="5">
        <v>1</v>
      </c>
      <c r="AH322" s="6"/>
      <c r="AI322" s="6"/>
      <c r="AJ322" s="5">
        <v>1</v>
      </c>
      <c r="AK322" s="6"/>
      <c r="AL322" s="6"/>
      <c r="AM322" s="6"/>
    </row>
    <row r="323" spans="1:39" s="7" customFormat="1" x14ac:dyDescent="0.25">
      <c r="A323" s="5">
        <v>235</v>
      </c>
      <c r="B323" s="6"/>
      <c r="C323" s="6"/>
      <c r="D323" s="6"/>
      <c r="E323" s="6"/>
      <c r="F323" s="6"/>
      <c r="G323" s="6"/>
      <c r="H323" s="6"/>
      <c r="I323" s="5">
        <v>1</v>
      </c>
      <c r="J323" s="5">
        <v>1</v>
      </c>
      <c r="K323" s="6"/>
      <c r="L323" s="6"/>
      <c r="M323" s="6"/>
      <c r="N323" s="6"/>
      <c r="O323" s="6"/>
      <c r="P323" s="5">
        <v>1</v>
      </c>
      <c r="Q323" s="6"/>
      <c r="R323" s="6"/>
      <c r="S323" s="6"/>
      <c r="T323" s="6"/>
      <c r="U323" s="6"/>
      <c r="V323" s="5"/>
      <c r="W323" s="6"/>
      <c r="X323" s="5"/>
      <c r="Y323" s="6"/>
      <c r="Z323" s="6"/>
      <c r="AA323" s="6"/>
      <c r="AB323" s="5"/>
      <c r="AC323" s="6"/>
      <c r="AD323" s="6"/>
      <c r="AE323" s="6"/>
      <c r="AF323" s="6"/>
      <c r="AG323" s="6"/>
      <c r="AH323" s="5">
        <v>1</v>
      </c>
      <c r="AI323" s="6"/>
      <c r="AJ323" s="6"/>
      <c r="AK323" s="6"/>
      <c r="AL323" s="6"/>
      <c r="AM323" s="6"/>
    </row>
    <row r="324" spans="1:39" s="7" customFormat="1" x14ac:dyDescent="0.25">
      <c r="A324" s="5">
        <v>235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5">
        <v>1</v>
      </c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</row>
    <row r="325" spans="1:39" s="7" customFormat="1" x14ac:dyDescent="0.25">
      <c r="A325" s="5">
        <v>236</v>
      </c>
      <c r="B325" s="5">
        <v>1</v>
      </c>
      <c r="C325" s="5">
        <v>1</v>
      </c>
      <c r="D325" s="5">
        <v>1</v>
      </c>
      <c r="E325" s="5">
        <v>1</v>
      </c>
      <c r="F325" s="5">
        <v>1</v>
      </c>
      <c r="G325" s="5">
        <v>1</v>
      </c>
      <c r="H325" s="5">
        <v>1</v>
      </c>
      <c r="I325" s="5">
        <v>1</v>
      </c>
      <c r="J325" s="5">
        <v>1</v>
      </c>
      <c r="K325" s="5">
        <v>1</v>
      </c>
      <c r="L325" s="5">
        <v>1</v>
      </c>
      <c r="M325" s="5">
        <v>1</v>
      </c>
      <c r="N325" s="5">
        <v>1</v>
      </c>
      <c r="O325" s="5">
        <v>1</v>
      </c>
      <c r="P325" s="5">
        <v>1</v>
      </c>
      <c r="Q325" s="5">
        <v>1</v>
      </c>
      <c r="R325" s="5">
        <v>1</v>
      </c>
      <c r="S325" s="5">
        <v>1</v>
      </c>
      <c r="T325" s="5">
        <v>1</v>
      </c>
      <c r="U325" s="5">
        <v>1</v>
      </c>
      <c r="V325" s="5">
        <v>1</v>
      </c>
      <c r="W325" s="5">
        <v>1</v>
      </c>
      <c r="X325" s="5">
        <v>1</v>
      </c>
      <c r="Y325" s="5">
        <v>1</v>
      </c>
      <c r="Z325" s="5">
        <v>1</v>
      </c>
      <c r="AA325" s="5">
        <v>1</v>
      </c>
      <c r="AB325" s="5">
        <v>1</v>
      </c>
      <c r="AC325" s="5">
        <v>1</v>
      </c>
      <c r="AD325" s="5">
        <v>1</v>
      </c>
      <c r="AE325" s="5">
        <v>1</v>
      </c>
      <c r="AF325" s="5">
        <v>1</v>
      </c>
      <c r="AG325" s="5">
        <v>1</v>
      </c>
      <c r="AH325" s="5">
        <v>1</v>
      </c>
      <c r="AI325" s="5">
        <v>1</v>
      </c>
      <c r="AJ325" s="5">
        <v>1</v>
      </c>
      <c r="AK325" s="5">
        <v>1</v>
      </c>
      <c r="AL325" s="5">
        <v>1</v>
      </c>
      <c r="AM325" s="5">
        <v>1</v>
      </c>
    </row>
    <row r="326" spans="1:39" s="7" customFormat="1" x14ac:dyDescent="0.25">
      <c r="A326" s="5">
        <v>237</v>
      </c>
      <c r="B326" s="5">
        <v>1</v>
      </c>
      <c r="C326" s="5">
        <v>1</v>
      </c>
      <c r="D326" s="5">
        <v>1</v>
      </c>
      <c r="E326" s="5">
        <v>1</v>
      </c>
      <c r="F326" s="5">
        <v>1</v>
      </c>
      <c r="G326" s="5">
        <v>1</v>
      </c>
      <c r="H326" s="5">
        <v>1</v>
      </c>
      <c r="I326" s="5">
        <v>1</v>
      </c>
      <c r="J326" s="5">
        <v>1</v>
      </c>
      <c r="K326" s="5">
        <v>1</v>
      </c>
      <c r="L326" s="5">
        <v>1</v>
      </c>
      <c r="M326" s="5">
        <v>1</v>
      </c>
      <c r="N326" s="5">
        <v>1</v>
      </c>
      <c r="O326" s="5">
        <v>1</v>
      </c>
      <c r="P326" s="5">
        <v>1</v>
      </c>
      <c r="Q326" s="5">
        <v>1</v>
      </c>
      <c r="R326" s="5">
        <v>1</v>
      </c>
      <c r="S326" s="5">
        <v>1</v>
      </c>
      <c r="T326" s="5">
        <v>1</v>
      </c>
      <c r="U326" s="5">
        <v>1</v>
      </c>
      <c r="V326" s="5">
        <v>1</v>
      </c>
      <c r="W326" s="5">
        <v>1</v>
      </c>
      <c r="X326" s="5">
        <v>1</v>
      </c>
      <c r="Y326" s="5">
        <v>1</v>
      </c>
      <c r="Z326" s="5">
        <v>1</v>
      </c>
      <c r="AA326" s="5">
        <v>1</v>
      </c>
      <c r="AB326" s="5">
        <v>1</v>
      </c>
      <c r="AC326" s="5">
        <v>1</v>
      </c>
      <c r="AD326" s="5">
        <v>1</v>
      </c>
      <c r="AE326" s="5">
        <v>1</v>
      </c>
      <c r="AF326" s="5">
        <v>1</v>
      </c>
      <c r="AG326" s="5">
        <v>1</v>
      </c>
      <c r="AH326" s="5">
        <v>1</v>
      </c>
      <c r="AI326" s="5">
        <v>1</v>
      </c>
      <c r="AJ326" s="5">
        <v>1</v>
      </c>
      <c r="AK326" s="5">
        <v>1</v>
      </c>
      <c r="AL326" s="5">
        <v>1</v>
      </c>
      <c r="AM326" s="5">
        <v>1</v>
      </c>
    </row>
    <row r="327" spans="1:39" s="7" customFormat="1" x14ac:dyDescent="0.25">
      <c r="A327" s="5">
        <v>238</v>
      </c>
      <c r="B327" s="5">
        <v>1</v>
      </c>
      <c r="C327" s="5">
        <v>1</v>
      </c>
      <c r="D327" s="5">
        <v>1</v>
      </c>
      <c r="E327" s="5">
        <v>1</v>
      </c>
      <c r="F327" s="5">
        <v>1</v>
      </c>
      <c r="G327" s="5">
        <v>1</v>
      </c>
      <c r="H327" s="5">
        <v>1</v>
      </c>
      <c r="I327" s="5">
        <v>1</v>
      </c>
      <c r="J327" s="5">
        <v>1</v>
      </c>
      <c r="K327" s="5">
        <v>1</v>
      </c>
      <c r="L327" s="5">
        <v>1</v>
      </c>
      <c r="M327" s="5">
        <v>1</v>
      </c>
      <c r="N327" s="5">
        <v>1</v>
      </c>
      <c r="O327" s="5">
        <v>1</v>
      </c>
      <c r="P327" s="5">
        <v>1</v>
      </c>
      <c r="Q327" s="5">
        <v>1</v>
      </c>
      <c r="R327" s="5">
        <v>1</v>
      </c>
      <c r="S327" s="5">
        <v>1</v>
      </c>
      <c r="T327" s="5">
        <v>1</v>
      </c>
      <c r="U327" s="5">
        <v>1</v>
      </c>
      <c r="V327" s="5">
        <v>1</v>
      </c>
      <c r="W327" s="5">
        <v>1</v>
      </c>
      <c r="X327" s="5">
        <v>1</v>
      </c>
      <c r="Y327" s="5">
        <v>1</v>
      </c>
      <c r="Z327" s="5">
        <v>1</v>
      </c>
      <c r="AA327" s="5">
        <v>1</v>
      </c>
      <c r="AB327" s="5">
        <v>1</v>
      </c>
      <c r="AC327" s="5">
        <v>1</v>
      </c>
      <c r="AD327" s="5">
        <v>1</v>
      </c>
      <c r="AE327" s="5">
        <v>1</v>
      </c>
      <c r="AF327" s="5">
        <v>1</v>
      </c>
      <c r="AG327" s="5">
        <v>1</v>
      </c>
      <c r="AH327" s="5">
        <v>1</v>
      </c>
      <c r="AI327" s="5">
        <v>1</v>
      </c>
      <c r="AJ327" s="5">
        <v>1</v>
      </c>
      <c r="AK327" s="5">
        <v>1</v>
      </c>
      <c r="AL327" s="5">
        <v>1</v>
      </c>
      <c r="AM327" s="5">
        <v>1</v>
      </c>
    </row>
    <row r="328" spans="1:39" s="7" customFormat="1" x14ac:dyDescent="0.25">
      <c r="A328" s="5">
        <v>239</v>
      </c>
      <c r="B328" s="5">
        <v>1</v>
      </c>
      <c r="C328" s="5">
        <v>1</v>
      </c>
      <c r="D328" s="5">
        <v>1</v>
      </c>
      <c r="E328" s="5">
        <v>1</v>
      </c>
      <c r="F328" s="5">
        <v>1</v>
      </c>
      <c r="G328" s="5">
        <v>1</v>
      </c>
      <c r="H328" s="5">
        <v>1</v>
      </c>
      <c r="I328" s="5">
        <v>1</v>
      </c>
      <c r="J328" s="5">
        <v>1</v>
      </c>
      <c r="K328" s="5">
        <v>1</v>
      </c>
      <c r="L328" s="5">
        <v>1</v>
      </c>
      <c r="M328" s="5">
        <v>1</v>
      </c>
      <c r="N328" s="5">
        <v>1</v>
      </c>
      <c r="O328" s="5">
        <v>1</v>
      </c>
      <c r="P328" s="5">
        <v>1</v>
      </c>
      <c r="Q328" s="5">
        <v>1</v>
      </c>
      <c r="R328" s="5">
        <v>1</v>
      </c>
      <c r="S328" s="5">
        <v>1</v>
      </c>
      <c r="T328" s="5">
        <v>1</v>
      </c>
      <c r="U328" s="5">
        <v>1</v>
      </c>
      <c r="V328" s="5">
        <v>1</v>
      </c>
      <c r="W328" s="5">
        <v>1</v>
      </c>
      <c r="X328" s="5">
        <v>1</v>
      </c>
      <c r="Y328" s="5">
        <v>1</v>
      </c>
      <c r="Z328" s="5">
        <v>1</v>
      </c>
      <c r="AA328" s="5">
        <v>1</v>
      </c>
      <c r="AB328" s="5">
        <v>1</v>
      </c>
      <c r="AC328" s="5">
        <v>1</v>
      </c>
      <c r="AD328" s="5">
        <v>1</v>
      </c>
      <c r="AE328" s="5">
        <v>1</v>
      </c>
      <c r="AF328" s="5">
        <v>1</v>
      </c>
      <c r="AG328" s="5">
        <v>1</v>
      </c>
      <c r="AH328" s="5">
        <v>1</v>
      </c>
      <c r="AI328" s="5">
        <v>1</v>
      </c>
      <c r="AJ328" s="5">
        <v>1</v>
      </c>
      <c r="AK328" s="5">
        <v>1</v>
      </c>
      <c r="AL328" s="5">
        <v>1</v>
      </c>
      <c r="AM328" s="5">
        <v>1</v>
      </c>
    </row>
    <row r="329" spans="1:39" s="7" customFormat="1" x14ac:dyDescent="0.25">
      <c r="A329" s="5">
        <v>240</v>
      </c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5">
        <v>1</v>
      </c>
      <c r="AG329" s="6"/>
      <c r="AH329" s="6"/>
      <c r="AI329" s="6"/>
      <c r="AJ329" s="6"/>
      <c r="AK329" s="6"/>
      <c r="AL329" s="6"/>
      <c r="AM329" s="6"/>
    </row>
    <row r="330" spans="1:39" s="7" customFormat="1" x14ac:dyDescent="0.25">
      <c r="A330" s="5">
        <v>240</v>
      </c>
      <c r="B330" s="6"/>
      <c r="C330" s="6"/>
      <c r="D330" s="6"/>
      <c r="E330" s="6"/>
      <c r="F330" s="5">
        <v>1</v>
      </c>
      <c r="G330" s="6"/>
      <c r="H330" s="6"/>
      <c r="I330" s="6"/>
      <c r="J330" s="6"/>
      <c r="K330" s="6"/>
      <c r="L330" s="6"/>
      <c r="M330" s="5">
        <v>1</v>
      </c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5">
        <v>1</v>
      </c>
      <c r="AE330" s="6"/>
      <c r="AF330" s="6"/>
      <c r="AG330" s="6"/>
      <c r="AH330" s="6"/>
      <c r="AI330" s="6"/>
      <c r="AJ330" s="6"/>
      <c r="AK330" s="6"/>
      <c r="AL330" s="6"/>
      <c r="AM330" s="6"/>
    </row>
    <row r="331" spans="1:39" s="7" customFormat="1" x14ac:dyDescent="0.25">
      <c r="A331" s="5">
        <v>240</v>
      </c>
      <c r="B331" s="6"/>
      <c r="C331" s="6"/>
      <c r="D331" s="6"/>
      <c r="E331" s="6"/>
      <c r="F331" s="6"/>
      <c r="G331" s="6"/>
      <c r="H331" s="6"/>
      <c r="I331" s="5">
        <v>1</v>
      </c>
      <c r="J331" s="6"/>
      <c r="K331" s="5">
        <v>1</v>
      </c>
      <c r="L331" s="6"/>
      <c r="M331" s="6"/>
      <c r="N331" s="6"/>
      <c r="O331" s="6"/>
      <c r="P331" s="5">
        <v>1</v>
      </c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5">
        <v>1</v>
      </c>
      <c r="AD331" s="6"/>
      <c r="AE331" s="6"/>
      <c r="AF331" s="6"/>
      <c r="AG331" s="6"/>
      <c r="AH331" s="5">
        <v>1</v>
      </c>
      <c r="AI331" s="6"/>
      <c r="AJ331" s="6"/>
      <c r="AK331" s="6"/>
      <c r="AL331" s="6"/>
      <c r="AM331" s="6"/>
    </row>
    <row r="332" spans="1:39" s="7" customFormat="1" x14ac:dyDescent="0.25">
      <c r="A332" s="5">
        <v>240</v>
      </c>
      <c r="B332" s="6"/>
      <c r="C332" s="6"/>
      <c r="D332" s="6"/>
      <c r="E332" s="6"/>
      <c r="F332" s="6"/>
      <c r="G332" s="6"/>
      <c r="H332" s="5">
        <v>1</v>
      </c>
      <c r="I332" s="6"/>
      <c r="J332" s="6"/>
      <c r="K332" s="6"/>
      <c r="L332" s="5">
        <v>1</v>
      </c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5">
        <v>1</v>
      </c>
      <c r="X332" s="5">
        <v>1</v>
      </c>
      <c r="Y332" s="6"/>
      <c r="Z332" s="6"/>
      <c r="AA332" s="5">
        <v>1</v>
      </c>
      <c r="AB332" s="6"/>
      <c r="AC332" s="6"/>
      <c r="AD332" s="6"/>
      <c r="AE332" s="5">
        <v>1</v>
      </c>
      <c r="AF332" s="6"/>
      <c r="AG332" s="6"/>
      <c r="AH332" s="6"/>
      <c r="AI332" s="5">
        <v>1</v>
      </c>
      <c r="AJ332" s="6"/>
      <c r="AK332" s="5">
        <v>1</v>
      </c>
      <c r="AL332" s="6"/>
      <c r="AM332" s="6"/>
    </row>
    <row r="333" spans="1:39" s="7" customFormat="1" x14ac:dyDescent="0.25">
      <c r="A333" s="5">
        <v>240</v>
      </c>
      <c r="B333" s="6"/>
      <c r="C333" s="6"/>
      <c r="D333" s="6"/>
      <c r="E333" s="6"/>
      <c r="F333" s="6"/>
      <c r="G333" s="6"/>
      <c r="H333" s="6"/>
      <c r="I333" s="6"/>
      <c r="J333" s="5">
        <v>1</v>
      </c>
      <c r="K333" s="6"/>
      <c r="L333" s="6"/>
      <c r="M333" s="6"/>
      <c r="N333" s="6"/>
      <c r="O333" s="5">
        <v>1</v>
      </c>
      <c r="P333" s="6"/>
      <c r="Q333" s="5">
        <v>1</v>
      </c>
      <c r="R333" s="6"/>
      <c r="S333" s="6"/>
      <c r="T333" s="5">
        <v>1</v>
      </c>
      <c r="U333" s="6"/>
      <c r="V333" s="5">
        <v>1</v>
      </c>
      <c r="W333" s="6"/>
      <c r="X333" s="6"/>
      <c r="Y333" s="6"/>
      <c r="Z333" s="5">
        <v>1</v>
      </c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</row>
    <row r="334" spans="1:39" s="7" customFormat="1" x14ac:dyDescent="0.25">
      <c r="A334" s="5">
        <v>240</v>
      </c>
      <c r="B334" s="6"/>
      <c r="C334" s="5">
        <v>1</v>
      </c>
      <c r="D334" s="6"/>
      <c r="E334" s="6"/>
      <c r="F334" s="6"/>
      <c r="G334" s="5">
        <v>1</v>
      </c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5">
        <v>1</v>
      </c>
      <c r="S334" s="5">
        <v>1</v>
      </c>
      <c r="T334" s="6"/>
      <c r="U334" s="6"/>
      <c r="V334" s="6"/>
      <c r="W334" s="6"/>
      <c r="X334" s="6"/>
      <c r="Y334" s="6"/>
      <c r="Z334" s="6"/>
      <c r="AA334" s="6"/>
      <c r="AB334" s="5">
        <v>1</v>
      </c>
      <c r="AC334" s="6"/>
      <c r="AD334" s="6"/>
      <c r="AE334" s="6"/>
      <c r="AF334" s="6"/>
      <c r="AG334" s="6"/>
      <c r="AH334" s="6"/>
      <c r="AI334" s="6"/>
      <c r="AJ334" s="5">
        <v>1</v>
      </c>
      <c r="AK334" s="6"/>
      <c r="AL334" s="6"/>
      <c r="AM334" s="5">
        <v>1</v>
      </c>
    </row>
    <row r="335" spans="1:39" s="7" customFormat="1" x14ac:dyDescent="0.25">
      <c r="A335" s="5">
        <v>241</v>
      </c>
      <c r="B335" s="5">
        <v>1</v>
      </c>
      <c r="C335" s="5">
        <v>1</v>
      </c>
      <c r="D335" s="5">
        <v>1</v>
      </c>
      <c r="E335" s="5">
        <v>1</v>
      </c>
      <c r="F335" s="5">
        <v>1</v>
      </c>
      <c r="G335" s="5">
        <v>1</v>
      </c>
      <c r="H335" s="5">
        <v>1</v>
      </c>
      <c r="I335" s="5">
        <v>1</v>
      </c>
      <c r="J335" s="5">
        <v>1</v>
      </c>
      <c r="K335" s="5">
        <v>1</v>
      </c>
      <c r="L335" s="5">
        <v>1</v>
      </c>
      <c r="M335" s="5">
        <v>1</v>
      </c>
      <c r="N335" s="5">
        <v>1</v>
      </c>
      <c r="O335" s="5">
        <v>1</v>
      </c>
      <c r="P335" s="5">
        <v>1</v>
      </c>
      <c r="Q335" s="5">
        <v>1</v>
      </c>
      <c r="R335" s="5">
        <v>1</v>
      </c>
      <c r="S335" s="5">
        <v>1</v>
      </c>
      <c r="T335" s="5">
        <v>1</v>
      </c>
      <c r="U335" s="5">
        <v>1</v>
      </c>
      <c r="V335" s="5">
        <v>1</v>
      </c>
      <c r="W335" s="5">
        <v>1</v>
      </c>
      <c r="X335" s="5">
        <v>1</v>
      </c>
      <c r="Y335" s="5">
        <v>1</v>
      </c>
      <c r="Z335" s="5">
        <v>1</v>
      </c>
      <c r="AA335" s="5">
        <v>1</v>
      </c>
      <c r="AB335" s="5">
        <v>1</v>
      </c>
      <c r="AC335" s="5">
        <v>1</v>
      </c>
      <c r="AD335" s="5">
        <v>1</v>
      </c>
      <c r="AE335" s="5">
        <v>1</v>
      </c>
      <c r="AF335" s="5">
        <v>1</v>
      </c>
      <c r="AG335" s="5">
        <v>1</v>
      </c>
      <c r="AH335" s="5">
        <v>1</v>
      </c>
      <c r="AI335" s="5">
        <v>1</v>
      </c>
      <c r="AJ335" s="5">
        <v>1</v>
      </c>
      <c r="AK335" s="5">
        <v>1</v>
      </c>
      <c r="AL335" s="5">
        <v>1</v>
      </c>
      <c r="AM335" s="5">
        <v>1</v>
      </c>
    </row>
    <row r="336" spans="1:39" s="7" customFormat="1" x14ac:dyDescent="0.25">
      <c r="A336" s="5">
        <v>242</v>
      </c>
      <c r="B336" s="5">
        <v>1</v>
      </c>
      <c r="C336" s="6"/>
      <c r="D336" s="5">
        <v>1</v>
      </c>
      <c r="E336" s="6"/>
      <c r="F336" s="5">
        <v>1</v>
      </c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5">
        <v>1</v>
      </c>
      <c r="AB336" s="6"/>
      <c r="AC336" s="6"/>
      <c r="AD336" s="5">
        <v>1</v>
      </c>
      <c r="AE336" s="6"/>
      <c r="AF336" s="6"/>
      <c r="AG336" s="6"/>
      <c r="AH336" s="6"/>
      <c r="AI336" s="5">
        <v>1</v>
      </c>
      <c r="AJ336" s="6"/>
      <c r="AK336" s="6"/>
      <c r="AL336" s="5">
        <v>1</v>
      </c>
      <c r="AM336" s="6"/>
    </row>
    <row r="337" spans="1:39" s="7" customFormat="1" x14ac:dyDescent="0.25">
      <c r="A337" s="5">
        <v>242</v>
      </c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5">
        <v>1</v>
      </c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</row>
    <row r="338" spans="1:39" s="7" customFormat="1" x14ac:dyDescent="0.25">
      <c r="A338" s="5">
        <v>242</v>
      </c>
      <c r="B338" s="6"/>
      <c r="C338" s="6"/>
      <c r="D338" s="6"/>
      <c r="E338" s="5">
        <v>1</v>
      </c>
      <c r="F338" s="6"/>
      <c r="G338" s="6"/>
      <c r="H338" s="6"/>
      <c r="I338" s="6"/>
      <c r="J338" s="6"/>
      <c r="K338" s="5">
        <v>1</v>
      </c>
      <c r="L338" s="6"/>
      <c r="M338" s="6"/>
      <c r="N338" s="5">
        <v>1</v>
      </c>
      <c r="O338" s="6"/>
      <c r="P338" s="6"/>
      <c r="Q338" s="6"/>
      <c r="R338" s="6"/>
      <c r="S338" s="6"/>
      <c r="T338" s="6"/>
      <c r="U338" s="5">
        <v>1</v>
      </c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5">
        <v>1</v>
      </c>
      <c r="AH338" s="6"/>
      <c r="AI338" s="6"/>
      <c r="AJ338" s="6"/>
      <c r="AK338" s="6"/>
      <c r="AL338" s="6"/>
      <c r="AM338" s="6"/>
    </row>
    <row r="339" spans="1:39" s="7" customFormat="1" x14ac:dyDescent="0.25">
      <c r="A339" s="5">
        <v>242</v>
      </c>
      <c r="B339" s="6"/>
      <c r="C339" s="6"/>
      <c r="D339" s="6"/>
      <c r="E339" s="6"/>
      <c r="F339" s="6"/>
      <c r="G339" s="6"/>
      <c r="H339" s="5">
        <v>1</v>
      </c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5">
        <v>1</v>
      </c>
      <c r="X339" s="6"/>
      <c r="Y339" s="6"/>
      <c r="Z339" s="6"/>
      <c r="AA339" s="6"/>
      <c r="AB339" s="6"/>
      <c r="AC339" s="6"/>
      <c r="AD339" s="6"/>
      <c r="AE339" s="5">
        <v>1</v>
      </c>
      <c r="AF339" s="6"/>
      <c r="AG339" s="6"/>
      <c r="AH339" s="6"/>
      <c r="AI339" s="6"/>
      <c r="AJ339" s="6"/>
      <c r="AK339" s="5">
        <v>1</v>
      </c>
      <c r="AL339" s="6"/>
      <c r="AM339" s="6"/>
    </row>
    <row r="340" spans="1:39" s="7" customFormat="1" x14ac:dyDescent="0.25">
      <c r="A340" s="5">
        <v>242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5">
        <v>1</v>
      </c>
      <c r="R340" s="6"/>
      <c r="S340" s="6"/>
      <c r="T340" s="5">
        <v>1</v>
      </c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</row>
    <row r="341" spans="1:39" s="7" customFormat="1" x14ac:dyDescent="0.25">
      <c r="A341" s="5">
        <v>242</v>
      </c>
      <c r="B341" s="6"/>
      <c r="C341" s="5">
        <v>1</v>
      </c>
      <c r="D341" s="6"/>
      <c r="E341" s="6"/>
      <c r="F341" s="6"/>
      <c r="G341" s="5">
        <v>1</v>
      </c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5">
        <v>1</v>
      </c>
      <c r="S341" s="5">
        <v>1</v>
      </c>
      <c r="T341" s="6"/>
      <c r="U341" s="6"/>
      <c r="V341" s="6"/>
      <c r="W341" s="6"/>
      <c r="X341" s="6"/>
      <c r="Y341" s="6"/>
      <c r="Z341" s="6"/>
      <c r="AA341" s="6"/>
      <c r="AB341" s="5">
        <v>1</v>
      </c>
      <c r="AC341" s="6"/>
      <c r="AD341" s="6"/>
      <c r="AE341" s="6"/>
      <c r="AF341" s="6"/>
      <c r="AG341" s="6"/>
      <c r="AH341" s="6"/>
      <c r="AI341" s="6"/>
      <c r="AJ341" s="5">
        <v>1</v>
      </c>
      <c r="AK341" s="6"/>
      <c r="AL341" s="6"/>
      <c r="AM341" s="5">
        <v>1</v>
      </c>
    </row>
    <row r="342" spans="1:39" s="7" customFormat="1" x14ac:dyDescent="0.25">
      <c r="A342" s="5">
        <v>243</v>
      </c>
      <c r="B342" s="6"/>
      <c r="C342" s="5">
        <v>1</v>
      </c>
      <c r="D342" s="6"/>
      <c r="E342" s="5">
        <v>1</v>
      </c>
      <c r="F342" s="6"/>
      <c r="G342" s="5">
        <v>1</v>
      </c>
      <c r="H342" s="5">
        <v>1</v>
      </c>
      <c r="I342" s="5">
        <v>1</v>
      </c>
      <c r="J342" s="5">
        <v>1</v>
      </c>
      <c r="K342" s="6"/>
      <c r="L342" s="5">
        <v>1</v>
      </c>
      <c r="M342" s="5">
        <v>1</v>
      </c>
      <c r="N342" s="5">
        <v>1</v>
      </c>
      <c r="O342" s="5">
        <v>1</v>
      </c>
      <c r="P342" s="5">
        <v>1</v>
      </c>
      <c r="Q342" s="6"/>
      <c r="R342" s="5">
        <v>1</v>
      </c>
      <c r="S342" s="5">
        <v>1</v>
      </c>
      <c r="T342" s="6"/>
      <c r="U342" s="5">
        <v>1</v>
      </c>
      <c r="V342" s="5">
        <v>1</v>
      </c>
      <c r="W342" s="5">
        <v>1</v>
      </c>
      <c r="X342" s="5">
        <v>1</v>
      </c>
      <c r="Y342" s="6"/>
      <c r="Z342" s="5">
        <v>1</v>
      </c>
      <c r="AA342" s="6"/>
      <c r="AB342" s="5">
        <v>1</v>
      </c>
      <c r="AC342" s="5">
        <v>1</v>
      </c>
      <c r="AD342" s="6"/>
      <c r="AE342" s="5">
        <v>1</v>
      </c>
      <c r="AF342" s="5">
        <v>1</v>
      </c>
      <c r="AG342" s="5">
        <v>1</v>
      </c>
      <c r="AH342" s="5">
        <v>1</v>
      </c>
      <c r="AI342" s="6"/>
      <c r="AJ342" s="5">
        <v>1</v>
      </c>
      <c r="AK342" s="5">
        <v>1</v>
      </c>
      <c r="AL342" s="6"/>
      <c r="AM342" s="5">
        <v>1</v>
      </c>
    </row>
    <row r="343" spans="1:39" s="7" customFormat="1" x14ac:dyDescent="0.25">
      <c r="A343" s="5">
        <v>244</v>
      </c>
      <c r="B343" s="6"/>
      <c r="C343" s="5">
        <v>1</v>
      </c>
      <c r="D343" s="6"/>
      <c r="E343" s="5">
        <v>1</v>
      </c>
      <c r="F343" s="6"/>
      <c r="G343" s="5">
        <v>1</v>
      </c>
      <c r="H343" s="5">
        <v>1</v>
      </c>
      <c r="I343" s="5">
        <v>1</v>
      </c>
      <c r="J343" s="5">
        <v>1</v>
      </c>
      <c r="K343" s="6"/>
      <c r="L343" s="5">
        <v>1</v>
      </c>
      <c r="M343" s="5">
        <v>1</v>
      </c>
      <c r="N343" s="5">
        <v>1</v>
      </c>
      <c r="O343" s="5">
        <v>1</v>
      </c>
      <c r="P343" s="5">
        <v>1</v>
      </c>
      <c r="Q343" s="6"/>
      <c r="R343" s="5">
        <v>1</v>
      </c>
      <c r="S343" s="5">
        <v>1</v>
      </c>
      <c r="T343" s="6"/>
      <c r="U343" s="5">
        <v>1</v>
      </c>
      <c r="V343" s="5">
        <v>1</v>
      </c>
      <c r="W343" s="5">
        <v>1</v>
      </c>
      <c r="X343" s="5">
        <v>1</v>
      </c>
      <c r="Y343" s="6"/>
      <c r="Z343" s="5">
        <v>1</v>
      </c>
      <c r="AA343" s="6"/>
      <c r="AB343" s="5">
        <v>1</v>
      </c>
      <c r="AC343" s="5">
        <v>1</v>
      </c>
      <c r="AD343" s="6"/>
      <c r="AE343" s="5">
        <v>1</v>
      </c>
      <c r="AF343" s="5">
        <v>1</v>
      </c>
      <c r="AG343" s="5">
        <v>1</v>
      </c>
      <c r="AH343" s="5">
        <v>1</v>
      </c>
      <c r="AI343" s="6"/>
      <c r="AJ343" s="5">
        <v>1</v>
      </c>
      <c r="AK343" s="5">
        <v>1</v>
      </c>
      <c r="AL343" s="6"/>
      <c r="AM343" s="5">
        <v>1</v>
      </c>
    </row>
    <row r="344" spans="1:39" s="7" customFormat="1" x14ac:dyDescent="0.25">
      <c r="A344" s="5">
        <v>246</v>
      </c>
      <c r="B344" s="5">
        <v>1</v>
      </c>
      <c r="C344" s="6"/>
      <c r="D344" s="5">
        <v>1</v>
      </c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5">
        <v>1</v>
      </c>
      <c r="AG344" s="6"/>
      <c r="AH344" s="6"/>
      <c r="AI344" s="6"/>
      <c r="AJ344" s="6"/>
      <c r="AK344" s="6"/>
      <c r="AL344" s="5">
        <v>1</v>
      </c>
      <c r="AM344" s="6"/>
    </row>
    <row r="345" spans="1:39" s="7" customFormat="1" x14ac:dyDescent="0.25">
      <c r="A345" s="5">
        <v>246</v>
      </c>
      <c r="B345" s="6"/>
      <c r="C345" s="6"/>
      <c r="D345" s="6"/>
      <c r="E345" s="6"/>
      <c r="F345" s="5">
        <v>1</v>
      </c>
      <c r="G345" s="6"/>
      <c r="H345" s="6"/>
      <c r="I345" s="6"/>
      <c r="J345" s="6"/>
      <c r="K345" s="6"/>
      <c r="L345" s="6"/>
      <c r="M345" s="5">
        <v>1</v>
      </c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5">
        <v>1</v>
      </c>
      <c r="Z345" s="6"/>
      <c r="AA345" s="6"/>
      <c r="AB345" s="6"/>
      <c r="AC345" s="6"/>
      <c r="AD345" s="5">
        <v>1</v>
      </c>
      <c r="AE345" s="6"/>
      <c r="AF345" s="6"/>
      <c r="AG345" s="6"/>
      <c r="AH345" s="6"/>
      <c r="AI345" s="6"/>
      <c r="AJ345" s="6"/>
      <c r="AK345" s="6"/>
      <c r="AL345" s="6"/>
      <c r="AM345" s="6"/>
    </row>
    <row r="346" spans="1:39" s="7" customFormat="1" x14ac:dyDescent="0.25">
      <c r="A346" s="5">
        <v>246</v>
      </c>
      <c r="B346" s="6"/>
      <c r="C346" s="6"/>
      <c r="D346" s="6"/>
      <c r="E346" s="5">
        <v>1</v>
      </c>
      <c r="F346" s="6"/>
      <c r="G346" s="6"/>
      <c r="H346" s="6"/>
      <c r="I346" s="5">
        <v>1</v>
      </c>
      <c r="J346" s="6"/>
      <c r="K346" s="5">
        <v>1</v>
      </c>
      <c r="L346" s="6"/>
      <c r="M346" s="6"/>
      <c r="N346" s="6"/>
      <c r="O346" s="6"/>
      <c r="P346" s="6"/>
      <c r="Q346" s="6"/>
      <c r="R346" s="6"/>
      <c r="S346" s="6"/>
      <c r="T346" s="6"/>
      <c r="U346" s="5">
        <v>1</v>
      </c>
      <c r="V346" s="6"/>
      <c r="W346" s="6"/>
      <c r="X346" s="6"/>
      <c r="Y346" s="6"/>
      <c r="Z346" s="6"/>
      <c r="AA346" s="6"/>
      <c r="AB346" s="6"/>
      <c r="AC346" s="5">
        <v>1</v>
      </c>
      <c r="AD346" s="6"/>
      <c r="AE346" s="6"/>
      <c r="AF346" s="6"/>
      <c r="AG346" s="5">
        <v>1</v>
      </c>
      <c r="AH346" s="5">
        <v>1</v>
      </c>
      <c r="AI346" s="6"/>
      <c r="AJ346" s="6"/>
      <c r="AK346" s="6"/>
      <c r="AL346" s="6"/>
      <c r="AM346" s="6"/>
    </row>
    <row r="347" spans="1:39" s="7" customFormat="1" x14ac:dyDescent="0.25">
      <c r="A347" s="5">
        <v>246</v>
      </c>
      <c r="B347" s="6"/>
      <c r="C347" s="6"/>
      <c r="D347" s="6"/>
      <c r="E347" s="6"/>
      <c r="F347" s="6"/>
      <c r="G347" s="6"/>
      <c r="H347" s="5">
        <v>1</v>
      </c>
      <c r="I347" s="6"/>
      <c r="J347" s="6"/>
      <c r="K347" s="6"/>
      <c r="L347" s="5">
        <v>1</v>
      </c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5">
        <v>1</v>
      </c>
      <c r="X347" s="5">
        <v>1</v>
      </c>
      <c r="Y347" s="6"/>
      <c r="Z347" s="6"/>
      <c r="AA347" s="5">
        <v>1</v>
      </c>
      <c r="AB347" s="6"/>
      <c r="AC347" s="6"/>
      <c r="AD347" s="6"/>
      <c r="AE347" s="6"/>
      <c r="AF347" s="6"/>
      <c r="AG347" s="6"/>
      <c r="AH347" s="6"/>
      <c r="AI347" s="5">
        <v>1</v>
      </c>
      <c r="AJ347" s="6"/>
      <c r="AK347" s="5">
        <v>1</v>
      </c>
      <c r="AL347" s="6"/>
      <c r="AM347" s="6"/>
    </row>
    <row r="348" spans="1:39" s="7" customFormat="1" x14ac:dyDescent="0.25">
      <c r="A348" s="5">
        <v>246</v>
      </c>
      <c r="B348" s="6"/>
      <c r="C348" s="6"/>
      <c r="D348" s="6"/>
      <c r="E348" s="6"/>
      <c r="F348" s="6"/>
      <c r="G348" s="6"/>
      <c r="H348" s="6"/>
      <c r="I348" s="6"/>
      <c r="J348" s="5">
        <v>1</v>
      </c>
      <c r="K348" s="6"/>
      <c r="L348" s="6"/>
      <c r="M348" s="6"/>
      <c r="N348" s="6"/>
      <c r="O348" s="5">
        <v>1</v>
      </c>
      <c r="P348" s="6"/>
      <c r="Q348" s="5">
        <v>1</v>
      </c>
      <c r="R348" s="6"/>
      <c r="S348" s="6"/>
      <c r="T348" s="5">
        <v>1</v>
      </c>
      <c r="U348" s="6"/>
      <c r="V348" s="5">
        <v>1</v>
      </c>
      <c r="W348" s="6"/>
      <c r="X348" s="6"/>
      <c r="Y348" s="6"/>
      <c r="Z348" s="5">
        <v>1</v>
      </c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</row>
    <row r="349" spans="1:39" s="7" customFormat="1" x14ac:dyDescent="0.25">
      <c r="A349" s="5">
        <v>246</v>
      </c>
      <c r="B349" s="6"/>
      <c r="C349" s="5">
        <v>1</v>
      </c>
      <c r="D349" s="6"/>
      <c r="E349" s="6"/>
      <c r="F349" s="6"/>
      <c r="G349" s="5">
        <v>1</v>
      </c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5">
        <v>1</v>
      </c>
      <c r="S349" s="5">
        <v>1</v>
      </c>
      <c r="T349" s="6"/>
      <c r="U349" s="6"/>
      <c r="V349" s="6"/>
      <c r="W349" s="6"/>
      <c r="X349" s="6"/>
      <c r="Y349" s="6"/>
      <c r="Z349" s="6"/>
      <c r="AA349" s="6"/>
      <c r="AB349" s="5">
        <v>1</v>
      </c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5">
        <v>1</v>
      </c>
    </row>
    <row r="350" spans="1:39" s="7" customFormat="1" x14ac:dyDescent="0.25">
      <c r="A350" s="5">
        <v>247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5">
        <v>1</v>
      </c>
      <c r="AG350" s="6"/>
      <c r="AH350" s="6"/>
      <c r="AI350" s="6"/>
      <c r="AJ350" s="6"/>
      <c r="AK350" s="6"/>
      <c r="AL350" s="6"/>
      <c r="AM350" s="6"/>
    </row>
    <row r="351" spans="1:39" s="7" customFormat="1" x14ac:dyDescent="0.25">
      <c r="A351" s="5">
        <v>247</v>
      </c>
      <c r="B351" s="6"/>
      <c r="C351" s="6"/>
      <c r="D351" s="6"/>
      <c r="E351" s="6"/>
      <c r="F351" s="5">
        <v>1</v>
      </c>
      <c r="G351" s="6"/>
      <c r="H351" s="6"/>
      <c r="I351" s="6"/>
      <c r="J351" s="6"/>
      <c r="K351" s="6"/>
      <c r="L351" s="6"/>
      <c r="M351" s="5">
        <v>1</v>
      </c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5">
        <v>1</v>
      </c>
      <c r="AE351" s="6"/>
      <c r="AF351" s="6"/>
      <c r="AG351" s="6"/>
      <c r="AH351" s="6"/>
      <c r="AI351" s="6"/>
      <c r="AJ351" s="6"/>
      <c r="AK351" s="6"/>
      <c r="AL351" s="6"/>
      <c r="AM351" s="6"/>
    </row>
    <row r="352" spans="1:39" s="7" customFormat="1" x14ac:dyDescent="0.25">
      <c r="A352" s="5">
        <v>247</v>
      </c>
      <c r="B352" s="6"/>
      <c r="C352" s="6"/>
      <c r="D352" s="6"/>
      <c r="E352" s="6"/>
      <c r="F352" s="6"/>
      <c r="G352" s="6"/>
      <c r="H352" s="6"/>
      <c r="I352" s="5">
        <v>1</v>
      </c>
      <c r="J352" s="6"/>
      <c r="K352" s="5">
        <v>1</v>
      </c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5">
        <v>1</v>
      </c>
      <c r="AD352" s="6"/>
      <c r="AE352" s="6"/>
      <c r="AF352" s="6"/>
      <c r="AG352" s="6"/>
      <c r="AH352" s="5">
        <v>1</v>
      </c>
      <c r="AI352" s="6"/>
      <c r="AJ352" s="6"/>
      <c r="AK352" s="6"/>
      <c r="AL352" s="6"/>
      <c r="AM352" s="6"/>
    </row>
    <row r="353" spans="1:39" s="7" customFormat="1" x14ac:dyDescent="0.25">
      <c r="A353" s="5">
        <v>247</v>
      </c>
      <c r="B353" s="6"/>
      <c r="C353" s="6"/>
      <c r="D353" s="6"/>
      <c r="E353" s="6"/>
      <c r="F353" s="6"/>
      <c r="G353" s="6"/>
      <c r="H353" s="5">
        <v>1</v>
      </c>
      <c r="I353" s="6"/>
      <c r="J353" s="6"/>
      <c r="K353" s="6"/>
      <c r="L353" s="5">
        <v>1</v>
      </c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5">
        <v>1</v>
      </c>
      <c r="X353" s="5">
        <v>1</v>
      </c>
      <c r="Y353" s="6"/>
      <c r="Z353" s="6"/>
      <c r="AA353" s="5">
        <v>1</v>
      </c>
      <c r="AB353" s="6"/>
      <c r="AC353" s="6"/>
      <c r="AD353" s="6"/>
      <c r="AE353" s="6"/>
      <c r="AF353" s="6"/>
      <c r="AG353" s="6"/>
      <c r="AH353" s="6"/>
      <c r="AI353" s="5">
        <v>1</v>
      </c>
      <c r="AJ353" s="6"/>
      <c r="AK353" s="5">
        <v>1</v>
      </c>
      <c r="AL353" s="6"/>
      <c r="AM353" s="6"/>
    </row>
    <row r="354" spans="1:39" s="7" customFormat="1" x14ac:dyDescent="0.25">
      <c r="A354" s="5">
        <v>247</v>
      </c>
      <c r="B354" s="6"/>
      <c r="C354" s="6"/>
      <c r="D354" s="6"/>
      <c r="E354" s="6"/>
      <c r="F354" s="6"/>
      <c r="G354" s="6"/>
      <c r="H354" s="6"/>
      <c r="I354" s="6"/>
      <c r="J354" s="5">
        <v>1</v>
      </c>
      <c r="K354" s="6"/>
      <c r="L354" s="6"/>
      <c r="M354" s="6"/>
      <c r="N354" s="6"/>
      <c r="O354" s="5">
        <v>1</v>
      </c>
      <c r="P354" s="6"/>
      <c r="Q354" s="5">
        <v>1</v>
      </c>
      <c r="R354" s="6"/>
      <c r="S354" s="6"/>
      <c r="T354" s="5">
        <v>1</v>
      </c>
      <c r="U354" s="6"/>
      <c r="V354" s="5">
        <v>1</v>
      </c>
      <c r="W354" s="6"/>
      <c r="X354" s="6"/>
      <c r="Y354" s="6"/>
      <c r="Z354" s="5">
        <v>1</v>
      </c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</row>
    <row r="355" spans="1:39" s="7" customFormat="1" x14ac:dyDescent="0.25">
      <c r="A355" s="5">
        <v>247</v>
      </c>
      <c r="B355" s="6"/>
      <c r="C355" s="5">
        <v>1</v>
      </c>
      <c r="D355" s="6"/>
      <c r="E355" s="6"/>
      <c r="F355" s="6"/>
      <c r="G355" s="5">
        <v>1</v>
      </c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5">
        <v>1</v>
      </c>
      <c r="S355" s="5">
        <v>1</v>
      </c>
      <c r="T355" s="6"/>
      <c r="U355" s="6"/>
      <c r="V355" s="6"/>
      <c r="W355" s="6"/>
      <c r="X355" s="6"/>
      <c r="Y355" s="6"/>
      <c r="Z355" s="6"/>
      <c r="AA355" s="6"/>
      <c r="AB355" s="5">
        <v>1</v>
      </c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5">
        <v>1</v>
      </c>
    </row>
    <row r="356" spans="1:39" s="7" customFormat="1" x14ac:dyDescent="0.25">
      <c r="A356" s="5">
        <v>247</v>
      </c>
      <c r="B356" s="5">
        <v>1</v>
      </c>
      <c r="C356" s="6"/>
      <c r="D356" s="5">
        <v>1</v>
      </c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5">
        <v>1</v>
      </c>
      <c r="AM356" s="6"/>
    </row>
    <row r="357" spans="1:39" s="7" customFormat="1" x14ac:dyDescent="0.25">
      <c r="A357" s="5">
        <v>247</v>
      </c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5">
        <v>1</v>
      </c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</row>
    <row r="358" spans="1:39" s="7" customFormat="1" x14ac:dyDescent="0.25">
      <c r="A358" s="5">
        <v>247</v>
      </c>
      <c r="B358" s="6"/>
      <c r="C358" s="6"/>
      <c r="D358" s="6"/>
      <c r="E358" s="5">
        <v>1</v>
      </c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5">
        <v>1</v>
      </c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5">
        <v>1</v>
      </c>
      <c r="AH358" s="6"/>
      <c r="AI358" s="6"/>
      <c r="AJ358" s="6"/>
      <c r="AK358" s="6"/>
      <c r="AL358" s="6"/>
      <c r="AM358" s="6"/>
    </row>
    <row r="359" spans="1:39" s="7" customFormat="1" x14ac:dyDescent="0.25">
      <c r="A359" s="5">
        <v>248</v>
      </c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5">
        <v>1</v>
      </c>
      <c r="AH359" s="6"/>
      <c r="AI359" s="6"/>
      <c r="AJ359" s="6"/>
      <c r="AK359" s="6"/>
      <c r="AL359" s="6"/>
      <c r="AM359" s="6"/>
    </row>
    <row r="360" spans="1:39" s="7" customFormat="1" x14ac:dyDescent="0.25">
      <c r="A360" s="5">
        <v>248</v>
      </c>
      <c r="B360" s="6"/>
      <c r="C360" s="6"/>
      <c r="D360" s="6"/>
      <c r="E360" s="6"/>
      <c r="F360" s="6"/>
      <c r="G360" s="6"/>
      <c r="H360" s="5">
        <v>1</v>
      </c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5">
        <v>1</v>
      </c>
      <c r="AI360" s="6"/>
      <c r="AJ360" s="6"/>
      <c r="AK360" s="6"/>
      <c r="AL360" s="6"/>
      <c r="AM360" s="6"/>
    </row>
    <row r="361" spans="1:39" s="7" customFormat="1" x14ac:dyDescent="0.25">
      <c r="A361" s="5">
        <v>248</v>
      </c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5">
        <v>1</v>
      </c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</row>
    <row r="362" spans="1:39" s="7" customFormat="1" x14ac:dyDescent="0.25">
      <c r="A362" s="5">
        <v>248</v>
      </c>
      <c r="B362" s="6"/>
      <c r="C362" s="6"/>
      <c r="D362" s="6"/>
      <c r="E362" s="5">
        <v>1</v>
      </c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</row>
    <row r="363" spans="1:39" s="7" customFormat="1" x14ac:dyDescent="0.25">
      <c r="A363" s="5">
        <v>248</v>
      </c>
      <c r="B363" s="6"/>
      <c r="C363" s="6"/>
      <c r="D363" s="6"/>
      <c r="E363" s="6"/>
      <c r="F363" s="6"/>
      <c r="G363" s="6"/>
      <c r="H363" s="6"/>
      <c r="I363" s="5">
        <v>1</v>
      </c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5">
        <v>1</v>
      </c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</row>
    <row r="364" spans="1:39" s="7" customFormat="1" x14ac:dyDescent="0.25">
      <c r="A364" s="5">
        <v>248</v>
      </c>
      <c r="B364" s="6"/>
      <c r="C364" s="6"/>
      <c r="D364" s="6"/>
      <c r="E364" s="6"/>
      <c r="F364" s="6"/>
      <c r="G364" s="6"/>
      <c r="H364" s="6"/>
      <c r="I364" s="6"/>
      <c r="J364" s="5">
        <v>1</v>
      </c>
      <c r="K364" s="6"/>
      <c r="L364" s="6"/>
      <c r="M364" s="6"/>
      <c r="N364" s="6"/>
      <c r="O364" s="5">
        <v>1</v>
      </c>
      <c r="P364" s="6"/>
      <c r="Q364" s="6"/>
      <c r="R364" s="5">
        <v>1</v>
      </c>
      <c r="S364" s="6"/>
      <c r="T364" s="6"/>
      <c r="U364" s="6"/>
      <c r="V364" s="6"/>
      <c r="W364" s="6"/>
      <c r="X364" s="6"/>
      <c r="Y364" s="6"/>
      <c r="Z364" s="6"/>
      <c r="AA364" s="6"/>
      <c r="AB364" s="5">
        <v>1</v>
      </c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</row>
    <row r="365" spans="1:39" s="7" customFormat="1" x14ac:dyDescent="0.25">
      <c r="A365" s="5">
        <v>248</v>
      </c>
      <c r="B365" s="5">
        <v>1</v>
      </c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5">
        <v>1</v>
      </c>
      <c r="AG365" s="6"/>
      <c r="AH365" s="6"/>
      <c r="AI365" s="6"/>
      <c r="AJ365" s="6"/>
      <c r="AK365" s="6"/>
      <c r="AL365" s="6"/>
      <c r="AM365" s="6"/>
    </row>
    <row r="366" spans="1:39" s="7" customFormat="1" x14ac:dyDescent="0.25">
      <c r="A366" s="5">
        <v>248</v>
      </c>
      <c r="B366" s="6"/>
      <c r="C366" s="6"/>
      <c r="D366" s="6"/>
      <c r="E366" s="6"/>
      <c r="F366" s="5">
        <v>1</v>
      </c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</row>
    <row r="367" spans="1:39" s="7" customFormat="1" x14ac:dyDescent="0.25">
      <c r="A367" s="5">
        <v>248</v>
      </c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5">
        <v>1</v>
      </c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</row>
    <row r="368" spans="1:39" s="7" customFormat="1" x14ac:dyDescent="0.25">
      <c r="A368" s="5">
        <v>248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5">
        <v>1</v>
      </c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</row>
    <row r="369" spans="1:39" s="7" customFormat="1" x14ac:dyDescent="0.25">
      <c r="A369" s="5">
        <v>248</v>
      </c>
      <c r="B369" s="6"/>
      <c r="C369" s="6"/>
      <c r="D369" s="6"/>
      <c r="E369" s="6"/>
      <c r="F369" s="6"/>
      <c r="G369" s="6"/>
      <c r="H369" s="6"/>
      <c r="I369" s="6"/>
      <c r="J369" s="6"/>
      <c r="K369" s="5">
        <v>1</v>
      </c>
      <c r="L369" s="6"/>
      <c r="M369" s="5">
        <v>1</v>
      </c>
      <c r="N369" s="6"/>
      <c r="O369" s="6"/>
      <c r="P369" s="6"/>
      <c r="Q369" s="6"/>
      <c r="R369" s="6"/>
      <c r="S369" s="6"/>
      <c r="T369" s="6"/>
      <c r="U369" s="5">
        <v>1</v>
      </c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</row>
    <row r="370" spans="1:39" s="7" customFormat="1" x14ac:dyDescent="0.25">
      <c r="A370" s="5">
        <v>248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5">
        <v>1</v>
      </c>
      <c r="AD370" s="6"/>
      <c r="AE370" s="6"/>
      <c r="AF370" s="6"/>
      <c r="AG370" s="6"/>
      <c r="AH370" s="6"/>
      <c r="AI370" s="6"/>
      <c r="AJ370" s="6"/>
      <c r="AK370" s="5">
        <v>1</v>
      </c>
      <c r="AL370" s="6"/>
      <c r="AM370" s="6"/>
    </row>
    <row r="371" spans="1:39" s="7" customFormat="1" x14ac:dyDescent="0.25">
      <c r="A371" s="5">
        <v>248</v>
      </c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5">
        <v>1</v>
      </c>
      <c r="M371" s="6"/>
      <c r="N371" s="6"/>
      <c r="O371" s="6"/>
      <c r="P371" s="6"/>
      <c r="Q371" s="5">
        <v>1</v>
      </c>
      <c r="R371" s="6"/>
      <c r="S371" s="6"/>
      <c r="T371" s="5">
        <v>1</v>
      </c>
      <c r="U371" s="6"/>
      <c r="V371" s="6"/>
      <c r="W371" s="6"/>
      <c r="X371" s="5">
        <v>1</v>
      </c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</row>
    <row r="372" spans="1:39" s="7" customFormat="1" x14ac:dyDescent="0.25">
      <c r="A372" s="5">
        <v>248</v>
      </c>
      <c r="B372" s="6"/>
      <c r="C372" s="5">
        <v>1</v>
      </c>
      <c r="D372" s="6"/>
      <c r="E372" s="6"/>
      <c r="F372" s="6"/>
      <c r="G372" s="5">
        <v>1</v>
      </c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5">
        <v>1</v>
      </c>
      <c r="W372" s="6"/>
      <c r="X372" s="6"/>
      <c r="Y372" s="6"/>
      <c r="Z372" s="5">
        <v>1</v>
      </c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5">
        <v>1</v>
      </c>
    </row>
    <row r="373" spans="1:39" s="7" customFormat="1" x14ac:dyDescent="0.25">
      <c r="A373" s="5">
        <v>248</v>
      </c>
      <c r="B373" s="6"/>
      <c r="C373" s="6"/>
      <c r="D373" s="5">
        <v>1</v>
      </c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5">
        <v>1</v>
      </c>
      <c r="AM373" s="6"/>
    </row>
    <row r="374" spans="1:39" s="7" customFormat="1" x14ac:dyDescent="0.25">
      <c r="A374" s="5">
        <v>248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5">
        <v>1</v>
      </c>
      <c r="AE374" s="6"/>
      <c r="AF374" s="6"/>
      <c r="AG374" s="6"/>
      <c r="AH374" s="6"/>
      <c r="AI374" s="6"/>
      <c r="AJ374" s="6"/>
      <c r="AK374" s="6"/>
      <c r="AL374" s="6"/>
      <c r="AM374" s="6"/>
    </row>
    <row r="375" spans="1:39" s="7" customFormat="1" x14ac:dyDescent="0.25">
      <c r="A375" s="5">
        <v>248</v>
      </c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5">
        <v>1</v>
      </c>
      <c r="AJ375" s="6"/>
      <c r="AK375" s="6"/>
      <c r="AL375" s="6"/>
      <c r="AM375" s="6"/>
    </row>
    <row r="376" spans="1:39" s="7" customFormat="1" x14ac:dyDescent="0.25">
      <c r="A376" s="5">
        <v>249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5">
        <v>1</v>
      </c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</row>
    <row r="377" spans="1:39" s="7" customFormat="1" x14ac:dyDescent="0.25">
      <c r="A377" s="5">
        <v>249</v>
      </c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5">
        <v>1</v>
      </c>
      <c r="AF377" s="6"/>
      <c r="AG377" s="6"/>
      <c r="AH377" s="6"/>
      <c r="AI377" s="6"/>
      <c r="AJ377" s="6"/>
      <c r="AK377" s="6"/>
      <c r="AL377" s="6"/>
      <c r="AM377" s="6"/>
    </row>
    <row r="378" spans="1:39" s="7" customFormat="1" x14ac:dyDescent="0.25">
      <c r="A378" s="5">
        <v>249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5">
        <v>1</v>
      </c>
      <c r="AK378" s="6"/>
      <c r="AL378" s="6"/>
      <c r="AM378" s="6"/>
    </row>
    <row r="379" spans="1:39" s="7" customFormat="1" x14ac:dyDescent="0.25">
      <c r="A379" s="5">
        <v>249</v>
      </c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5">
        <v>1</v>
      </c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</row>
    <row r="380" spans="1:39" s="7" customFormat="1" x14ac:dyDescent="0.25">
      <c r="A380" s="5">
        <v>250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5">
        <v>1</v>
      </c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</row>
    <row r="381" spans="1:39" s="7" customFormat="1" x14ac:dyDescent="0.25">
      <c r="A381" s="5">
        <v>250</v>
      </c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5">
        <v>1</v>
      </c>
      <c r="AF381" s="6"/>
      <c r="AG381" s="6"/>
      <c r="AH381" s="6"/>
      <c r="AI381" s="6"/>
      <c r="AJ381" s="6"/>
      <c r="AK381" s="6"/>
      <c r="AL381" s="6"/>
      <c r="AM381" s="6"/>
    </row>
    <row r="382" spans="1:39" s="7" customFormat="1" x14ac:dyDescent="0.25">
      <c r="A382" s="5">
        <v>250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5">
        <v>1</v>
      </c>
      <c r="AK382" s="6"/>
      <c r="AL382" s="6"/>
      <c r="AM382" s="6"/>
    </row>
    <row r="383" spans="1:39" s="7" customFormat="1" x14ac:dyDescent="0.25">
      <c r="A383" s="5">
        <v>250</v>
      </c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5">
        <v>1</v>
      </c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</row>
    <row r="384" spans="1:39" s="7" customFormat="1" x14ac:dyDescent="0.25">
      <c r="A384" s="5">
        <v>251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5">
        <v>1</v>
      </c>
      <c r="O384" s="6"/>
      <c r="P384" s="5">
        <v>1</v>
      </c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</row>
    <row r="385" spans="1:39" s="7" customFormat="1" x14ac:dyDescent="0.25">
      <c r="A385" s="5">
        <v>251</v>
      </c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5">
        <v>1</v>
      </c>
      <c r="AF385" s="6"/>
      <c r="AG385" s="6"/>
      <c r="AH385" s="6"/>
      <c r="AI385" s="6"/>
      <c r="AJ385" s="6"/>
      <c r="AK385" s="6"/>
      <c r="AL385" s="6"/>
      <c r="AM385" s="6"/>
    </row>
    <row r="386" spans="1:39" s="7" customFormat="1" x14ac:dyDescent="0.25">
      <c r="A386" s="5">
        <v>251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5">
        <v>1</v>
      </c>
      <c r="AK386" s="6"/>
      <c r="AL386" s="6"/>
      <c r="AM386" s="6"/>
    </row>
    <row r="387" spans="1:39" s="7" customFormat="1" x14ac:dyDescent="0.25">
      <c r="A387" s="5">
        <v>252</v>
      </c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5">
        <v>1</v>
      </c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5">
        <v>1</v>
      </c>
      <c r="AK387" s="6"/>
      <c r="AL387" s="6"/>
      <c r="AM387" s="6"/>
    </row>
    <row r="388" spans="1:39" s="7" customFormat="1" x14ac:dyDescent="0.25">
      <c r="A388" s="5">
        <v>252</v>
      </c>
      <c r="B388" s="6"/>
      <c r="C388" s="6"/>
      <c r="D388" s="6"/>
      <c r="E388" s="6"/>
      <c r="F388" s="6"/>
      <c r="G388" s="6"/>
      <c r="H388" s="5">
        <v>1</v>
      </c>
      <c r="I388" s="6"/>
      <c r="J388" s="6"/>
      <c r="K388" s="6"/>
      <c r="L388" s="6"/>
      <c r="M388" s="6"/>
      <c r="N388" s="5">
        <v>1</v>
      </c>
      <c r="O388" s="6"/>
      <c r="P388" s="5">
        <v>1</v>
      </c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5">
        <v>1</v>
      </c>
      <c r="AF388" s="6"/>
      <c r="AG388" s="5">
        <v>1</v>
      </c>
      <c r="AH388" s="5">
        <v>1</v>
      </c>
      <c r="AI388" s="6"/>
      <c r="AJ388" s="6"/>
      <c r="AK388" s="6"/>
      <c r="AL388" s="6"/>
      <c r="AM388" s="6"/>
    </row>
    <row r="389" spans="1:39" s="7" customFormat="1" x14ac:dyDescent="0.25">
      <c r="A389" s="5">
        <v>253</v>
      </c>
      <c r="B389" s="6"/>
      <c r="C389" s="5">
        <v>1</v>
      </c>
      <c r="D389" s="6"/>
      <c r="E389" s="5">
        <v>1</v>
      </c>
      <c r="F389" s="6"/>
      <c r="G389" s="5">
        <v>1</v>
      </c>
      <c r="H389" s="6"/>
      <c r="I389" s="5">
        <v>1</v>
      </c>
      <c r="J389" s="5">
        <v>1</v>
      </c>
      <c r="K389" s="6"/>
      <c r="L389" s="6"/>
      <c r="M389" s="6"/>
      <c r="N389" s="6"/>
      <c r="O389" s="5">
        <v>1</v>
      </c>
      <c r="P389" s="6"/>
      <c r="Q389" s="6"/>
      <c r="R389" s="5">
        <v>1</v>
      </c>
      <c r="S389" s="6"/>
      <c r="T389" s="6"/>
      <c r="U389" s="5">
        <v>1</v>
      </c>
      <c r="V389" s="5">
        <v>1</v>
      </c>
      <c r="W389" s="5">
        <v>1</v>
      </c>
      <c r="X389" s="6"/>
      <c r="Y389" s="6"/>
      <c r="Z389" s="5">
        <v>1</v>
      </c>
      <c r="AA389" s="6"/>
      <c r="AB389" s="5">
        <v>1</v>
      </c>
      <c r="AC389" s="5">
        <v>1</v>
      </c>
      <c r="AD389" s="6"/>
      <c r="AE389" s="6"/>
      <c r="AF389" s="6"/>
      <c r="AG389" s="6"/>
      <c r="AH389" s="6"/>
      <c r="AI389" s="6"/>
      <c r="AJ389" s="6"/>
      <c r="AK389" s="5">
        <v>1</v>
      </c>
      <c r="AL389" s="6"/>
      <c r="AM389" s="5">
        <v>1</v>
      </c>
    </row>
    <row r="390" spans="1:39" s="7" customFormat="1" x14ac:dyDescent="0.25">
      <c r="A390" s="5">
        <v>254</v>
      </c>
      <c r="B390" s="6"/>
      <c r="C390" s="6"/>
      <c r="D390" s="6"/>
      <c r="E390" s="5">
        <v>1</v>
      </c>
      <c r="F390" s="6"/>
      <c r="G390" s="6"/>
      <c r="H390" s="6"/>
      <c r="I390" s="5">
        <v>1</v>
      </c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5">
        <v>1</v>
      </c>
      <c r="V390" s="6"/>
      <c r="W390" s="6"/>
      <c r="X390" s="6"/>
      <c r="Y390" s="6"/>
      <c r="Z390" s="6"/>
      <c r="AA390" s="6"/>
      <c r="AB390" s="6"/>
      <c r="AC390" s="5">
        <v>1</v>
      </c>
      <c r="AD390" s="6"/>
      <c r="AE390" s="6"/>
      <c r="AF390" s="6"/>
      <c r="AG390" s="6"/>
      <c r="AH390" s="6"/>
      <c r="AI390" s="6"/>
      <c r="AJ390" s="6"/>
      <c r="AK390" s="6"/>
      <c r="AL390" s="6"/>
      <c r="AM390" s="6"/>
    </row>
    <row r="391" spans="1:39" s="7" customFormat="1" x14ac:dyDescent="0.25">
      <c r="A391" s="5">
        <v>254</v>
      </c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5">
        <v>1</v>
      </c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5">
        <v>1</v>
      </c>
      <c r="AL391" s="6"/>
      <c r="AM391" s="6"/>
    </row>
    <row r="392" spans="1:39" s="7" customFormat="1" x14ac:dyDescent="0.25">
      <c r="A392" s="5">
        <v>254</v>
      </c>
      <c r="B392" s="6"/>
      <c r="C392" s="6"/>
      <c r="D392" s="6"/>
      <c r="E392" s="6"/>
      <c r="F392" s="6"/>
      <c r="G392" s="6"/>
      <c r="H392" s="6"/>
      <c r="I392" s="6"/>
      <c r="J392" s="5">
        <v>1</v>
      </c>
      <c r="K392" s="6"/>
      <c r="L392" s="6"/>
      <c r="M392" s="6"/>
      <c r="N392" s="6"/>
      <c r="O392" s="5">
        <v>1</v>
      </c>
      <c r="P392" s="6"/>
      <c r="Q392" s="6"/>
      <c r="R392" s="6"/>
      <c r="S392" s="6"/>
      <c r="T392" s="6"/>
      <c r="U392" s="6"/>
      <c r="V392" s="5">
        <v>1</v>
      </c>
      <c r="W392" s="6"/>
      <c r="X392" s="6"/>
      <c r="Y392" s="6"/>
      <c r="Z392" s="5">
        <v>1</v>
      </c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</row>
    <row r="393" spans="1:39" s="7" customFormat="1" x14ac:dyDescent="0.25">
      <c r="A393" s="5">
        <v>254</v>
      </c>
      <c r="B393" s="6"/>
      <c r="C393" s="5">
        <v>1</v>
      </c>
      <c r="D393" s="6"/>
      <c r="E393" s="6"/>
      <c r="F393" s="6"/>
      <c r="G393" s="5">
        <v>1</v>
      </c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5">
        <v>1</v>
      </c>
      <c r="S393" s="6"/>
      <c r="T393" s="6"/>
      <c r="U393" s="6"/>
      <c r="V393" s="6"/>
      <c r="W393" s="6"/>
      <c r="X393" s="6"/>
      <c r="Y393" s="6"/>
      <c r="Z393" s="6"/>
      <c r="AA393" s="6"/>
      <c r="AB393" s="5">
        <v>1</v>
      </c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5">
        <v>1</v>
      </c>
    </row>
    <row r="394" spans="1:39" s="7" customFormat="1" x14ac:dyDescent="0.25">
      <c r="A394" s="5">
        <v>255</v>
      </c>
      <c r="B394" s="6"/>
      <c r="C394" s="6"/>
      <c r="D394" s="6"/>
      <c r="E394" s="6"/>
      <c r="F394" s="6"/>
      <c r="G394" s="6"/>
      <c r="H394" s="5">
        <v>1</v>
      </c>
      <c r="I394" s="6"/>
      <c r="J394" s="6"/>
      <c r="K394" s="6"/>
      <c r="L394" s="6"/>
      <c r="M394" s="6"/>
      <c r="N394" s="5">
        <v>1</v>
      </c>
      <c r="O394" s="6"/>
      <c r="P394" s="5">
        <v>1</v>
      </c>
      <c r="Q394" s="6"/>
      <c r="R394" s="6"/>
      <c r="S394" s="5">
        <v>1</v>
      </c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5">
        <v>1</v>
      </c>
      <c r="AF394" s="6"/>
      <c r="AG394" s="5">
        <v>1</v>
      </c>
      <c r="AH394" s="5">
        <v>1</v>
      </c>
      <c r="AI394" s="6"/>
      <c r="AJ394" s="5">
        <v>1</v>
      </c>
      <c r="AK394" s="6"/>
      <c r="AL394" s="6"/>
      <c r="AM394" s="6"/>
    </row>
    <row r="395" spans="1:39" s="7" customFormat="1" x14ac:dyDescent="0.25">
      <c r="A395" s="5">
        <v>255</v>
      </c>
      <c r="B395" s="6"/>
      <c r="C395" s="6"/>
      <c r="D395" s="6"/>
      <c r="E395" s="5">
        <v>1</v>
      </c>
      <c r="F395" s="6"/>
      <c r="G395" s="6"/>
      <c r="H395" s="6"/>
      <c r="I395" s="5">
        <v>1</v>
      </c>
      <c r="J395" s="5">
        <v>1</v>
      </c>
      <c r="K395" s="6"/>
      <c r="L395" s="6"/>
      <c r="M395" s="6"/>
      <c r="N395" s="6"/>
      <c r="O395" s="5">
        <v>1</v>
      </c>
      <c r="P395" s="6"/>
      <c r="Q395" s="6"/>
      <c r="R395" s="5">
        <v>1</v>
      </c>
      <c r="S395" s="6"/>
      <c r="T395" s="6"/>
      <c r="U395" s="6"/>
      <c r="V395" s="6"/>
      <c r="W395" s="5">
        <v>1</v>
      </c>
      <c r="X395" s="6"/>
      <c r="Y395" s="6"/>
      <c r="Z395" s="6"/>
      <c r="AA395" s="6"/>
      <c r="AB395" s="5">
        <v>1</v>
      </c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</row>
    <row r="396" spans="1:39" s="7" customFormat="1" x14ac:dyDescent="0.25">
      <c r="A396" s="5">
        <v>256</v>
      </c>
      <c r="B396" s="6"/>
      <c r="C396" s="6"/>
      <c r="D396" s="6"/>
      <c r="E396" s="5">
        <v>1</v>
      </c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</row>
    <row r="397" spans="1:39" s="7" customFormat="1" x14ac:dyDescent="0.25">
      <c r="A397" s="5">
        <v>256</v>
      </c>
      <c r="B397" s="6"/>
      <c r="C397" s="6"/>
      <c r="D397" s="6"/>
      <c r="E397" s="6"/>
      <c r="F397" s="6"/>
      <c r="G397" s="6"/>
      <c r="H397" s="6"/>
      <c r="I397" s="5">
        <v>1</v>
      </c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5">
        <v>1</v>
      </c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</row>
    <row r="398" spans="1:39" s="7" customFormat="1" x14ac:dyDescent="0.25">
      <c r="A398" s="5">
        <v>256</v>
      </c>
      <c r="B398" s="6"/>
      <c r="C398" s="6"/>
      <c r="D398" s="6"/>
      <c r="E398" s="6"/>
      <c r="F398" s="6"/>
      <c r="G398" s="6"/>
      <c r="H398" s="6"/>
      <c r="I398" s="6"/>
      <c r="J398" s="5">
        <v>1</v>
      </c>
      <c r="K398" s="6"/>
      <c r="L398" s="6"/>
      <c r="M398" s="6"/>
      <c r="N398" s="6"/>
      <c r="O398" s="5">
        <v>1</v>
      </c>
      <c r="P398" s="6"/>
      <c r="Q398" s="6"/>
      <c r="R398" s="5">
        <v>1</v>
      </c>
      <c r="S398" s="6"/>
      <c r="T398" s="6"/>
      <c r="U398" s="6"/>
      <c r="V398" s="6"/>
      <c r="W398" s="6"/>
      <c r="X398" s="6"/>
      <c r="Y398" s="6"/>
      <c r="Z398" s="6"/>
      <c r="AA398" s="6"/>
      <c r="AB398" s="5">
        <v>1</v>
      </c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</row>
    <row r="399" spans="1:39" s="7" customFormat="1" x14ac:dyDescent="0.25">
      <c r="A399" s="5">
        <v>257</v>
      </c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5">
        <v>1</v>
      </c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5">
        <v>1</v>
      </c>
      <c r="AH399" s="6"/>
      <c r="AI399" s="6"/>
      <c r="AJ399" s="6"/>
      <c r="AK399" s="6"/>
      <c r="AL399" s="6"/>
      <c r="AM399" s="6"/>
    </row>
    <row r="400" spans="1:39" s="7" customFormat="1" x14ac:dyDescent="0.25">
      <c r="A400" s="5">
        <v>257</v>
      </c>
      <c r="B400" s="6"/>
      <c r="C400" s="6"/>
      <c r="D400" s="6"/>
      <c r="E400" s="6"/>
      <c r="F400" s="6"/>
      <c r="G400" s="6"/>
      <c r="H400" s="5">
        <v>1</v>
      </c>
      <c r="I400" s="6"/>
      <c r="J400" s="6"/>
      <c r="K400" s="6"/>
      <c r="L400" s="6"/>
      <c r="M400" s="6"/>
      <c r="N400" s="6"/>
      <c r="O400" s="6"/>
      <c r="P400" s="5">
        <v>1</v>
      </c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5">
        <v>1</v>
      </c>
      <c r="AF400" s="6"/>
      <c r="AG400" s="6"/>
      <c r="AH400" s="5">
        <v>1</v>
      </c>
      <c r="AI400" s="6"/>
      <c r="AJ400" s="6"/>
      <c r="AK400" s="6"/>
      <c r="AL400" s="6"/>
      <c r="AM400" s="6"/>
    </row>
    <row r="401" spans="1:39" s="7" customFormat="1" x14ac:dyDescent="0.25">
      <c r="A401" s="5">
        <v>257</v>
      </c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5">
        <v>1</v>
      </c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5">
        <v>1</v>
      </c>
      <c r="AK401" s="6"/>
      <c r="AL401" s="6"/>
      <c r="AM401" s="6"/>
    </row>
    <row r="402" spans="1:39" s="7" customFormat="1" x14ac:dyDescent="0.25">
      <c r="A402" s="5">
        <v>258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5">
        <v>1</v>
      </c>
      <c r="O402" s="6"/>
      <c r="P402" s="5">
        <v>1</v>
      </c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5">
        <v>1</v>
      </c>
      <c r="AH402" s="5">
        <v>1</v>
      </c>
      <c r="AI402" s="6"/>
      <c r="AJ402" s="6"/>
      <c r="AK402" s="6"/>
      <c r="AL402" s="6"/>
      <c r="AM402" s="6"/>
    </row>
    <row r="403" spans="1:39" s="7" customFormat="1" x14ac:dyDescent="0.25">
      <c r="A403" s="5">
        <v>258</v>
      </c>
      <c r="B403" s="6"/>
      <c r="C403" s="6"/>
      <c r="D403" s="6"/>
      <c r="E403" s="6"/>
      <c r="F403" s="6"/>
      <c r="G403" s="6"/>
      <c r="H403" s="5">
        <v>1</v>
      </c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5">
        <v>1</v>
      </c>
      <c r="AF403" s="6"/>
      <c r="AG403" s="6"/>
      <c r="AH403" s="6"/>
      <c r="AI403" s="6"/>
      <c r="AJ403" s="6"/>
      <c r="AK403" s="6"/>
      <c r="AL403" s="6"/>
      <c r="AM403" s="6"/>
    </row>
    <row r="404" spans="1:39" s="7" customFormat="1" x14ac:dyDescent="0.25">
      <c r="A404" s="5">
        <v>258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5">
        <v>1</v>
      </c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5">
        <v>1</v>
      </c>
      <c r="AK404" s="6"/>
      <c r="AL404" s="6"/>
      <c r="AM404" s="6"/>
    </row>
    <row r="405" spans="1:39" s="7" customFormat="1" x14ac:dyDescent="0.25">
      <c r="A405" s="5">
        <v>259</v>
      </c>
      <c r="B405" s="6"/>
      <c r="C405" s="6"/>
      <c r="D405" s="6"/>
      <c r="E405" s="6"/>
      <c r="F405" s="6"/>
      <c r="G405" s="6"/>
      <c r="H405" s="5">
        <v>1</v>
      </c>
      <c r="I405" s="6"/>
      <c r="J405" s="6"/>
      <c r="K405" s="6"/>
      <c r="L405" s="6"/>
      <c r="M405" s="6"/>
      <c r="N405" s="5">
        <v>1</v>
      </c>
      <c r="O405" s="6"/>
      <c r="P405" s="5">
        <v>1</v>
      </c>
      <c r="Q405" s="6"/>
      <c r="R405" s="6"/>
      <c r="S405" s="5">
        <v>1</v>
      </c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5">
        <v>1</v>
      </c>
      <c r="AF405" s="6"/>
      <c r="AG405" s="5">
        <v>1</v>
      </c>
      <c r="AH405" s="5">
        <v>1</v>
      </c>
      <c r="AI405" s="6"/>
      <c r="AJ405" s="5">
        <v>1</v>
      </c>
      <c r="AK405" s="6"/>
      <c r="AL405" s="6"/>
      <c r="AM405" s="6"/>
    </row>
    <row r="406" spans="1:39" s="7" customFormat="1" x14ac:dyDescent="0.25">
      <c r="A406" s="5">
        <v>260</v>
      </c>
      <c r="B406" s="6"/>
      <c r="C406" s="6"/>
      <c r="D406" s="6"/>
      <c r="E406" s="6"/>
      <c r="F406" s="6"/>
      <c r="G406" s="6"/>
      <c r="H406" s="5">
        <v>1</v>
      </c>
      <c r="I406" s="6"/>
      <c r="J406" s="6"/>
      <c r="K406" s="6"/>
      <c r="L406" s="6"/>
      <c r="M406" s="6"/>
      <c r="N406" s="5">
        <v>1</v>
      </c>
      <c r="O406" s="6"/>
      <c r="P406" s="5">
        <v>1</v>
      </c>
      <c r="Q406" s="6"/>
      <c r="R406" s="6"/>
      <c r="S406" s="5">
        <v>1</v>
      </c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5">
        <v>1</v>
      </c>
      <c r="AF406" s="6"/>
      <c r="AG406" s="5">
        <v>1</v>
      </c>
      <c r="AH406" s="5">
        <v>1</v>
      </c>
      <c r="AI406" s="6"/>
      <c r="AJ406" s="5">
        <v>1</v>
      </c>
      <c r="AK406" s="6"/>
      <c r="AL406" s="6"/>
      <c r="AM406" s="6"/>
    </row>
    <row r="407" spans="1:39" s="7" customFormat="1" x14ac:dyDescent="0.25">
      <c r="A407" s="5">
        <v>260</v>
      </c>
      <c r="B407" s="6"/>
      <c r="C407" s="6"/>
      <c r="D407" s="6"/>
      <c r="E407" s="5">
        <v>1</v>
      </c>
      <c r="F407" s="6"/>
      <c r="G407" s="6"/>
      <c r="H407" s="6"/>
      <c r="I407" s="5">
        <v>1</v>
      </c>
      <c r="J407" s="5">
        <v>1</v>
      </c>
      <c r="K407" s="6"/>
      <c r="L407" s="6"/>
      <c r="M407" s="6"/>
      <c r="N407" s="6"/>
      <c r="O407" s="5">
        <v>1</v>
      </c>
      <c r="P407" s="6"/>
      <c r="Q407" s="6"/>
      <c r="R407" s="5">
        <v>1</v>
      </c>
      <c r="S407" s="6"/>
      <c r="T407" s="6"/>
      <c r="U407" s="6"/>
      <c r="V407" s="6"/>
      <c r="W407" s="5">
        <v>1</v>
      </c>
      <c r="X407" s="6"/>
      <c r="Y407" s="6"/>
      <c r="Z407" s="6"/>
      <c r="AA407" s="6"/>
      <c r="AB407" s="5">
        <v>1</v>
      </c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</row>
    <row r="408" spans="1:39" s="7" customFormat="1" x14ac:dyDescent="0.25">
      <c r="A408" s="5">
        <v>261</v>
      </c>
      <c r="B408" s="6"/>
      <c r="C408" s="6"/>
      <c r="D408" s="6"/>
      <c r="E408" s="5">
        <v>1</v>
      </c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</row>
    <row r="409" spans="1:39" s="7" customFormat="1" x14ac:dyDescent="0.25">
      <c r="A409" s="5">
        <v>261</v>
      </c>
      <c r="B409" s="6"/>
      <c r="C409" s="6"/>
      <c r="D409" s="6"/>
      <c r="E409" s="6"/>
      <c r="F409" s="6"/>
      <c r="G409" s="6"/>
      <c r="H409" s="6"/>
      <c r="I409" s="5">
        <v>1</v>
      </c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5">
        <v>1</v>
      </c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</row>
    <row r="410" spans="1:39" s="7" customFormat="1" x14ac:dyDescent="0.25">
      <c r="A410" s="5">
        <v>261</v>
      </c>
      <c r="B410" s="6"/>
      <c r="C410" s="6"/>
      <c r="D410" s="6"/>
      <c r="E410" s="6"/>
      <c r="F410" s="6"/>
      <c r="G410" s="6"/>
      <c r="H410" s="6"/>
      <c r="I410" s="6"/>
      <c r="J410" s="5">
        <v>1</v>
      </c>
      <c r="K410" s="6"/>
      <c r="L410" s="6"/>
      <c r="M410" s="6"/>
      <c r="N410" s="6"/>
      <c r="O410" s="5">
        <v>1</v>
      </c>
      <c r="P410" s="6"/>
      <c r="Q410" s="6"/>
      <c r="R410" s="5">
        <v>1</v>
      </c>
      <c r="S410" s="6"/>
      <c r="T410" s="6"/>
      <c r="U410" s="6"/>
      <c r="V410" s="6"/>
      <c r="W410" s="6"/>
      <c r="X410" s="6"/>
      <c r="Y410" s="6"/>
      <c r="Z410" s="6"/>
      <c r="AA410" s="6"/>
      <c r="AB410" s="5">
        <v>1</v>
      </c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</row>
    <row r="411" spans="1:39" s="7" customFormat="1" x14ac:dyDescent="0.25">
      <c r="A411" s="5">
        <v>261</v>
      </c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5">
        <v>1</v>
      </c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</row>
    <row r="412" spans="1:39" s="7" customFormat="1" x14ac:dyDescent="0.25">
      <c r="A412" s="5">
        <v>261</v>
      </c>
      <c r="B412" s="6"/>
      <c r="C412" s="6"/>
      <c r="D412" s="6"/>
      <c r="E412" s="6"/>
      <c r="F412" s="6"/>
      <c r="G412" s="6"/>
      <c r="H412" s="6"/>
      <c r="I412" s="6"/>
      <c r="J412" s="6"/>
      <c r="K412" s="5">
        <v>1</v>
      </c>
      <c r="L412" s="6"/>
      <c r="M412" s="5">
        <v>1</v>
      </c>
      <c r="N412" s="6"/>
      <c r="O412" s="6"/>
      <c r="P412" s="6"/>
      <c r="Q412" s="6"/>
      <c r="R412" s="6"/>
      <c r="S412" s="6"/>
      <c r="T412" s="6"/>
      <c r="U412" s="5">
        <v>1</v>
      </c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</row>
    <row r="413" spans="1:39" s="7" customFormat="1" x14ac:dyDescent="0.25">
      <c r="A413" s="5">
        <v>261</v>
      </c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5">
        <v>1</v>
      </c>
      <c r="AD413" s="6"/>
      <c r="AE413" s="6"/>
      <c r="AF413" s="6"/>
      <c r="AG413" s="6"/>
      <c r="AH413" s="6"/>
      <c r="AI413" s="6"/>
      <c r="AJ413" s="6"/>
      <c r="AK413" s="5">
        <v>1</v>
      </c>
      <c r="AL413" s="6"/>
      <c r="AM413" s="6"/>
    </row>
    <row r="414" spans="1:39" s="7" customFormat="1" x14ac:dyDescent="0.25">
      <c r="A414" s="5">
        <v>261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5">
        <v>1</v>
      </c>
      <c r="M414" s="6"/>
      <c r="N414" s="6"/>
      <c r="O414" s="6"/>
      <c r="P414" s="6"/>
      <c r="Q414" s="5">
        <v>1</v>
      </c>
      <c r="R414" s="6"/>
      <c r="S414" s="6"/>
      <c r="T414" s="5">
        <v>1</v>
      </c>
      <c r="U414" s="6"/>
      <c r="V414" s="6"/>
      <c r="W414" s="6"/>
      <c r="X414" s="5">
        <v>1</v>
      </c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</row>
    <row r="415" spans="1:39" s="7" customFormat="1" x14ac:dyDescent="0.25">
      <c r="A415" s="5">
        <v>261</v>
      </c>
      <c r="B415" s="6"/>
      <c r="C415" s="5">
        <v>1</v>
      </c>
      <c r="D415" s="6"/>
      <c r="E415" s="6"/>
      <c r="F415" s="6"/>
      <c r="G415" s="5">
        <v>1</v>
      </c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5">
        <v>1</v>
      </c>
      <c r="W415" s="6"/>
      <c r="X415" s="6"/>
      <c r="Y415" s="6"/>
      <c r="Z415" s="5">
        <v>1</v>
      </c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5">
        <v>1</v>
      </c>
    </row>
    <row r="416" spans="1:39" s="7" customFormat="1" x14ac:dyDescent="0.25">
      <c r="A416" s="5">
        <v>262</v>
      </c>
      <c r="B416" s="6"/>
      <c r="C416" s="5">
        <v>1</v>
      </c>
      <c r="D416" s="6"/>
      <c r="E416" s="5">
        <v>1</v>
      </c>
      <c r="F416" s="6"/>
      <c r="G416" s="5">
        <v>1</v>
      </c>
      <c r="H416" s="6"/>
      <c r="I416" s="5">
        <v>1</v>
      </c>
      <c r="J416" s="5">
        <v>1</v>
      </c>
      <c r="K416" s="6"/>
      <c r="L416" s="6"/>
      <c r="M416" s="6"/>
      <c r="N416" s="6"/>
      <c r="O416" s="5">
        <v>1</v>
      </c>
      <c r="P416" s="6"/>
      <c r="Q416" s="6"/>
      <c r="R416" s="5">
        <v>1</v>
      </c>
      <c r="S416" s="6"/>
      <c r="T416" s="6"/>
      <c r="U416" s="5">
        <v>1</v>
      </c>
      <c r="V416" s="5">
        <v>1</v>
      </c>
      <c r="W416" s="5">
        <v>1</v>
      </c>
      <c r="X416" s="6"/>
      <c r="Y416" s="6"/>
      <c r="Z416" s="5">
        <v>1</v>
      </c>
      <c r="AA416" s="6"/>
      <c r="AB416" s="5">
        <v>1</v>
      </c>
      <c r="AC416" s="5">
        <v>1</v>
      </c>
      <c r="AD416" s="6"/>
      <c r="AE416" s="6"/>
      <c r="AF416" s="6"/>
      <c r="AG416" s="6"/>
      <c r="AH416" s="6"/>
      <c r="AI416" s="6"/>
      <c r="AJ416" s="6"/>
      <c r="AK416" s="5">
        <v>1</v>
      </c>
      <c r="AL416" s="6"/>
      <c r="AM416" s="5">
        <v>1</v>
      </c>
    </row>
    <row r="417" spans="1:39" s="7" customFormat="1" x14ac:dyDescent="0.25">
      <c r="A417" s="5">
        <v>262</v>
      </c>
      <c r="B417" s="6"/>
      <c r="C417" s="6"/>
      <c r="D417" s="6"/>
      <c r="E417" s="6"/>
      <c r="F417" s="6"/>
      <c r="G417" s="6"/>
      <c r="H417" s="6"/>
      <c r="I417" s="6"/>
      <c r="J417" s="6"/>
      <c r="K417" s="5">
        <v>1</v>
      </c>
      <c r="L417" s="5">
        <v>1</v>
      </c>
      <c r="M417" s="5">
        <v>1</v>
      </c>
      <c r="N417" s="6"/>
      <c r="O417" s="6"/>
      <c r="P417" s="6"/>
      <c r="Q417" s="5">
        <v>1</v>
      </c>
      <c r="R417" s="6"/>
      <c r="S417" s="6"/>
      <c r="T417" s="5">
        <v>1</v>
      </c>
      <c r="U417" s="6"/>
      <c r="V417" s="6"/>
      <c r="W417" s="6"/>
      <c r="X417" s="5">
        <v>1</v>
      </c>
      <c r="Y417" s="5">
        <v>1</v>
      </c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</row>
    <row r="418" spans="1:39" s="7" customFormat="1" x14ac:dyDescent="0.25">
      <c r="A418" s="5">
        <v>263</v>
      </c>
      <c r="B418" s="5">
        <v>1</v>
      </c>
      <c r="C418" s="6"/>
      <c r="D418" s="6"/>
      <c r="E418" s="6"/>
      <c r="F418" s="5">
        <v>1</v>
      </c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5">
        <v>1</v>
      </c>
      <c r="AB418" s="6"/>
      <c r="AC418" s="6"/>
      <c r="AD418" s="6"/>
      <c r="AE418" s="6"/>
      <c r="AF418" s="5">
        <v>1</v>
      </c>
      <c r="AG418" s="6"/>
      <c r="AH418" s="6"/>
      <c r="AI418" s="6"/>
      <c r="AJ418" s="6"/>
      <c r="AK418" s="6"/>
      <c r="AL418" s="6"/>
      <c r="AM418" s="6"/>
    </row>
    <row r="419" spans="1:39" s="7" customFormat="1" x14ac:dyDescent="0.25">
      <c r="A419" s="5">
        <v>264</v>
      </c>
      <c r="B419" s="6"/>
      <c r="C419" s="5">
        <v>1</v>
      </c>
      <c r="D419" s="6"/>
      <c r="E419" s="5">
        <v>1</v>
      </c>
      <c r="F419" s="6"/>
      <c r="G419" s="5">
        <v>1</v>
      </c>
      <c r="H419" s="6"/>
      <c r="I419" s="5">
        <v>1</v>
      </c>
      <c r="J419" s="5">
        <v>1</v>
      </c>
      <c r="K419" s="6"/>
      <c r="L419" s="6"/>
      <c r="M419" s="6"/>
      <c r="N419" s="6"/>
      <c r="O419" s="5">
        <v>1</v>
      </c>
      <c r="P419" s="6"/>
      <c r="Q419" s="6"/>
      <c r="R419" s="5">
        <v>1</v>
      </c>
      <c r="S419" s="6"/>
      <c r="T419" s="6"/>
      <c r="U419" s="5">
        <v>1</v>
      </c>
      <c r="V419" s="5">
        <v>1</v>
      </c>
      <c r="W419" s="5">
        <v>1</v>
      </c>
      <c r="X419" s="6"/>
      <c r="Y419" s="6"/>
      <c r="Z419" s="5">
        <v>1</v>
      </c>
      <c r="AA419" s="6"/>
      <c r="AB419" s="5">
        <v>1</v>
      </c>
      <c r="AC419" s="5">
        <v>1</v>
      </c>
      <c r="AD419" s="6"/>
      <c r="AE419" s="6"/>
      <c r="AF419" s="6"/>
      <c r="AG419" s="6"/>
      <c r="AH419" s="6"/>
      <c r="AI419" s="6"/>
      <c r="AJ419" s="6"/>
      <c r="AK419" s="5">
        <v>1</v>
      </c>
      <c r="AL419" s="6"/>
      <c r="AM419" s="5">
        <v>1</v>
      </c>
    </row>
    <row r="420" spans="1:39" s="7" customFormat="1" x14ac:dyDescent="0.25">
      <c r="A420" s="5">
        <v>264</v>
      </c>
      <c r="B420" s="6"/>
      <c r="C420" s="6"/>
      <c r="D420" s="6"/>
      <c r="E420" s="6"/>
      <c r="F420" s="6"/>
      <c r="G420" s="6"/>
      <c r="H420" s="6"/>
      <c r="I420" s="6"/>
      <c r="J420" s="6"/>
      <c r="K420" s="5">
        <v>1</v>
      </c>
      <c r="L420" s="5">
        <v>1</v>
      </c>
      <c r="M420" s="5">
        <v>1</v>
      </c>
      <c r="N420" s="6"/>
      <c r="O420" s="6"/>
      <c r="P420" s="6"/>
      <c r="Q420" s="5">
        <v>1</v>
      </c>
      <c r="R420" s="6"/>
      <c r="S420" s="6"/>
      <c r="T420" s="5">
        <v>1</v>
      </c>
      <c r="U420" s="6"/>
      <c r="V420" s="6"/>
      <c r="W420" s="6"/>
      <c r="X420" s="5">
        <v>1</v>
      </c>
      <c r="Y420" s="5">
        <v>1</v>
      </c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</row>
    <row r="421" spans="1:39" s="7" customFormat="1" x14ac:dyDescent="0.25">
      <c r="A421" s="5">
        <v>265</v>
      </c>
      <c r="B421" s="6"/>
      <c r="C421" s="6"/>
      <c r="D421" s="6"/>
      <c r="E421" s="6"/>
      <c r="F421" s="6"/>
      <c r="G421" s="6"/>
      <c r="H421" s="5">
        <v>1</v>
      </c>
      <c r="I421" s="6"/>
      <c r="J421" s="6"/>
      <c r="K421" s="6"/>
      <c r="L421" s="6"/>
      <c r="M421" s="6"/>
      <c r="N421" s="5">
        <v>1</v>
      </c>
      <c r="O421" s="6"/>
      <c r="P421" s="5">
        <v>1</v>
      </c>
      <c r="Q421" s="6"/>
      <c r="R421" s="6"/>
      <c r="S421" s="5">
        <v>1</v>
      </c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5">
        <v>1</v>
      </c>
      <c r="AF421" s="6"/>
      <c r="AG421" s="5">
        <v>1</v>
      </c>
      <c r="AH421" s="5">
        <v>1</v>
      </c>
      <c r="AI421" s="6"/>
      <c r="AJ421" s="5">
        <v>1</v>
      </c>
      <c r="AK421" s="6"/>
      <c r="AL421" s="6"/>
      <c r="AM421" s="6"/>
    </row>
    <row r="422" spans="1:39" s="7" customFormat="1" x14ac:dyDescent="0.25">
      <c r="A422" s="5">
        <v>266</v>
      </c>
      <c r="B422" s="6"/>
      <c r="C422" s="6"/>
      <c r="D422" s="6"/>
      <c r="E422" s="6"/>
      <c r="F422" s="6"/>
      <c r="G422" s="6"/>
      <c r="H422" s="5">
        <v>1</v>
      </c>
      <c r="I422" s="6"/>
      <c r="J422" s="6"/>
      <c r="K422" s="6"/>
      <c r="L422" s="6"/>
      <c r="M422" s="6"/>
      <c r="N422" s="5">
        <v>1</v>
      </c>
      <c r="O422" s="6"/>
      <c r="P422" s="5">
        <v>1</v>
      </c>
      <c r="Q422" s="6"/>
      <c r="R422" s="6"/>
      <c r="S422" s="5">
        <v>1</v>
      </c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5">
        <v>1</v>
      </c>
      <c r="AF422" s="6"/>
      <c r="AG422" s="5">
        <v>1</v>
      </c>
      <c r="AH422" s="5">
        <v>1</v>
      </c>
      <c r="AI422" s="6"/>
      <c r="AJ422" s="5">
        <v>1</v>
      </c>
      <c r="AK422" s="6"/>
      <c r="AL422" s="6"/>
      <c r="AM422" s="6"/>
    </row>
    <row r="423" spans="1:39" s="7" customFormat="1" x14ac:dyDescent="0.25">
      <c r="A423" s="5">
        <v>267</v>
      </c>
      <c r="B423" s="6"/>
      <c r="C423" s="6"/>
      <c r="D423" s="6"/>
      <c r="E423" s="6"/>
      <c r="F423" s="6"/>
      <c r="G423" s="6"/>
      <c r="H423" s="5">
        <v>1</v>
      </c>
      <c r="I423" s="6"/>
      <c r="J423" s="6"/>
      <c r="K423" s="6"/>
      <c r="L423" s="6"/>
      <c r="M423" s="6"/>
      <c r="N423" s="5">
        <v>1</v>
      </c>
      <c r="O423" s="6"/>
      <c r="P423" s="5">
        <v>1</v>
      </c>
      <c r="Q423" s="6"/>
      <c r="R423" s="6"/>
      <c r="S423" s="5">
        <v>1</v>
      </c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5">
        <v>1</v>
      </c>
      <c r="AF423" s="6"/>
      <c r="AG423" s="5">
        <v>1</v>
      </c>
      <c r="AH423" s="5">
        <v>1</v>
      </c>
      <c r="AI423" s="6"/>
      <c r="AJ423" s="5">
        <v>1</v>
      </c>
      <c r="AK423" s="6"/>
      <c r="AL423" s="6"/>
      <c r="AM423" s="6"/>
    </row>
    <row r="424" spans="1:39" s="7" customFormat="1" x14ac:dyDescent="0.25">
      <c r="A424" s="5">
        <v>268</v>
      </c>
      <c r="B424" s="6"/>
      <c r="C424" s="6"/>
      <c r="D424" s="6"/>
      <c r="E424" s="6"/>
      <c r="F424" s="6"/>
      <c r="G424" s="6"/>
      <c r="H424" s="5">
        <v>1</v>
      </c>
      <c r="I424" s="6"/>
      <c r="J424" s="6"/>
      <c r="K424" s="6"/>
      <c r="L424" s="6"/>
      <c r="M424" s="6"/>
      <c r="N424" s="5">
        <v>1</v>
      </c>
      <c r="O424" s="6"/>
      <c r="P424" s="5">
        <v>1</v>
      </c>
      <c r="Q424" s="6"/>
      <c r="R424" s="6"/>
      <c r="S424" s="5">
        <v>1</v>
      </c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5">
        <v>1</v>
      </c>
      <c r="AF424" s="6"/>
      <c r="AG424" s="5">
        <v>1</v>
      </c>
      <c r="AH424" s="5">
        <v>1</v>
      </c>
      <c r="AI424" s="6"/>
      <c r="AJ424" s="5">
        <v>1</v>
      </c>
      <c r="AK424" s="6"/>
      <c r="AL424" s="6"/>
      <c r="AM424" s="6"/>
    </row>
    <row r="425" spans="1:39" s="7" customFormat="1" x14ac:dyDescent="0.25">
      <c r="A425" s="5">
        <v>269</v>
      </c>
      <c r="B425" s="6"/>
      <c r="C425" s="6"/>
      <c r="D425" s="6"/>
      <c r="E425" s="6"/>
      <c r="F425" s="6"/>
      <c r="G425" s="6"/>
      <c r="H425" s="5">
        <v>1</v>
      </c>
      <c r="I425" s="6"/>
      <c r="J425" s="6"/>
      <c r="K425" s="6"/>
      <c r="L425" s="6"/>
      <c r="M425" s="6"/>
      <c r="N425" s="5">
        <v>1</v>
      </c>
      <c r="O425" s="6"/>
      <c r="P425" s="5">
        <v>1</v>
      </c>
      <c r="Q425" s="6"/>
      <c r="R425" s="6"/>
      <c r="S425" s="5">
        <v>1</v>
      </c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5">
        <v>1</v>
      </c>
      <c r="AF425" s="6"/>
      <c r="AG425" s="5">
        <v>1</v>
      </c>
      <c r="AH425" s="5">
        <v>1</v>
      </c>
      <c r="AI425" s="6"/>
      <c r="AJ425" s="5">
        <v>1</v>
      </c>
      <c r="AK425" s="6"/>
      <c r="AL425" s="6"/>
      <c r="AM425" s="6"/>
    </row>
    <row r="426" spans="1:39" s="7" customFormat="1" x14ac:dyDescent="0.25">
      <c r="A426" s="5">
        <v>270</v>
      </c>
      <c r="B426" s="6"/>
      <c r="C426" s="6"/>
      <c r="D426" s="6"/>
      <c r="E426" s="6"/>
      <c r="F426" s="6"/>
      <c r="G426" s="6"/>
      <c r="H426" s="5">
        <v>1</v>
      </c>
      <c r="I426" s="6"/>
      <c r="J426" s="6"/>
      <c r="K426" s="6"/>
      <c r="L426" s="6"/>
      <c r="M426" s="6"/>
      <c r="N426" s="5">
        <v>1</v>
      </c>
      <c r="O426" s="6"/>
      <c r="P426" s="5">
        <v>1</v>
      </c>
      <c r="Q426" s="6"/>
      <c r="R426" s="6"/>
      <c r="S426" s="5">
        <v>1</v>
      </c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5">
        <v>1</v>
      </c>
      <c r="AF426" s="6"/>
      <c r="AG426" s="5">
        <v>1</v>
      </c>
      <c r="AH426" s="5">
        <v>1</v>
      </c>
      <c r="AI426" s="6"/>
      <c r="AJ426" s="5">
        <v>1</v>
      </c>
      <c r="AK426" s="6"/>
      <c r="AL426" s="6"/>
      <c r="AM426" s="6"/>
    </row>
    <row r="427" spans="1:39" s="7" customFormat="1" x14ac:dyDescent="0.25">
      <c r="A427" s="5">
        <v>275</v>
      </c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5">
        <v>1</v>
      </c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5">
        <v>1</v>
      </c>
      <c r="AH427" s="6"/>
      <c r="AI427" s="6"/>
      <c r="AJ427" s="6"/>
      <c r="AK427" s="6"/>
      <c r="AL427" s="6"/>
      <c r="AM427" s="6"/>
    </row>
    <row r="428" spans="1:39" s="7" customFormat="1" x14ac:dyDescent="0.25">
      <c r="A428" s="5">
        <v>275</v>
      </c>
      <c r="B428" s="6"/>
      <c r="C428" s="6"/>
      <c r="D428" s="6"/>
      <c r="E428" s="6"/>
      <c r="F428" s="6"/>
      <c r="G428" s="6"/>
      <c r="H428" s="5">
        <v>1</v>
      </c>
      <c r="I428" s="6"/>
      <c r="J428" s="6"/>
      <c r="K428" s="6"/>
      <c r="L428" s="6"/>
      <c r="M428" s="6"/>
      <c r="N428" s="6"/>
      <c r="O428" s="6"/>
      <c r="P428" s="5">
        <v>1</v>
      </c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5">
        <v>1</v>
      </c>
      <c r="AF428" s="6"/>
      <c r="AG428" s="6"/>
      <c r="AH428" s="5">
        <v>1</v>
      </c>
      <c r="AI428" s="6"/>
      <c r="AJ428" s="6"/>
      <c r="AK428" s="6"/>
      <c r="AL428" s="6"/>
      <c r="AM428" s="6"/>
    </row>
    <row r="429" spans="1:39" s="7" customFormat="1" x14ac:dyDescent="0.25">
      <c r="A429" s="5">
        <v>275</v>
      </c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5">
        <v>1</v>
      </c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5">
        <v>1</v>
      </c>
      <c r="AK429" s="6"/>
      <c r="AL429" s="6"/>
      <c r="AM429" s="6"/>
    </row>
    <row r="430" spans="1:39" s="7" customFormat="1" x14ac:dyDescent="0.25">
      <c r="A430" s="5">
        <v>275</v>
      </c>
      <c r="B430" s="6"/>
      <c r="C430" s="6"/>
      <c r="D430" s="6"/>
      <c r="E430" s="5">
        <v>1</v>
      </c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</row>
    <row r="431" spans="1:39" s="7" customFormat="1" x14ac:dyDescent="0.25">
      <c r="A431" s="5">
        <v>275</v>
      </c>
      <c r="B431" s="6"/>
      <c r="C431" s="6"/>
      <c r="D431" s="6"/>
      <c r="E431" s="6"/>
      <c r="F431" s="6"/>
      <c r="G431" s="6"/>
      <c r="H431" s="6"/>
      <c r="I431" s="5">
        <v>1</v>
      </c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5">
        <v>1</v>
      </c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</row>
    <row r="432" spans="1:39" s="7" customFormat="1" x14ac:dyDescent="0.25">
      <c r="A432" s="5">
        <v>275</v>
      </c>
      <c r="B432" s="6"/>
      <c r="C432" s="6"/>
      <c r="D432" s="6"/>
      <c r="E432" s="6"/>
      <c r="F432" s="6"/>
      <c r="G432" s="6"/>
      <c r="H432" s="6"/>
      <c r="I432" s="6"/>
      <c r="J432" s="5">
        <v>1</v>
      </c>
      <c r="K432" s="6"/>
      <c r="L432" s="6"/>
      <c r="M432" s="6"/>
      <c r="N432" s="6"/>
      <c r="O432" s="5">
        <v>1</v>
      </c>
      <c r="P432" s="6"/>
      <c r="Q432" s="6"/>
      <c r="R432" s="5">
        <v>1</v>
      </c>
      <c r="S432" s="6"/>
      <c r="T432" s="6"/>
      <c r="U432" s="6"/>
      <c r="V432" s="6"/>
      <c r="W432" s="6"/>
      <c r="X432" s="6"/>
      <c r="Y432" s="6"/>
      <c r="Z432" s="6"/>
      <c r="AA432" s="6"/>
      <c r="AB432" s="5">
        <v>1</v>
      </c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</row>
    <row r="433" spans="1:39" s="7" customFormat="1" x14ac:dyDescent="0.25">
      <c r="A433" s="5">
        <v>275</v>
      </c>
      <c r="B433" s="5">
        <v>1</v>
      </c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5">
        <v>1</v>
      </c>
      <c r="AG433" s="6"/>
      <c r="AH433" s="6"/>
      <c r="AI433" s="6"/>
      <c r="AJ433" s="6"/>
      <c r="AK433" s="6"/>
      <c r="AL433" s="6"/>
      <c r="AM433" s="6"/>
    </row>
    <row r="434" spans="1:39" s="7" customFormat="1" x14ac:dyDescent="0.25">
      <c r="A434" s="5">
        <v>275</v>
      </c>
      <c r="B434" s="6"/>
      <c r="C434" s="6"/>
      <c r="D434" s="6"/>
      <c r="E434" s="6"/>
      <c r="F434" s="5">
        <v>1</v>
      </c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</row>
    <row r="435" spans="1:39" s="7" customFormat="1" x14ac:dyDescent="0.25">
      <c r="A435" s="5">
        <v>275</v>
      </c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5">
        <v>1</v>
      </c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</row>
    <row r="436" spans="1:39" s="7" customFormat="1" x14ac:dyDescent="0.25">
      <c r="A436" s="5">
        <v>275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5">
        <v>1</v>
      </c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</row>
    <row r="437" spans="1:39" s="7" customFormat="1" x14ac:dyDescent="0.25">
      <c r="A437" s="5">
        <v>275</v>
      </c>
      <c r="B437" s="6"/>
      <c r="C437" s="6"/>
      <c r="D437" s="6"/>
      <c r="E437" s="6"/>
      <c r="F437" s="6"/>
      <c r="G437" s="6"/>
      <c r="H437" s="6"/>
      <c r="I437" s="6"/>
      <c r="J437" s="6"/>
      <c r="K437" s="5">
        <v>1</v>
      </c>
      <c r="L437" s="6"/>
      <c r="M437" s="5">
        <v>1</v>
      </c>
      <c r="N437" s="6"/>
      <c r="O437" s="6"/>
      <c r="P437" s="6"/>
      <c r="Q437" s="6"/>
      <c r="R437" s="6"/>
      <c r="S437" s="6"/>
      <c r="T437" s="6"/>
      <c r="U437" s="5">
        <v>1</v>
      </c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</row>
    <row r="438" spans="1:39" s="7" customFormat="1" x14ac:dyDescent="0.25">
      <c r="A438" s="5">
        <v>275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5">
        <v>1</v>
      </c>
      <c r="AD438" s="6"/>
      <c r="AE438" s="6"/>
      <c r="AF438" s="6"/>
      <c r="AG438" s="6"/>
      <c r="AH438" s="6"/>
      <c r="AI438" s="6"/>
      <c r="AJ438" s="6"/>
      <c r="AK438" s="5">
        <v>1</v>
      </c>
      <c r="AL438" s="6"/>
      <c r="AM438" s="6"/>
    </row>
    <row r="439" spans="1:39" s="7" customFormat="1" x14ac:dyDescent="0.25">
      <c r="A439" s="5">
        <v>275</v>
      </c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5">
        <v>1</v>
      </c>
      <c r="M439" s="6"/>
      <c r="N439" s="6"/>
      <c r="O439" s="6"/>
      <c r="P439" s="6"/>
      <c r="Q439" s="5">
        <v>1</v>
      </c>
      <c r="R439" s="6"/>
      <c r="S439" s="6"/>
      <c r="T439" s="5">
        <v>1</v>
      </c>
      <c r="U439" s="6"/>
      <c r="V439" s="6"/>
      <c r="W439" s="6"/>
      <c r="X439" s="5">
        <v>1</v>
      </c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</row>
    <row r="440" spans="1:39" s="7" customFormat="1" x14ac:dyDescent="0.25">
      <c r="A440" s="5">
        <v>275</v>
      </c>
      <c r="B440" s="6"/>
      <c r="C440" s="5">
        <v>1</v>
      </c>
      <c r="D440" s="6"/>
      <c r="E440" s="6"/>
      <c r="F440" s="6"/>
      <c r="G440" s="5">
        <v>1</v>
      </c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5">
        <v>1</v>
      </c>
      <c r="W440" s="6"/>
      <c r="X440" s="6"/>
      <c r="Y440" s="6"/>
      <c r="Z440" s="5">
        <v>1</v>
      </c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5">
        <v>1</v>
      </c>
    </row>
    <row r="441" spans="1:39" s="7" customFormat="1" x14ac:dyDescent="0.25">
      <c r="A441" s="5">
        <v>275</v>
      </c>
      <c r="B441" s="6"/>
      <c r="C441" s="6"/>
      <c r="D441" s="5">
        <v>1</v>
      </c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5">
        <v>1</v>
      </c>
      <c r="AM441" s="6"/>
    </row>
    <row r="442" spans="1:39" s="7" customFormat="1" x14ac:dyDescent="0.25">
      <c r="A442" s="5">
        <v>275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5">
        <v>1</v>
      </c>
      <c r="AE442" s="6"/>
      <c r="AF442" s="6"/>
      <c r="AG442" s="6"/>
      <c r="AH442" s="6"/>
      <c r="AI442" s="6"/>
      <c r="AJ442" s="6"/>
      <c r="AK442" s="6"/>
      <c r="AL442" s="6"/>
      <c r="AM442" s="6"/>
    </row>
    <row r="443" spans="1:39" s="7" customFormat="1" x14ac:dyDescent="0.25">
      <c r="A443" s="5">
        <v>275</v>
      </c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5">
        <v>1</v>
      </c>
      <c r="AJ443" s="6"/>
      <c r="AK443" s="6"/>
      <c r="AL443" s="6"/>
      <c r="AM443" s="6"/>
    </row>
    <row r="444" spans="1:39" s="7" customFormat="1" x14ac:dyDescent="0.25">
      <c r="A444" s="5">
        <v>276</v>
      </c>
      <c r="B444" s="5">
        <v>1</v>
      </c>
      <c r="C444" s="5">
        <v>1</v>
      </c>
      <c r="D444" s="5">
        <v>1</v>
      </c>
      <c r="E444" s="5">
        <v>1</v>
      </c>
      <c r="F444" s="5">
        <v>1</v>
      </c>
      <c r="G444" s="5">
        <v>1</v>
      </c>
      <c r="H444" s="5">
        <v>1</v>
      </c>
      <c r="I444" s="5">
        <v>1</v>
      </c>
      <c r="J444" s="5">
        <v>1</v>
      </c>
      <c r="K444" s="5">
        <v>1</v>
      </c>
      <c r="L444" s="5">
        <v>1</v>
      </c>
      <c r="M444" s="5">
        <v>1</v>
      </c>
      <c r="N444" s="6"/>
      <c r="O444" s="5">
        <v>1</v>
      </c>
      <c r="P444" s="6"/>
      <c r="Q444" s="5">
        <v>1</v>
      </c>
      <c r="R444" s="5">
        <v>1</v>
      </c>
      <c r="S444" s="5">
        <v>1</v>
      </c>
      <c r="T444" s="5">
        <v>1</v>
      </c>
      <c r="U444" s="5">
        <v>1</v>
      </c>
      <c r="V444" s="5">
        <v>1</v>
      </c>
      <c r="W444" s="5">
        <v>1</v>
      </c>
      <c r="X444" s="5">
        <v>1</v>
      </c>
      <c r="Y444" s="5">
        <v>1</v>
      </c>
      <c r="Z444" s="5">
        <v>1</v>
      </c>
      <c r="AA444" s="5">
        <v>1</v>
      </c>
      <c r="AB444" s="5">
        <v>1</v>
      </c>
      <c r="AC444" s="5">
        <v>1</v>
      </c>
      <c r="AD444" s="5">
        <v>1</v>
      </c>
      <c r="AE444" s="6"/>
      <c r="AF444" s="5">
        <v>1</v>
      </c>
      <c r="AG444" s="5">
        <v>1</v>
      </c>
      <c r="AH444" s="5">
        <v>1</v>
      </c>
      <c r="AI444" s="5">
        <v>1</v>
      </c>
      <c r="AJ444" s="6"/>
      <c r="AK444" s="5">
        <v>1</v>
      </c>
      <c r="AL444" s="5">
        <v>1</v>
      </c>
      <c r="AM444" s="5">
        <v>1</v>
      </c>
    </row>
    <row r="445" spans="1:39" s="7" customFormat="1" x14ac:dyDescent="0.25">
      <c r="A445" s="5">
        <v>276</v>
      </c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5">
        <v>1</v>
      </c>
      <c r="O445" s="6"/>
      <c r="P445" s="5">
        <v>1</v>
      </c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5">
        <v>1</v>
      </c>
      <c r="AF445" s="6"/>
      <c r="AG445" s="6"/>
      <c r="AH445" s="6"/>
      <c r="AI445" s="6"/>
      <c r="AJ445" s="5">
        <v>1</v>
      </c>
      <c r="AK445" s="6"/>
      <c r="AL445" s="6"/>
      <c r="AM445" s="6"/>
    </row>
    <row r="446" spans="1:39" s="7" customFormat="1" x14ac:dyDescent="0.25">
      <c r="A446" s="5">
        <v>277</v>
      </c>
      <c r="B446" s="5">
        <v>1</v>
      </c>
      <c r="C446" s="6"/>
      <c r="D446" s="5">
        <v>1</v>
      </c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5">
        <v>1</v>
      </c>
      <c r="AG446" s="6"/>
      <c r="AH446" s="6"/>
      <c r="AI446" s="6"/>
      <c r="AJ446" s="6"/>
      <c r="AK446" s="6"/>
      <c r="AL446" s="5">
        <v>1</v>
      </c>
      <c r="AM446" s="6"/>
    </row>
    <row r="447" spans="1:39" s="7" customFormat="1" x14ac:dyDescent="0.25">
      <c r="A447" s="5">
        <v>277</v>
      </c>
      <c r="B447" s="6"/>
      <c r="C447" s="6"/>
      <c r="D447" s="6"/>
      <c r="E447" s="6"/>
      <c r="F447" s="5">
        <v>1</v>
      </c>
      <c r="G447" s="6"/>
      <c r="H447" s="6"/>
      <c r="I447" s="6"/>
      <c r="J447" s="6"/>
      <c r="K447" s="6"/>
      <c r="L447" s="6"/>
      <c r="M447" s="5">
        <v>1</v>
      </c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5">
        <v>1</v>
      </c>
      <c r="Z447" s="6"/>
      <c r="AA447" s="6"/>
      <c r="AB447" s="6"/>
      <c r="AC447" s="6"/>
      <c r="AD447" s="5">
        <v>1</v>
      </c>
      <c r="AE447" s="6"/>
      <c r="AF447" s="6"/>
      <c r="AG447" s="6"/>
      <c r="AH447" s="6"/>
      <c r="AI447" s="6"/>
      <c r="AJ447" s="6"/>
      <c r="AK447" s="6"/>
      <c r="AL447" s="6"/>
      <c r="AM447" s="6"/>
    </row>
    <row r="448" spans="1:39" s="7" customFormat="1" x14ac:dyDescent="0.25">
      <c r="A448" s="5">
        <v>277</v>
      </c>
      <c r="B448" s="6"/>
      <c r="C448" s="6"/>
      <c r="D448" s="6"/>
      <c r="E448" s="5">
        <v>1</v>
      </c>
      <c r="F448" s="6"/>
      <c r="G448" s="6"/>
      <c r="H448" s="6"/>
      <c r="I448" s="5">
        <v>1</v>
      </c>
      <c r="J448" s="6"/>
      <c r="K448" s="5">
        <v>1</v>
      </c>
      <c r="L448" s="6"/>
      <c r="M448" s="6"/>
      <c r="N448" s="5">
        <v>1</v>
      </c>
      <c r="O448" s="6"/>
      <c r="P448" s="5">
        <v>1</v>
      </c>
      <c r="Q448" s="6"/>
      <c r="R448" s="6"/>
      <c r="S448" s="6"/>
      <c r="T448" s="6"/>
      <c r="U448" s="5">
        <v>1</v>
      </c>
      <c r="V448" s="6"/>
      <c r="W448" s="6"/>
      <c r="X448" s="6"/>
      <c r="Y448" s="6"/>
      <c r="Z448" s="6"/>
      <c r="AA448" s="6"/>
      <c r="AB448" s="6"/>
      <c r="AC448" s="5">
        <v>1</v>
      </c>
      <c r="AD448" s="6"/>
      <c r="AE448" s="6"/>
      <c r="AF448" s="6"/>
      <c r="AG448" s="5">
        <v>1</v>
      </c>
      <c r="AH448" s="5">
        <v>1</v>
      </c>
      <c r="AI448" s="6"/>
      <c r="AJ448" s="6"/>
      <c r="AK448" s="6"/>
      <c r="AL448" s="6"/>
      <c r="AM448" s="6"/>
    </row>
    <row r="449" spans="1:39" s="7" customFormat="1" x14ac:dyDescent="0.25">
      <c r="A449" s="5">
        <v>277</v>
      </c>
      <c r="B449" s="6"/>
      <c r="C449" s="6"/>
      <c r="D449" s="6"/>
      <c r="E449" s="6"/>
      <c r="F449" s="6"/>
      <c r="G449" s="6"/>
      <c r="H449" s="5">
        <v>1</v>
      </c>
      <c r="I449" s="6"/>
      <c r="J449" s="6"/>
      <c r="K449" s="6"/>
      <c r="L449" s="5">
        <v>1</v>
      </c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5">
        <v>1</v>
      </c>
      <c r="X449" s="5">
        <v>1</v>
      </c>
      <c r="Y449" s="6"/>
      <c r="Z449" s="6"/>
      <c r="AA449" s="5">
        <v>1</v>
      </c>
      <c r="AB449" s="6"/>
      <c r="AC449" s="6"/>
      <c r="AD449" s="6"/>
      <c r="AE449" s="5">
        <v>1</v>
      </c>
      <c r="AF449" s="6"/>
      <c r="AG449" s="6"/>
      <c r="AH449" s="6"/>
      <c r="AI449" s="5">
        <v>1</v>
      </c>
      <c r="AJ449" s="6"/>
      <c r="AK449" s="5">
        <v>1</v>
      </c>
      <c r="AL449" s="6"/>
      <c r="AM449" s="6"/>
    </row>
    <row r="450" spans="1:39" s="7" customFormat="1" x14ac:dyDescent="0.25">
      <c r="A450" s="5">
        <v>277</v>
      </c>
      <c r="B450" s="6"/>
      <c r="C450" s="6"/>
      <c r="D450" s="6"/>
      <c r="E450" s="6"/>
      <c r="F450" s="6"/>
      <c r="G450" s="6"/>
      <c r="H450" s="6"/>
      <c r="I450" s="6"/>
      <c r="J450" s="5">
        <v>1</v>
      </c>
      <c r="K450" s="6"/>
      <c r="L450" s="6"/>
      <c r="M450" s="6"/>
      <c r="N450" s="6"/>
      <c r="O450" s="5">
        <v>1</v>
      </c>
      <c r="P450" s="6"/>
      <c r="Q450" s="5">
        <v>1</v>
      </c>
      <c r="R450" s="6"/>
      <c r="S450" s="6"/>
      <c r="T450" s="5">
        <v>1</v>
      </c>
      <c r="U450" s="6"/>
      <c r="V450" s="5">
        <v>1</v>
      </c>
      <c r="W450" s="6"/>
      <c r="X450" s="6"/>
      <c r="Y450" s="6"/>
      <c r="Z450" s="5">
        <v>1</v>
      </c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</row>
    <row r="451" spans="1:39" s="7" customFormat="1" x14ac:dyDescent="0.25">
      <c r="A451" s="5">
        <v>277</v>
      </c>
      <c r="B451" s="6"/>
      <c r="C451" s="5">
        <v>1</v>
      </c>
      <c r="D451" s="6"/>
      <c r="E451" s="6"/>
      <c r="F451" s="6"/>
      <c r="G451" s="5">
        <v>1</v>
      </c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5">
        <v>1</v>
      </c>
      <c r="S451" s="5">
        <v>1</v>
      </c>
      <c r="T451" s="6"/>
      <c r="U451" s="6"/>
      <c r="V451" s="6"/>
      <c r="W451" s="6"/>
      <c r="X451" s="6"/>
      <c r="Y451" s="6"/>
      <c r="Z451" s="6"/>
      <c r="AA451" s="6"/>
      <c r="AB451" s="5">
        <v>1</v>
      </c>
      <c r="AC451" s="6"/>
      <c r="AD451" s="6"/>
      <c r="AE451" s="6"/>
      <c r="AF451" s="6"/>
      <c r="AG451" s="6"/>
      <c r="AH451" s="6"/>
      <c r="AI451" s="6"/>
      <c r="AJ451" s="5">
        <v>1</v>
      </c>
      <c r="AK451" s="6"/>
      <c r="AL451" s="6"/>
      <c r="AM451" s="5">
        <v>1</v>
      </c>
    </row>
    <row r="452" spans="1:39" s="7" customFormat="1" x14ac:dyDescent="0.25">
      <c r="A452" s="5">
        <v>278</v>
      </c>
      <c r="B452" s="5">
        <v>1</v>
      </c>
      <c r="C452" s="5">
        <v>1</v>
      </c>
      <c r="D452" s="5">
        <v>1</v>
      </c>
      <c r="E452" s="5">
        <v>1</v>
      </c>
      <c r="F452" s="5">
        <v>1</v>
      </c>
      <c r="G452" s="5">
        <v>1</v>
      </c>
      <c r="H452" s="5">
        <v>1</v>
      </c>
      <c r="I452" s="5">
        <v>1</v>
      </c>
      <c r="J452" s="5">
        <v>1</v>
      </c>
      <c r="K452" s="5">
        <v>1</v>
      </c>
      <c r="L452" s="5">
        <v>1</v>
      </c>
      <c r="M452" s="5">
        <v>1</v>
      </c>
      <c r="N452" s="5">
        <v>1</v>
      </c>
      <c r="O452" s="5">
        <v>1</v>
      </c>
      <c r="P452" s="5">
        <v>1</v>
      </c>
      <c r="Q452" s="5">
        <v>1</v>
      </c>
      <c r="R452" s="5">
        <v>1</v>
      </c>
      <c r="S452" s="5">
        <v>1</v>
      </c>
      <c r="T452" s="5">
        <v>1</v>
      </c>
      <c r="U452" s="5">
        <v>1</v>
      </c>
      <c r="V452" s="5">
        <v>1</v>
      </c>
      <c r="W452" s="5">
        <v>1</v>
      </c>
      <c r="X452" s="5">
        <v>1</v>
      </c>
      <c r="Y452" s="5">
        <v>1</v>
      </c>
      <c r="Z452" s="5">
        <v>1</v>
      </c>
      <c r="AA452" s="5">
        <v>1</v>
      </c>
      <c r="AB452" s="5">
        <v>1</v>
      </c>
      <c r="AC452" s="5">
        <v>1</v>
      </c>
      <c r="AD452" s="5">
        <v>1</v>
      </c>
      <c r="AE452" s="5">
        <v>1</v>
      </c>
      <c r="AF452" s="5">
        <v>1</v>
      </c>
      <c r="AG452" s="5">
        <v>1</v>
      </c>
      <c r="AH452" s="5">
        <v>1</v>
      </c>
      <c r="AI452" s="5">
        <v>1</v>
      </c>
      <c r="AJ452" s="5">
        <v>1</v>
      </c>
      <c r="AK452" s="5">
        <v>1</v>
      </c>
      <c r="AL452" s="6"/>
      <c r="AM452" s="5">
        <v>1</v>
      </c>
    </row>
    <row r="453" spans="1:39" s="7" customFormat="1" x14ac:dyDescent="0.25">
      <c r="A453" s="5">
        <v>279</v>
      </c>
      <c r="B453" s="5">
        <v>1</v>
      </c>
      <c r="C453" s="5">
        <v>1</v>
      </c>
      <c r="D453" s="5">
        <v>1</v>
      </c>
      <c r="E453" s="5">
        <v>1</v>
      </c>
      <c r="F453" s="5">
        <v>1</v>
      </c>
      <c r="G453" s="5">
        <v>1</v>
      </c>
      <c r="H453" s="5">
        <v>1</v>
      </c>
      <c r="I453" s="5">
        <v>1</v>
      </c>
      <c r="J453" s="5">
        <v>1</v>
      </c>
      <c r="K453" s="5">
        <v>1</v>
      </c>
      <c r="L453" s="5">
        <v>1</v>
      </c>
      <c r="M453" s="5">
        <v>1</v>
      </c>
      <c r="N453" s="5">
        <v>1</v>
      </c>
      <c r="O453" s="5">
        <v>1</v>
      </c>
      <c r="P453" s="5">
        <v>1</v>
      </c>
      <c r="Q453" s="5">
        <v>1</v>
      </c>
      <c r="R453" s="5">
        <v>1</v>
      </c>
      <c r="S453" s="5">
        <v>1</v>
      </c>
      <c r="T453" s="5">
        <v>1</v>
      </c>
      <c r="U453" s="5">
        <v>1</v>
      </c>
      <c r="V453" s="5">
        <v>1</v>
      </c>
      <c r="W453" s="5">
        <v>1</v>
      </c>
      <c r="X453" s="5">
        <v>1</v>
      </c>
      <c r="Y453" s="5">
        <v>1</v>
      </c>
      <c r="Z453" s="5">
        <v>1</v>
      </c>
      <c r="AA453" s="5">
        <v>1</v>
      </c>
      <c r="AB453" s="5">
        <v>1</v>
      </c>
      <c r="AC453" s="5">
        <v>1</v>
      </c>
      <c r="AD453" s="5">
        <v>1</v>
      </c>
      <c r="AE453" s="5">
        <v>1</v>
      </c>
      <c r="AF453" s="5">
        <v>1</v>
      </c>
      <c r="AG453" s="5">
        <v>1</v>
      </c>
      <c r="AH453" s="5">
        <v>1</v>
      </c>
      <c r="AI453" s="5">
        <v>1</v>
      </c>
      <c r="AJ453" s="5">
        <v>1</v>
      </c>
      <c r="AK453" s="5">
        <v>1</v>
      </c>
      <c r="AL453" s="6"/>
      <c r="AM453" s="5">
        <v>1</v>
      </c>
    </row>
    <row r="454" spans="1:39" s="7" customFormat="1" x14ac:dyDescent="0.25">
      <c r="A454" s="5">
        <v>280</v>
      </c>
      <c r="B454" s="5">
        <v>1</v>
      </c>
      <c r="C454" s="6"/>
      <c r="D454" s="5">
        <v>1</v>
      </c>
      <c r="E454" s="5">
        <v>1</v>
      </c>
      <c r="F454" s="5">
        <v>1</v>
      </c>
      <c r="G454" s="6"/>
      <c r="H454" s="5">
        <v>1</v>
      </c>
      <c r="I454" s="5">
        <v>1</v>
      </c>
      <c r="J454" s="6"/>
      <c r="K454" s="5">
        <v>1</v>
      </c>
      <c r="L454" s="6"/>
      <c r="M454" s="5">
        <v>1</v>
      </c>
      <c r="N454" s="5">
        <v>1</v>
      </c>
      <c r="O454" s="6"/>
      <c r="P454" s="5">
        <v>1</v>
      </c>
      <c r="Q454" s="6"/>
      <c r="R454" s="6"/>
      <c r="S454" s="6"/>
      <c r="T454" s="6"/>
      <c r="U454" s="5">
        <v>1</v>
      </c>
      <c r="V454" s="6"/>
      <c r="W454" s="5">
        <v>1</v>
      </c>
      <c r="X454" s="6"/>
      <c r="Y454" s="5">
        <v>1</v>
      </c>
      <c r="Z454" s="6"/>
      <c r="AA454" s="6"/>
      <c r="AB454" s="6"/>
      <c r="AC454" s="5">
        <v>1</v>
      </c>
      <c r="AD454" s="5">
        <v>1</v>
      </c>
      <c r="AE454" s="5">
        <v>1</v>
      </c>
      <c r="AF454" s="5">
        <v>1</v>
      </c>
      <c r="AG454" s="5">
        <v>1</v>
      </c>
      <c r="AH454" s="5">
        <v>1</v>
      </c>
      <c r="AI454" s="6"/>
      <c r="AJ454" s="6"/>
      <c r="AK454" s="5">
        <v>1</v>
      </c>
      <c r="AL454" s="6"/>
      <c r="AM454" s="6"/>
    </row>
    <row r="455" spans="1:39" s="7" customFormat="1" x14ac:dyDescent="0.25">
      <c r="A455" s="5">
        <v>280</v>
      </c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5">
        <v>1</v>
      </c>
      <c r="M455" s="6"/>
      <c r="N455" s="6"/>
      <c r="O455" s="6"/>
      <c r="P455" s="6"/>
      <c r="Q455" s="5">
        <v>1</v>
      </c>
      <c r="R455" s="6"/>
      <c r="S455" s="6"/>
      <c r="T455" s="5">
        <v>1</v>
      </c>
      <c r="U455" s="6"/>
      <c r="V455" s="6"/>
      <c r="W455" s="6"/>
      <c r="X455" s="5">
        <v>1</v>
      </c>
      <c r="Y455" s="6"/>
      <c r="Z455" s="6"/>
      <c r="AA455" s="5">
        <v>1</v>
      </c>
      <c r="AB455" s="6"/>
      <c r="AC455" s="6"/>
      <c r="AD455" s="6"/>
      <c r="AE455" s="6"/>
      <c r="AF455" s="6"/>
      <c r="AG455" s="6"/>
      <c r="AH455" s="6"/>
      <c r="AI455" s="5">
        <v>1</v>
      </c>
      <c r="AJ455" s="6"/>
      <c r="AK455" s="6"/>
      <c r="AL455" s="6"/>
      <c r="AM455" s="6"/>
    </row>
    <row r="456" spans="1:39" s="7" customFormat="1" x14ac:dyDescent="0.25">
      <c r="A456" s="5">
        <v>280</v>
      </c>
      <c r="B456" s="6"/>
      <c r="C456" s="5">
        <v>1</v>
      </c>
      <c r="D456" s="6"/>
      <c r="E456" s="6"/>
      <c r="F456" s="6"/>
      <c r="G456" s="5">
        <v>1</v>
      </c>
      <c r="H456" s="6"/>
      <c r="I456" s="6"/>
      <c r="J456" s="5">
        <v>1</v>
      </c>
      <c r="K456" s="6"/>
      <c r="L456" s="6"/>
      <c r="M456" s="6"/>
      <c r="N456" s="6"/>
      <c r="O456" s="5">
        <v>1</v>
      </c>
      <c r="P456" s="6"/>
      <c r="Q456" s="6"/>
      <c r="R456" s="5">
        <v>1</v>
      </c>
      <c r="S456" s="5">
        <v>1</v>
      </c>
      <c r="T456" s="6"/>
      <c r="U456" s="6"/>
      <c r="V456" s="5">
        <v>1</v>
      </c>
      <c r="W456" s="6"/>
      <c r="X456" s="6"/>
      <c r="Y456" s="6"/>
      <c r="Z456" s="5">
        <v>1</v>
      </c>
      <c r="AA456" s="6"/>
      <c r="AB456" s="5">
        <v>1</v>
      </c>
      <c r="AC456" s="6"/>
      <c r="AD456" s="6"/>
      <c r="AE456" s="6"/>
      <c r="AF456" s="6"/>
      <c r="AG456" s="6"/>
      <c r="AH456" s="6"/>
      <c r="AI456" s="6"/>
      <c r="AJ456" s="5">
        <v>1</v>
      </c>
      <c r="AK456" s="6"/>
      <c r="AL456" s="6"/>
      <c r="AM456" s="6"/>
    </row>
    <row r="457" spans="1:39" s="7" customFormat="1" x14ac:dyDescent="0.25">
      <c r="A457" s="5">
        <v>281</v>
      </c>
      <c r="B457" s="5"/>
      <c r="C457" s="6"/>
      <c r="D457" s="6"/>
      <c r="E457" s="6"/>
      <c r="F457" s="5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5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</row>
    <row r="458" spans="1:39" s="7" customFormat="1" x14ac:dyDescent="0.25">
      <c r="A458" s="5">
        <v>281</v>
      </c>
      <c r="B458" s="6"/>
      <c r="C458" s="6"/>
      <c r="D458" s="6"/>
      <c r="E458" s="5">
        <v>1</v>
      </c>
      <c r="F458" s="6"/>
      <c r="G458" s="6"/>
      <c r="H458" s="6"/>
      <c r="I458" s="6"/>
      <c r="J458" s="6"/>
      <c r="K458" s="6"/>
      <c r="L458" s="6"/>
      <c r="M458" s="6"/>
      <c r="N458" s="5">
        <v>1</v>
      </c>
      <c r="O458" s="6"/>
      <c r="P458" s="6"/>
      <c r="Q458" s="6"/>
      <c r="R458" s="6"/>
      <c r="S458" s="6"/>
      <c r="T458" s="6"/>
      <c r="U458" s="5">
        <v>1</v>
      </c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5">
        <v>1</v>
      </c>
      <c r="AH458" s="6"/>
      <c r="AI458" s="6"/>
      <c r="AJ458" s="6"/>
      <c r="AK458" s="6"/>
      <c r="AL458" s="6"/>
      <c r="AM458" s="6"/>
    </row>
    <row r="459" spans="1:39" s="7" customFormat="1" x14ac:dyDescent="0.25">
      <c r="A459" s="5">
        <v>281</v>
      </c>
      <c r="B459" s="6"/>
      <c r="C459" s="6"/>
      <c r="D459" s="6"/>
      <c r="E459" s="6"/>
      <c r="F459" s="6"/>
      <c r="G459" s="6"/>
      <c r="H459" s="5">
        <v>1</v>
      </c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5">
        <v>1</v>
      </c>
      <c r="X459" s="6"/>
      <c r="Y459" s="6"/>
      <c r="Z459" s="6"/>
      <c r="AA459" s="6"/>
      <c r="AB459" s="6"/>
      <c r="AC459" s="6"/>
      <c r="AD459" s="6"/>
      <c r="AE459" s="5">
        <v>1</v>
      </c>
      <c r="AF459" s="6"/>
      <c r="AG459" s="6"/>
      <c r="AH459" s="6"/>
      <c r="AI459" s="6"/>
      <c r="AJ459" s="6"/>
      <c r="AK459" s="5">
        <v>1</v>
      </c>
      <c r="AL459" s="6"/>
      <c r="AM459" s="6"/>
    </row>
    <row r="460" spans="1:39" s="7" customFormat="1" x14ac:dyDescent="0.25">
      <c r="A460" s="5">
        <v>281</v>
      </c>
      <c r="B460" s="6"/>
      <c r="C460" s="5">
        <v>1</v>
      </c>
      <c r="D460" s="6"/>
      <c r="E460" s="6"/>
      <c r="F460" s="6"/>
      <c r="G460" s="5">
        <v>1</v>
      </c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5">
        <v>1</v>
      </c>
      <c r="S460" s="5">
        <v>1</v>
      </c>
      <c r="T460" s="6"/>
      <c r="U460" s="6"/>
      <c r="V460" s="6"/>
      <c r="W460" s="6"/>
      <c r="X460" s="6"/>
      <c r="Y460" s="6"/>
      <c r="Z460" s="6"/>
      <c r="AA460" s="6"/>
      <c r="AB460" s="5">
        <v>1</v>
      </c>
      <c r="AC460" s="6"/>
      <c r="AD460" s="6"/>
      <c r="AE460" s="6"/>
      <c r="AF460" s="6"/>
      <c r="AG460" s="6"/>
      <c r="AH460" s="6"/>
      <c r="AI460" s="6"/>
      <c r="AJ460" s="5">
        <v>1</v>
      </c>
      <c r="AK460" s="6"/>
      <c r="AL460" s="6"/>
      <c r="AM460" s="6"/>
    </row>
    <row r="461" spans="1:39" s="7" customFormat="1" x14ac:dyDescent="0.25">
      <c r="A461" s="5">
        <v>281</v>
      </c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5"/>
      <c r="AG461" s="6"/>
      <c r="AH461" s="6"/>
      <c r="AI461" s="6"/>
      <c r="AJ461" s="6"/>
      <c r="AK461" s="6"/>
      <c r="AL461" s="6"/>
      <c r="AM461" s="6"/>
    </row>
    <row r="462" spans="1:39" s="7" customFormat="1" x14ac:dyDescent="0.25">
      <c r="A462" s="5">
        <v>281</v>
      </c>
      <c r="B462" s="6"/>
      <c r="C462" s="6"/>
      <c r="D462" s="6"/>
      <c r="E462" s="6"/>
      <c r="F462" s="6"/>
      <c r="G462" s="6"/>
      <c r="H462" s="6"/>
      <c r="I462" s="5">
        <v>1</v>
      </c>
      <c r="J462" s="6"/>
      <c r="K462" s="6"/>
      <c r="L462" s="6"/>
      <c r="M462" s="6"/>
      <c r="N462" s="6"/>
      <c r="O462" s="6"/>
      <c r="P462" s="5">
        <v>1</v>
      </c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5">
        <v>1</v>
      </c>
      <c r="AD462" s="6"/>
      <c r="AE462" s="6"/>
      <c r="AF462" s="6"/>
      <c r="AG462" s="6"/>
      <c r="AH462" s="5">
        <v>1</v>
      </c>
      <c r="AI462" s="6"/>
      <c r="AJ462" s="6"/>
      <c r="AK462" s="6"/>
      <c r="AL462" s="6"/>
      <c r="AM462" s="6"/>
    </row>
    <row r="463" spans="1:39" s="7" customFormat="1" x14ac:dyDescent="0.25">
      <c r="A463" s="5">
        <v>281</v>
      </c>
      <c r="B463" s="6"/>
      <c r="C463" s="6"/>
      <c r="D463" s="6"/>
      <c r="E463" s="6"/>
      <c r="F463" s="6"/>
      <c r="G463" s="6"/>
      <c r="H463" s="6"/>
      <c r="I463" s="6"/>
      <c r="J463" s="5">
        <v>1</v>
      </c>
      <c r="K463" s="6"/>
      <c r="L463" s="6"/>
      <c r="M463" s="6"/>
      <c r="N463" s="6"/>
      <c r="O463" s="5">
        <v>1</v>
      </c>
      <c r="P463" s="6"/>
      <c r="Q463" s="6"/>
      <c r="R463" s="6"/>
      <c r="S463" s="6"/>
      <c r="T463" s="6"/>
      <c r="U463" s="6"/>
      <c r="V463" s="5">
        <v>1</v>
      </c>
      <c r="W463" s="6"/>
      <c r="X463" s="6"/>
      <c r="Y463" s="6"/>
      <c r="Z463" s="5">
        <v>1</v>
      </c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</row>
    <row r="464" spans="1:39" s="7" customFormat="1" x14ac:dyDescent="0.25">
      <c r="A464" s="5">
        <v>282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5">
        <v>1</v>
      </c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5">
        <v>1</v>
      </c>
      <c r="AH464" s="6"/>
      <c r="AI464" s="6"/>
      <c r="AJ464" s="6"/>
      <c r="AK464" s="6"/>
      <c r="AL464" s="6"/>
      <c r="AM464" s="6"/>
    </row>
    <row r="465" spans="1:39" s="7" customFormat="1" x14ac:dyDescent="0.25">
      <c r="A465" s="5">
        <v>282</v>
      </c>
      <c r="B465" s="6"/>
      <c r="C465" s="6"/>
      <c r="D465" s="6"/>
      <c r="E465" s="6"/>
      <c r="F465" s="6"/>
      <c r="G465" s="6"/>
      <c r="H465" s="5">
        <v>1</v>
      </c>
      <c r="I465" s="6"/>
      <c r="J465" s="6"/>
      <c r="K465" s="6"/>
      <c r="L465" s="6"/>
      <c r="M465" s="6"/>
      <c r="N465" s="6"/>
      <c r="O465" s="6"/>
      <c r="P465" s="5">
        <v>1</v>
      </c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5">
        <v>1</v>
      </c>
      <c r="AF465" s="6"/>
      <c r="AG465" s="6"/>
      <c r="AH465" s="5">
        <v>1</v>
      </c>
      <c r="AI465" s="6"/>
      <c r="AJ465" s="6"/>
      <c r="AK465" s="6"/>
      <c r="AL465" s="6"/>
      <c r="AM465" s="6"/>
    </row>
    <row r="466" spans="1:39" s="7" customFormat="1" x14ac:dyDescent="0.25">
      <c r="A466" s="5">
        <v>282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5">
        <v>1</v>
      </c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5">
        <v>1</v>
      </c>
      <c r="AK466" s="6"/>
      <c r="AL466" s="6"/>
      <c r="AM466" s="6"/>
    </row>
    <row r="467" spans="1:39" s="7" customFormat="1" x14ac:dyDescent="0.25">
      <c r="A467" s="5">
        <v>282</v>
      </c>
      <c r="B467" s="6"/>
      <c r="C467" s="6"/>
      <c r="D467" s="6"/>
      <c r="E467" s="5">
        <v>1</v>
      </c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</row>
    <row r="468" spans="1:39" s="7" customFormat="1" x14ac:dyDescent="0.25">
      <c r="A468" s="5">
        <v>282</v>
      </c>
      <c r="B468" s="6"/>
      <c r="C468" s="6"/>
      <c r="D468" s="6"/>
      <c r="E468" s="6"/>
      <c r="F468" s="6"/>
      <c r="G468" s="6"/>
      <c r="H468" s="6"/>
      <c r="I468" s="5">
        <v>1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5">
        <v>1</v>
      </c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</row>
    <row r="469" spans="1:39" s="7" customFormat="1" x14ac:dyDescent="0.25">
      <c r="A469" s="5">
        <v>282</v>
      </c>
      <c r="B469" s="6"/>
      <c r="C469" s="6"/>
      <c r="D469" s="6"/>
      <c r="E469" s="6"/>
      <c r="F469" s="6"/>
      <c r="G469" s="6"/>
      <c r="H469" s="6"/>
      <c r="I469" s="6"/>
      <c r="J469" s="5">
        <v>1</v>
      </c>
      <c r="K469" s="6"/>
      <c r="L469" s="6"/>
      <c r="M469" s="6"/>
      <c r="N469" s="6"/>
      <c r="O469" s="5">
        <v>1</v>
      </c>
      <c r="P469" s="6"/>
      <c r="Q469" s="6"/>
      <c r="R469" s="5">
        <v>1</v>
      </c>
      <c r="S469" s="6"/>
      <c r="T469" s="6"/>
      <c r="U469" s="6"/>
      <c r="V469" s="6"/>
      <c r="W469" s="6"/>
      <c r="X469" s="6"/>
      <c r="Y469" s="6"/>
      <c r="Z469" s="6"/>
      <c r="AA469" s="6"/>
      <c r="AB469" s="5">
        <v>1</v>
      </c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</row>
    <row r="470" spans="1:39" s="7" customFormat="1" x14ac:dyDescent="0.25">
      <c r="A470" s="5">
        <v>282</v>
      </c>
      <c r="B470" s="5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5"/>
      <c r="AG470" s="6"/>
      <c r="AH470" s="6"/>
      <c r="AI470" s="6"/>
      <c r="AJ470" s="6"/>
      <c r="AK470" s="6"/>
      <c r="AL470" s="6"/>
      <c r="AM470" s="6"/>
    </row>
    <row r="471" spans="1:39" s="7" customFormat="1" x14ac:dyDescent="0.25">
      <c r="A471" s="5">
        <v>282</v>
      </c>
      <c r="B471" s="6"/>
      <c r="C471" s="6"/>
      <c r="D471" s="6"/>
      <c r="E471" s="6"/>
      <c r="F471" s="5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</row>
    <row r="472" spans="1:39" s="7" customFormat="1" x14ac:dyDescent="0.25">
      <c r="A472" s="5">
        <v>282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5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</row>
    <row r="473" spans="1:39" s="7" customFormat="1" x14ac:dyDescent="0.25">
      <c r="A473" s="5">
        <v>282</v>
      </c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5">
        <v>1</v>
      </c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</row>
    <row r="474" spans="1:39" s="7" customFormat="1" x14ac:dyDescent="0.25">
      <c r="A474" s="5">
        <v>282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5">
        <v>1</v>
      </c>
      <c r="AD474" s="6"/>
      <c r="AE474" s="6"/>
      <c r="AF474" s="6"/>
      <c r="AG474" s="6"/>
      <c r="AH474" s="6"/>
      <c r="AI474" s="6"/>
      <c r="AJ474" s="6"/>
      <c r="AK474" s="5">
        <v>1</v>
      </c>
      <c r="AL474" s="6"/>
      <c r="AM474" s="6"/>
    </row>
    <row r="475" spans="1:39" s="7" customFormat="1" x14ac:dyDescent="0.25">
      <c r="A475" s="5">
        <v>282</v>
      </c>
      <c r="B475" s="6"/>
      <c r="C475" s="5">
        <v>1</v>
      </c>
      <c r="D475" s="6"/>
      <c r="E475" s="6"/>
      <c r="F475" s="6"/>
      <c r="G475" s="5">
        <v>1</v>
      </c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5">
        <v>1</v>
      </c>
      <c r="W475" s="6"/>
      <c r="X475" s="6"/>
      <c r="Y475" s="6"/>
      <c r="Z475" s="5">
        <v>1</v>
      </c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</row>
    <row r="476" spans="1:39" s="7" customFormat="1" x14ac:dyDescent="0.25">
      <c r="A476" s="5">
        <v>283</v>
      </c>
      <c r="B476" s="6"/>
      <c r="C476" s="6"/>
      <c r="D476" s="6"/>
      <c r="E476" s="6"/>
      <c r="F476" s="6"/>
      <c r="G476" s="6"/>
      <c r="H476" s="5">
        <v>1</v>
      </c>
      <c r="I476" s="6"/>
      <c r="J476" s="6"/>
      <c r="K476" s="6"/>
      <c r="L476" s="6"/>
      <c r="M476" s="6"/>
      <c r="N476" s="5">
        <v>1</v>
      </c>
      <c r="O476" s="6"/>
      <c r="P476" s="5">
        <v>1</v>
      </c>
      <c r="Q476" s="6"/>
      <c r="R476" s="6"/>
      <c r="S476" s="5">
        <v>1</v>
      </c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5">
        <v>1</v>
      </c>
      <c r="AF476" s="6"/>
      <c r="AG476" s="5">
        <v>1</v>
      </c>
      <c r="AH476" s="5">
        <v>1</v>
      </c>
      <c r="AI476" s="6"/>
      <c r="AJ476" s="5">
        <v>1</v>
      </c>
      <c r="AK476" s="6"/>
      <c r="AL476" s="6"/>
      <c r="AM476" s="6"/>
    </row>
    <row r="477" spans="1:39" s="7" customFormat="1" x14ac:dyDescent="0.25">
      <c r="A477" s="5">
        <v>283</v>
      </c>
      <c r="B477" s="6"/>
      <c r="C477" s="5">
        <v>1</v>
      </c>
      <c r="D477" s="6"/>
      <c r="E477" s="5">
        <v>1</v>
      </c>
      <c r="F477" s="6"/>
      <c r="G477" s="5">
        <v>1</v>
      </c>
      <c r="H477" s="6"/>
      <c r="I477" s="5">
        <v>1</v>
      </c>
      <c r="J477" s="5">
        <v>1</v>
      </c>
      <c r="K477" s="6"/>
      <c r="L477" s="6"/>
      <c r="M477" s="6"/>
      <c r="N477" s="6"/>
      <c r="O477" s="5">
        <v>1</v>
      </c>
      <c r="P477" s="6"/>
      <c r="Q477" s="6"/>
      <c r="R477" s="5">
        <v>1</v>
      </c>
      <c r="S477" s="6"/>
      <c r="T477" s="6"/>
      <c r="U477" s="5">
        <v>1</v>
      </c>
      <c r="V477" s="5">
        <v>1</v>
      </c>
      <c r="W477" s="5">
        <v>1</v>
      </c>
      <c r="X477" s="6"/>
      <c r="Y477" s="6"/>
      <c r="Z477" s="5">
        <v>1</v>
      </c>
      <c r="AA477" s="6"/>
      <c r="AB477" s="5">
        <v>1</v>
      </c>
      <c r="AC477" s="5">
        <v>1</v>
      </c>
      <c r="AD477" s="6"/>
      <c r="AE477" s="6"/>
      <c r="AF477" s="6"/>
      <c r="AG477" s="6"/>
      <c r="AH477" s="6"/>
      <c r="AI477" s="6"/>
      <c r="AJ477" s="6"/>
      <c r="AK477" s="5">
        <v>1</v>
      </c>
      <c r="AL477" s="6"/>
      <c r="AM477" s="5">
        <v>1</v>
      </c>
    </row>
    <row r="478" spans="1:39" s="7" customFormat="1" x14ac:dyDescent="0.25">
      <c r="A478" s="5">
        <v>284</v>
      </c>
      <c r="B478" s="6"/>
      <c r="C478" s="5">
        <v>1</v>
      </c>
      <c r="D478" s="6"/>
      <c r="E478" s="5">
        <v>1</v>
      </c>
      <c r="F478" s="6"/>
      <c r="G478" s="5">
        <v>1</v>
      </c>
      <c r="H478" s="5">
        <v>1</v>
      </c>
      <c r="I478" s="5">
        <v>1</v>
      </c>
      <c r="J478" s="5">
        <v>1</v>
      </c>
      <c r="K478" s="6"/>
      <c r="L478" s="6"/>
      <c r="M478" s="6"/>
      <c r="N478" s="5">
        <v>1</v>
      </c>
      <c r="O478" s="5">
        <v>1</v>
      </c>
      <c r="P478" s="5">
        <v>1</v>
      </c>
      <c r="Q478" s="6"/>
      <c r="R478" s="5">
        <v>1</v>
      </c>
      <c r="S478" s="5">
        <v>1</v>
      </c>
      <c r="T478" s="6"/>
      <c r="U478" s="5">
        <v>1</v>
      </c>
      <c r="V478" s="5">
        <v>1</v>
      </c>
      <c r="W478" s="5">
        <v>1</v>
      </c>
      <c r="X478" s="6"/>
      <c r="Y478" s="6"/>
      <c r="Z478" s="5">
        <v>1</v>
      </c>
      <c r="AA478" s="6"/>
      <c r="AB478" s="5">
        <v>1</v>
      </c>
      <c r="AC478" s="5">
        <v>1</v>
      </c>
      <c r="AD478" s="6"/>
      <c r="AE478" s="5">
        <v>1</v>
      </c>
      <c r="AF478" s="6"/>
      <c r="AG478" s="5">
        <v>1</v>
      </c>
      <c r="AH478" s="5">
        <v>1</v>
      </c>
      <c r="AI478" s="6"/>
      <c r="AJ478" s="5">
        <v>1</v>
      </c>
      <c r="AK478" s="5">
        <v>1</v>
      </c>
      <c r="AL478" s="6"/>
      <c r="AM478" s="5">
        <v>1</v>
      </c>
    </row>
    <row r="479" spans="1:39" s="7" customFormat="1" x14ac:dyDescent="0.25">
      <c r="A479" s="5">
        <v>285</v>
      </c>
      <c r="B479" s="11"/>
      <c r="C479" s="11">
        <v>1</v>
      </c>
      <c r="D479" s="11"/>
      <c r="E479" s="11"/>
      <c r="F479" s="11">
        <v>1</v>
      </c>
      <c r="G479" s="11">
        <v>1</v>
      </c>
      <c r="H479" s="11">
        <v>1</v>
      </c>
      <c r="I479" s="11">
        <v>1</v>
      </c>
      <c r="J479" s="11">
        <v>1</v>
      </c>
      <c r="K479" s="11">
        <v>1</v>
      </c>
      <c r="L479" s="11">
        <v>1</v>
      </c>
      <c r="M479" s="11">
        <v>1</v>
      </c>
      <c r="N479" s="11"/>
      <c r="O479" s="11">
        <v>1</v>
      </c>
      <c r="P479" s="11">
        <v>1</v>
      </c>
      <c r="Q479" s="11">
        <v>1</v>
      </c>
      <c r="R479" s="11">
        <v>1</v>
      </c>
      <c r="S479" s="11">
        <v>1</v>
      </c>
      <c r="T479" s="11">
        <v>1</v>
      </c>
      <c r="U479" s="11"/>
      <c r="V479" s="11">
        <v>1</v>
      </c>
      <c r="W479" s="11">
        <v>1</v>
      </c>
      <c r="X479" s="11">
        <v>1</v>
      </c>
      <c r="Y479" s="11"/>
      <c r="Z479" s="11">
        <v>1</v>
      </c>
      <c r="AA479" s="11">
        <v>1</v>
      </c>
      <c r="AB479" s="11">
        <v>1</v>
      </c>
      <c r="AC479" s="11">
        <v>1</v>
      </c>
      <c r="AD479" s="11">
        <v>1</v>
      </c>
      <c r="AE479" s="11">
        <v>1</v>
      </c>
      <c r="AF479" s="11">
        <v>1</v>
      </c>
      <c r="AG479" s="11"/>
      <c r="AH479" s="11">
        <v>1</v>
      </c>
      <c r="AI479" s="11">
        <v>1</v>
      </c>
      <c r="AJ479" s="11">
        <v>1</v>
      </c>
      <c r="AK479" s="11">
        <v>1</v>
      </c>
      <c r="AL479" s="11"/>
      <c r="AM479" s="11"/>
    </row>
    <row r="480" spans="1:39" s="7" customFormat="1" x14ac:dyDescent="0.25">
      <c r="A480" s="5">
        <v>286</v>
      </c>
      <c r="B480" s="11"/>
      <c r="C480" s="11">
        <v>1</v>
      </c>
      <c r="D480" s="11"/>
      <c r="E480" s="11"/>
      <c r="F480" s="11">
        <v>1</v>
      </c>
      <c r="G480" s="11">
        <v>1</v>
      </c>
      <c r="H480" s="11">
        <v>1</v>
      </c>
      <c r="I480" s="11">
        <v>1</v>
      </c>
      <c r="J480" s="11">
        <v>1</v>
      </c>
      <c r="K480" s="11">
        <v>1</v>
      </c>
      <c r="L480" s="11">
        <v>1</v>
      </c>
      <c r="M480" s="11">
        <v>1</v>
      </c>
      <c r="N480" s="11"/>
      <c r="O480" s="11">
        <v>1</v>
      </c>
      <c r="P480" s="9">
        <v>1</v>
      </c>
      <c r="Q480" s="11">
        <v>1</v>
      </c>
      <c r="R480" s="9">
        <v>1</v>
      </c>
      <c r="S480" s="9">
        <v>1</v>
      </c>
      <c r="T480" s="9">
        <v>1</v>
      </c>
      <c r="U480" s="9"/>
      <c r="V480" s="11">
        <v>1</v>
      </c>
      <c r="W480" s="11">
        <v>1</v>
      </c>
      <c r="X480" s="11">
        <v>1</v>
      </c>
      <c r="Y480" s="11"/>
      <c r="Z480" s="11">
        <v>1</v>
      </c>
      <c r="AA480" s="11">
        <v>1</v>
      </c>
      <c r="AB480" s="11">
        <v>1</v>
      </c>
      <c r="AC480" s="11">
        <v>1</v>
      </c>
      <c r="AD480" s="11">
        <v>1</v>
      </c>
      <c r="AE480" s="11">
        <v>1</v>
      </c>
      <c r="AF480" s="11">
        <v>1</v>
      </c>
      <c r="AG480" s="11"/>
      <c r="AH480" s="9">
        <v>1</v>
      </c>
      <c r="AI480" s="9">
        <v>1</v>
      </c>
      <c r="AJ480" s="9">
        <v>1</v>
      </c>
      <c r="AK480" s="9">
        <v>1</v>
      </c>
      <c r="AL480" s="9"/>
      <c r="AM480" s="9"/>
    </row>
    <row r="481" spans="1:39" s="7" customFormat="1" x14ac:dyDescent="0.25">
      <c r="A481" s="5">
        <v>288</v>
      </c>
      <c r="B481" s="5">
        <v>1</v>
      </c>
      <c r="C481" s="6"/>
      <c r="D481" s="5">
        <v>1</v>
      </c>
      <c r="E481" s="6"/>
      <c r="F481" s="5">
        <v>1</v>
      </c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5">
        <v>1</v>
      </c>
      <c r="AB481" s="6"/>
      <c r="AC481" s="6"/>
      <c r="AD481" s="5">
        <v>1</v>
      </c>
      <c r="AE481" s="6"/>
      <c r="AF481" s="6"/>
      <c r="AG481" s="6"/>
      <c r="AH481" s="6"/>
      <c r="AI481" s="5">
        <v>1</v>
      </c>
      <c r="AJ481" s="6"/>
      <c r="AK481" s="6"/>
      <c r="AL481" s="5">
        <v>1</v>
      </c>
      <c r="AM481" s="6"/>
    </row>
    <row r="482" spans="1:39" s="7" customFormat="1" x14ac:dyDescent="0.25">
      <c r="A482" s="5">
        <v>288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5">
        <v>1</v>
      </c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</row>
    <row r="483" spans="1:39" s="7" customFormat="1" x14ac:dyDescent="0.25">
      <c r="A483" s="5">
        <v>288</v>
      </c>
      <c r="B483" s="6"/>
      <c r="C483" s="6"/>
      <c r="D483" s="6"/>
      <c r="E483" s="5">
        <v>1</v>
      </c>
      <c r="F483" s="6"/>
      <c r="G483" s="6"/>
      <c r="H483" s="6"/>
      <c r="I483" s="6"/>
      <c r="J483" s="6"/>
      <c r="K483" s="5">
        <v>1</v>
      </c>
      <c r="L483" s="6"/>
      <c r="M483" s="6"/>
      <c r="N483" s="5">
        <v>1</v>
      </c>
      <c r="O483" s="6"/>
      <c r="P483" s="6"/>
      <c r="Q483" s="6"/>
      <c r="R483" s="6"/>
      <c r="S483" s="6"/>
      <c r="T483" s="6"/>
      <c r="U483" s="5">
        <v>1</v>
      </c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5">
        <v>1</v>
      </c>
      <c r="AH483" s="6"/>
      <c r="AI483" s="6"/>
      <c r="AJ483" s="6"/>
      <c r="AK483" s="6"/>
      <c r="AL483" s="6"/>
      <c r="AM483" s="6"/>
    </row>
    <row r="484" spans="1:39" s="7" customFormat="1" x14ac:dyDescent="0.25">
      <c r="A484" s="5">
        <v>288</v>
      </c>
      <c r="B484" s="6"/>
      <c r="C484" s="6"/>
      <c r="D484" s="6"/>
      <c r="E484" s="6"/>
      <c r="F484" s="6"/>
      <c r="G484" s="6"/>
      <c r="H484" s="5">
        <v>1</v>
      </c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5">
        <v>1</v>
      </c>
      <c r="X484" s="6"/>
      <c r="Y484" s="6"/>
      <c r="Z484" s="6"/>
      <c r="AA484" s="6"/>
      <c r="AB484" s="6"/>
      <c r="AC484" s="6"/>
      <c r="AD484" s="6"/>
      <c r="AE484" s="5">
        <v>1</v>
      </c>
      <c r="AF484" s="6"/>
      <c r="AG484" s="6"/>
      <c r="AH484" s="6"/>
      <c r="AI484" s="6"/>
      <c r="AJ484" s="6"/>
      <c r="AK484" s="5">
        <v>1</v>
      </c>
      <c r="AL484" s="6"/>
      <c r="AM484" s="6"/>
    </row>
    <row r="485" spans="1:39" s="7" customFormat="1" x14ac:dyDescent="0.25">
      <c r="A485" s="5">
        <v>288</v>
      </c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5">
        <v>1</v>
      </c>
      <c r="R485" s="6"/>
      <c r="S485" s="6"/>
      <c r="T485" s="5">
        <v>1</v>
      </c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</row>
    <row r="486" spans="1:39" s="7" customFormat="1" x14ac:dyDescent="0.25">
      <c r="A486" s="5">
        <v>288</v>
      </c>
      <c r="B486" s="6"/>
      <c r="C486" s="5">
        <v>1</v>
      </c>
      <c r="D486" s="6"/>
      <c r="E486" s="6"/>
      <c r="F486" s="6"/>
      <c r="G486" s="5">
        <v>1</v>
      </c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5">
        <v>1</v>
      </c>
      <c r="S486" s="5">
        <v>1</v>
      </c>
      <c r="T486" s="6"/>
      <c r="U486" s="6"/>
      <c r="V486" s="6"/>
      <c r="W486" s="6"/>
      <c r="X486" s="6"/>
      <c r="Y486" s="6"/>
      <c r="Z486" s="6"/>
      <c r="AA486" s="6"/>
      <c r="AB486" s="5">
        <v>1</v>
      </c>
      <c r="AC486" s="6"/>
      <c r="AD486" s="6"/>
      <c r="AE486" s="6"/>
      <c r="AF486" s="6"/>
      <c r="AG486" s="6"/>
      <c r="AH486" s="6"/>
      <c r="AI486" s="6"/>
      <c r="AJ486" s="5">
        <v>1</v>
      </c>
      <c r="AK486" s="6"/>
      <c r="AL486" s="6"/>
      <c r="AM486" s="5">
        <v>1</v>
      </c>
    </row>
    <row r="487" spans="1:39" s="7" customFormat="1" x14ac:dyDescent="0.25">
      <c r="A487" s="5">
        <v>288</v>
      </c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5">
        <v>1</v>
      </c>
      <c r="AG487" s="6"/>
      <c r="AH487" s="6"/>
      <c r="AI487" s="6"/>
      <c r="AJ487" s="6"/>
      <c r="AK487" s="6"/>
      <c r="AL487" s="6"/>
      <c r="AM487" s="6"/>
    </row>
    <row r="488" spans="1:39" s="7" customFormat="1" x14ac:dyDescent="0.25">
      <c r="A488" s="5">
        <v>288</v>
      </c>
      <c r="B488" s="6"/>
      <c r="C488" s="6"/>
      <c r="D488" s="6"/>
      <c r="E488" s="6"/>
      <c r="F488" s="6"/>
      <c r="G488" s="6"/>
      <c r="H488" s="6"/>
      <c r="I488" s="5">
        <v>1</v>
      </c>
      <c r="J488" s="6"/>
      <c r="K488" s="6"/>
      <c r="L488" s="6"/>
      <c r="M488" s="6"/>
      <c r="N488" s="6"/>
      <c r="O488" s="6"/>
      <c r="P488" s="5">
        <v>1</v>
      </c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5">
        <v>1</v>
      </c>
      <c r="AD488" s="6"/>
      <c r="AE488" s="6"/>
      <c r="AF488" s="6"/>
      <c r="AG488" s="6"/>
      <c r="AH488" s="5">
        <v>1</v>
      </c>
      <c r="AI488" s="6"/>
      <c r="AJ488" s="6"/>
      <c r="AK488" s="6"/>
      <c r="AL488" s="6"/>
      <c r="AM488" s="6"/>
    </row>
    <row r="489" spans="1:39" s="7" customFormat="1" x14ac:dyDescent="0.25">
      <c r="A489" s="5">
        <v>288</v>
      </c>
      <c r="B489" s="6"/>
      <c r="C489" s="6"/>
      <c r="D489" s="6"/>
      <c r="E489" s="6"/>
      <c r="F489" s="6"/>
      <c r="G489" s="6"/>
      <c r="H489" s="6"/>
      <c r="I489" s="6"/>
      <c r="J489" s="5">
        <v>1</v>
      </c>
      <c r="K489" s="6"/>
      <c r="L489" s="6"/>
      <c r="M489" s="6"/>
      <c r="N489" s="6"/>
      <c r="O489" s="5">
        <v>1</v>
      </c>
      <c r="P489" s="6"/>
      <c r="Q489" s="6"/>
      <c r="R489" s="6"/>
      <c r="S489" s="6"/>
      <c r="T489" s="6"/>
      <c r="U489" s="6"/>
      <c r="V489" s="5">
        <v>1</v>
      </c>
      <c r="W489" s="6"/>
      <c r="X489" s="6"/>
      <c r="Y489" s="6"/>
      <c r="Z489" s="5">
        <v>1</v>
      </c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</row>
    <row r="490" spans="1:39" s="7" customFormat="1" x14ac:dyDescent="0.25">
      <c r="A490" s="5">
        <v>288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5">
        <v>1</v>
      </c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</row>
    <row r="491" spans="1:39" s="7" customFormat="1" x14ac:dyDescent="0.25">
      <c r="A491" s="5">
        <v>288</v>
      </c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5">
        <v>1</v>
      </c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5">
        <v>1</v>
      </c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</row>
    <row r="492" spans="1:39" s="7" customFormat="1" x14ac:dyDescent="0.25">
      <c r="A492" s="5">
        <v>289</v>
      </c>
      <c r="B492" s="5">
        <v>1</v>
      </c>
      <c r="C492" s="6"/>
      <c r="D492" s="5">
        <v>1</v>
      </c>
      <c r="E492" s="6"/>
      <c r="F492" s="5">
        <v>1</v>
      </c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5">
        <v>1</v>
      </c>
      <c r="AB492" s="6"/>
      <c r="AC492" s="6"/>
      <c r="AD492" s="5">
        <v>1</v>
      </c>
      <c r="AE492" s="6"/>
      <c r="AF492" s="6"/>
      <c r="AG492" s="6"/>
      <c r="AH492" s="6"/>
      <c r="AI492" s="5">
        <v>1</v>
      </c>
      <c r="AJ492" s="6"/>
      <c r="AK492" s="6"/>
      <c r="AL492" s="5">
        <v>1</v>
      </c>
      <c r="AM492" s="6"/>
    </row>
    <row r="493" spans="1:39" s="7" customFormat="1" x14ac:dyDescent="0.25">
      <c r="A493" s="5">
        <v>289</v>
      </c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5">
        <v>1</v>
      </c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</row>
    <row r="494" spans="1:39" s="7" customFormat="1" x14ac:dyDescent="0.25">
      <c r="A494" s="5">
        <v>289</v>
      </c>
      <c r="B494" s="6"/>
      <c r="C494" s="6"/>
      <c r="D494" s="6"/>
      <c r="E494" s="5">
        <v>1</v>
      </c>
      <c r="F494" s="6"/>
      <c r="G494" s="6"/>
      <c r="H494" s="6"/>
      <c r="I494" s="6"/>
      <c r="J494" s="6"/>
      <c r="K494" s="5">
        <v>1</v>
      </c>
      <c r="L494" s="6"/>
      <c r="M494" s="6"/>
      <c r="N494" s="5">
        <v>1</v>
      </c>
      <c r="O494" s="6"/>
      <c r="P494" s="6"/>
      <c r="Q494" s="6"/>
      <c r="R494" s="6"/>
      <c r="S494" s="6"/>
      <c r="T494" s="6"/>
      <c r="U494" s="5">
        <v>1</v>
      </c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5">
        <v>1</v>
      </c>
      <c r="AH494" s="6"/>
      <c r="AI494" s="6"/>
      <c r="AJ494" s="6"/>
      <c r="AK494" s="6"/>
      <c r="AL494" s="6"/>
      <c r="AM494" s="6"/>
    </row>
    <row r="495" spans="1:39" s="7" customFormat="1" x14ac:dyDescent="0.25">
      <c r="A495" s="5">
        <v>289</v>
      </c>
      <c r="B495" s="6"/>
      <c r="C495" s="6"/>
      <c r="D495" s="6"/>
      <c r="E495" s="6"/>
      <c r="F495" s="6"/>
      <c r="G495" s="6"/>
      <c r="H495" s="5">
        <v>1</v>
      </c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5">
        <v>1</v>
      </c>
      <c r="X495" s="6"/>
      <c r="Y495" s="6"/>
      <c r="Z495" s="6"/>
      <c r="AA495" s="6"/>
      <c r="AB495" s="6"/>
      <c r="AC495" s="6"/>
      <c r="AD495" s="6"/>
      <c r="AE495" s="5">
        <v>1</v>
      </c>
      <c r="AF495" s="6"/>
      <c r="AG495" s="6"/>
      <c r="AH495" s="6"/>
      <c r="AI495" s="6"/>
      <c r="AJ495" s="6"/>
      <c r="AK495" s="5">
        <v>1</v>
      </c>
      <c r="AL495" s="6"/>
      <c r="AM495" s="6"/>
    </row>
    <row r="496" spans="1:39" s="7" customFormat="1" x14ac:dyDescent="0.25">
      <c r="A496" s="5">
        <v>289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5">
        <v>1</v>
      </c>
      <c r="R496" s="6"/>
      <c r="S496" s="6"/>
      <c r="T496" s="5">
        <v>1</v>
      </c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</row>
    <row r="497" spans="1:39" s="7" customFormat="1" x14ac:dyDescent="0.25">
      <c r="A497" s="5">
        <v>289</v>
      </c>
      <c r="B497" s="6"/>
      <c r="C497" s="5">
        <v>1</v>
      </c>
      <c r="D497" s="6"/>
      <c r="E497" s="6"/>
      <c r="F497" s="6"/>
      <c r="G497" s="5">
        <v>1</v>
      </c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5">
        <v>1</v>
      </c>
      <c r="S497" s="5">
        <v>1</v>
      </c>
      <c r="T497" s="6"/>
      <c r="U497" s="6"/>
      <c r="V497" s="6"/>
      <c r="W497" s="6"/>
      <c r="X497" s="6"/>
      <c r="Y497" s="6"/>
      <c r="Z497" s="6"/>
      <c r="AA497" s="6"/>
      <c r="AB497" s="5">
        <v>1</v>
      </c>
      <c r="AC497" s="6"/>
      <c r="AD497" s="6"/>
      <c r="AE497" s="6"/>
      <c r="AF497" s="6"/>
      <c r="AG497" s="6"/>
      <c r="AH497" s="6"/>
      <c r="AI497" s="6"/>
      <c r="AJ497" s="5">
        <v>1</v>
      </c>
      <c r="AK497" s="6"/>
      <c r="AL497" s="6"/>
      <c r="AM497" s="5">
        <v>1</v>
      </c>
    </row>
    <row r="498" spans="1:39" s="7" customFormat="1" x14ac:dyDescent="0.25">
      <c r="A498" s="5">
        <v>289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5">
        <v>1</v>
      </c>
      <c r="AG498" s="6"/>
      <c r="AH498" s="6"/>
      <c r="AI498" s="6"/>
      <c r="AJ498" s="6"/>
      <c r="AK498" s="6"/>
      <c r="AL498" s="6"/>
      <c r="AM498" s="6"/>
    </row>
    <row r="499" spans="1:39" s="7" customFormat="1" x14ac:dyDescent="0.25">
      <c r="A499" s="5">
        <v>289</v>
      </c>
      <c r="B499" s="6"/>
      <c r="C499" s="6"/>
      <c r="D499" s="6"/>
      <c r="E499" s="6"/>
      <c r="F499" s="6"/>
      <c r="G499" s="6"/>
      <c r="H499" s="6"/>
      <c r="I499" s="5">
        <v>1</v>
      </c>
      <c r="J499" s="6"/>
      <c r="K499" s="6"/>
      <c r="L499" s="6"/>
      <c r="M499" s="6"/>
      <c r="N499" s="6"/>
      <c r="O499" s="6"/>
      <c r="P499" s="5">
        <v>1</v>
      </c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5">
        <v>1</v>
      </c>
      <c r="AD499" s="6"/>
      <c r="AE499" s="6"/>
      <c r="AF499" s="6"/>
      <c r="AG499" s="6"/>
      <c r="AH499" s="5">
        <v>1</v>
      </c>
      <c r="AI499" s="6"/>
      <c r="AJ499" s="6"/>
      <c r="AK499" s="6"/>
      <c r="AL499" s="6"/>
      <c r="AM499" s="6"/>
    </row>
    <row r="500" spans="1:39" s="7" customFormat="1" x14ac:dyDescent="0.25">
      <c r="A500" s="5">
        <v>289</v>
      </c>
      <c r="B500" s="6"/>
      <c r="C500" s="6"/>
      <c r="D500" s="6"/>
      <c r="E500" s="6"/>
      <c r="F500" s="6"/>
      <c r="G500" s="6"/>
      <c r="H500" s="6"/>
      <c r="I500" s="6"/>
      <c r="J500" s="5">
        <v>1</v>
      </c>
      <c r="K500" s="6"/>
      <c r="L500" s="6"/>
      <c r="M500" s="6"/>
      <c r="N500" s="6"/>
      <c r="O500" s="5">
        <v>1</v>
      </c>
      <c r="P500" s="6"/>
      <c r="Q500" s="6"/>
      <c r="R500" s="6"/>
      <c r="S500" s="6"/>
      <c r="T500" s="6"/>
      <c r="U500" s="6"/>
      <c r="V500" s="5">
        <v>1</v>
      </c>
      <c r="W500" s="6"/>
      <c r="X500" s="6"/>
      <c r="Y500" s="6"/>
      <c r="Z500" s="5">
        <v>1</v>
      </c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</row>
    <row r="501" spans="1:39" s="7" customFormat="1" x14ac:dyDescent="0.25">
      <c r="A501" s="5">
        <v>289</v>
      </c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5">
        <v>1</v>
      </c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</row>
    <row r="502" spans="1:39" s="7" customFormat="1" x14ac:dyDescent="0.25">
      <c r="A502" s="5">
        <v>289</v>
      </c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5">
        <v>1</v>
      </c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5">
        <v>1</v>
      </c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</row>
    <row r="503" spans="1:39" s="7" customFormat="1" x14ac:dyDescent="0.25">
      <c r="A503" s="5">
        <v>290</v>
      </c>
      <c r="B503" s="5">
        <v>1</v>
      </c>
      <c r="C503" s="5">
        <v>1</v>
      </c>
      <c r="D503" s="6"/>
      <c r="E503" s="5">
        <v>1</v>
      </c>
      <c r="F503" s="5">
        <v>1</v>
      </c>
      <c r="G503" s="5">
        <v>1</v>
      </c>
      <c r="H503" s="5">
        <v>1</v>
      </c>
      <c r="I503" s="5">
        <v>1</v>
      </c>
      <c r="J503" s="5">
        <v>1</v>
      </c>
      <c r="K503" s="5">
        <v>1</v>
      </c>
      <c r="L503" s="5">
        <v>1</v>
      </c>
      <c r="M503" s="5">
        <v>1</v>
      </c>
      <c r="N503" s="5">
        <v>1</v>
      </c>
      <c r="O503" s="5">
        <v>1</v>
      </c>
      <c r="P503" s="5">
        <v>1</v>
      </c>
      <c r="Q503" s="5">
        <v>1</v>
      </c>
      <c r="R503" s="5">
        <v>1</v>
      </c>
      <c r="S503" s="5">
        <v>1</v>
      </c>
      <c r="T503" s="5">
        <v>1</v>
      </c>
      <c r="U503" s="5">
        <v>1</v>
      </c>
      <c r="V503" s="5">
        <v>1</v>
      </c>
      <c r="W503" s="5">
        <v>1</v>
      </c>
      <c r="X503" s="5">
        <v>1</v>
      </c>
      <c r="Y503" s="5">
        <v>1</v>
      </c>
      <c r="Z503" s="5">
        <v>1</v>
      </c>
      <c r="AA503" s="5">
        <v>1</v>
      </c>
      <c r="AB503" s="5">
        <v>1</v>
      </c>
      <c r="AC503" s="5">
        <v>1</v>
      </c>
      <c r="AD503" s="6"/>
      <c r="AE503" s="5">
        <v>1</v>
      </c>
      <c r="AF503" s="5">
        <v>1</v>
      </c>
      <c r="AG503" s="5">
        <v>1</v>
      </c>
      <c r="AH503" s="5">
        <v>1</v>
      </c>
      <c r="AI503" s="6"/>
      <c r="AJ503" s="5">
        <v>1</v>
      </c>
      <c r="AK503" s="5">
        <v>1</v>
      </c>
      <c r="AL503" s="6"/>
      <c r="AM503" s="5">
        <v>1</v>
      </c>
    </row>
    <row r="504" spans="1:39" s="7" customFormat="1" x14ac:dyDescent="0.25">
      <c r="A504" s="5">
        <v>291</v>
      </c>
      <c r="B504" s="5">
        <v>1</v>
      </c>
      <c r="C504" s="5">
        <v>1</v>
      </c>
      <c r="D504" s="6"/>
      <c r="E504" s="5">
        <v>1</v>
      </c>
      <c r="F504" s="5">
        <v>1</v>
      </c>
      <c r="G504" s="5">
        <v>1</v>
      </c>
      <c r="H504" s="5">
        <v>1</v>
      </c>
      <c r="I504" s="5">
        <v>1</v>
      </c>
      <c r="J504" s="5">
        <v>1</v>
      </c>
      <c r="K504" s="5">
        <v>1</v>
      </c>
      <c r="L504" s="5">
        <v>1</v>
      </c>
      <c r="M504" s="5">
        <v>1</v>
      </c>
      <c r="N504" s="5">
        <v>1</v>
      </c>
      <c r="O504" s="5">
        <v>1</v>
      </c>
      <c r="P504" s="5">
        <v>1</v>
      </c>
      <c r="Q504" s="5">
        <v>1</v>
      </c>
      <c r="R504" s="5">
        <v>1</v>
      </c>
      <c r="S504" s="5">
        <v>1</v>
      </c>
      <c r="T504" s="5">
        <v>1</v>
      </c>
      <c r="U504" s="5">
        <v>1</v>
      </c>
      <c r="V504" s="5">
        <v>1</v>
      </c>
      <c r="W504" s="5">
        <v>1</v>
      </c>
      <c r="X504" s="5">
        <v>1</v>
      </c>
      <c r="Y504" s="5">
        <v>1</v>
      </c>
      <c r="Z504" s="5">
        <v>1</v>
      </c>
      <c r="AA504" s="5">
        <v>1</v>
      </c>
      <c r="AB504" s="5">
        <v>1</v>
      </c>
      <c r="AC504" s="5">
        <v>1</v>
      </c>
      <c r="AD504" s="6"/>
      <c r="AE504" s="5">
        <v>1</v>
      </c>
      <c r="AF504" s="5">
        <v>1</v>
      </c>
      <c r="AG504" s="5">
        <v>1</v>
      </c>
      <c r="AH504" s="5">
        <v>1</v>
      </c>
      <c r="AI504" s="6"/>
      <c r="AJ504" s="5">
        <v>1</v>
      </c>
      <c r="AK504" s="5">
        <v>1</v>
      </c>
      <c r="AL504" s="6"/>
      <c r="AM504" s="5">
        <v>1</v>
      </c>
    </row>
    <row r="505" spans="1:39" s="7" customFormat="1" x14ac:dyDescent="0.25">
      <c r="A505" s="5">
        <v>292</v>
      </c>
      <c r="B505" s="5">
        <v>1</v>
      </c>
      <c r="C505" s="5">
        <v>1</v>
      </c>
      <c r="D505" s="6"/>
      <c r="E505" s="5">
        <v>1</v>
      </c>
      <c r="F505" s="5">
        <v>1</v>
      </c>
      <c r="G505" s="5">
        <v>1</v>
      </c>
      <c r="H505" s="5">
        <v>1</v>
      </c>
      <c r="I505" s="5">
        <v>1</v>
      </c>
      <c r="J505" s="5">
        <v>1</v>
      </c>
      <c r="K505" s="5">
        <v>1</v>
      </c>
      <c r="L505" s="5">
        <v>1</v>
      </c>
      <c r="M505" s="5">
        <v>1</v>
      </c>
      <c r="N505" s="5">
        <v>1</v>
      </c>
      <c r="O505" s="5">
        <v>1</v>
      </c>
      <c r="P505" s="5">
        <v>1</v>
      </c>
      <c r="Q505" s="5">
        <v>1</v>
      </c>
      <c r="R505" s="5">
        <v>1</v>
      </c>
      <c r="S505" s="5">
        <v>1</v>
      </c>
      <c r="T505" s="5">
        <v>1</v>
      </c>
      <c r="U505" s="5">
        <v>1</v>
      </c>
      <c r="V505" s="5">
        <v>1</v>
      </c>
      <c r="W505" s="5">
        <v>1</v>
      </c>
      <c r="X505" s="5">
        <v>1</v>
      </c>
      <c r="Y505" s="5">
        <v>1</v>
      </c>
      <c r="Z505" s="5">
        <v>1</v>
      </c>
      <c r="AA505" s="5">
        <v>1</v>
      </c>
      <c r="AB505" s="5">
        <v>1</v>
      </c>
      <c r="AC505" s="5">
        <v>1</v>
      </c>
      <c r="AD505" s="6"/>
      <c r="AE505" s="5">
        <v>1</v>
      </c>
      <c r="AF505" s="5">
        <v>1</v>
      </c>
      <c r="AG505" s="5">
        <v>1</v>
      </c>
      <c r="AH505" s="5">
        <v>1</v>
      </c>
      <c r="AI505" s="6"/>
      <c r="AJ505" s="5">
        <v>1</v>
      </c>
      <c r="AK505" s="5">
        <v>1</v>
      </c>
      <c r="AL505" s="6"/>
      <c r="AM505" s="5">
        <v>1</v>
      </c>
    </row>
    <row r="506" spans="1:39" s="7" customFormat="1" x14ac:dyDescent="0.25">
      <c r="A506" s="5">
        <v>293</v>
      </c>
      <c r="B506" s="5">
        <v>1</v>
      </c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5">
        <v>1</v>
      </c>
      <c r="AG506" s="6"/>
      <c r="AH506" s="6"/>
      <c r="AI506" s="6"/>
      <c r="AJ506" s="6"/>
      <c r="AK506" s="6"/>
      <c r="AL506" s="6"/>
      <c r="AM506" s="6"/>
    </row>
    <row r="507" spans="1:39" s="7" customFormat="1" x14ac:dyDescent="0.25">
      <c r="A507" s="5">
        <v>293</v>
      </c>
      <c r="B507" s="6"/>
      <c r="C507" s="6"/>
      <c r="D507" s="6"/>
      <c r="E507" s="6"/>
      <c r="F507" s="5">
        <v>1</v>
      </c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</row>
    <row r="508" spans="1:39" s="7" customFormat="1" x14ac:dyDescent="0.25">
      <c r="A508" s="5">
        <v>293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5">
        <v>1</v>
      </c>
      <c r="O508" s="6"/>
      <c r="P508" s="5">
        <v>1</v>
      </c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5">
        <v>1</v>
      </c>
      <c r="AH508" s="5">
        <v>1</v>
      </c>
      <c r="AI508" s="6"/>
      <c r="AJ508" s="6"/>
      <c r="AK508" s="6"/>
      <c r="AL508" s="6"/>
      <c r="AM508" s="6"/>
    </row>
    <row r="509" spans="1:39" s="7" customFormat="1" x14ac:dyDescent="0.25">
      <c r="A509" s="5">
        <v>293</v>
      </c>
      <c r="B509" s="6"/>
      <c r="C509" s="6"/>
      <c r="D509" s="6"/>
      <c r="E509" s="6"/>
      <c r="F509" s="6"/>
      <c r="G509" s="6"/>
      <c r="H509" s="5">
        <v>1</v>
      </c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5">
        <v>1</v>
      </c>
      <c r="AB509" s="6"/>
      <c r="AC509" s="6"/>
      <c r="AD509" s="6"/>
      <c r="AE509" s="5">
        <v>1</v>
      </c>
      <c r="AF509" s="6"/>
      <c r="AG509" s="6"/>
      <c r="AH509" s="6"/>
      <c r="AI509" s="6"/>
      <c r="AJ509" s="6"/>
      <c r="AK509" s="6"/>
      <c r="AL509" s="6"/>
      <c r="AM509" s="6"/>
    </row>
    <row r="510" spans="1:39" s="7" customFormat="1" x14ac:dyDescent="0.25">
      <c r="A510" s="5">
        <v>293</v>
      </c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5">
        <v>1</v>
      </c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5">
        <v>1</v>
      </c>
      <c r="AK510" s="6"/>
      <c r="AL510" s="6"/>
      <c r="AM510" s="6"/>
    </row>
    <row r="511" spans="1:39" s="7" customFormat="1" x14ac:dyDescent="0.25">
      <c r="A511" s="5">
        <v>293</v>
      </c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5">
        <v>1</v>
      </c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5">
        <v>1</v>
      </c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</row>
    <row r="512" spans="1:39" s="7" customFormat="1" x14ac:dyDescent="0.25">
      <c r="A512" s="5">
        <v>293</v>
      </c>
      <c r="B512" s="6"/>
      <c r="C512" s="6"/>
      <c r="D512" s="6"/>
      <c r="E512" s="5">
        <v>1</v>
      </c>
      <c r="F512" s="6"/>
      <c r="G512" s="6"/>
      <c r="H512" s="6"/>
      <c r="I512" s="5">
        <v>1</v>
      </c>
      <c r="J512" s="6"/>
      <c r="K512" s="5">
        <v>1</v>
      </c>
      <c r="L512" s="6"/>
      <c r="M512" s="6"/>
      <c r="N512" s="6"/>
      <c r="O512" s="6"/>
      <c r="P512" s="6"/>
      <c r="Q512" s="6"/>
      <c r="R512" s="6"/>
      <c r="S512" s="6"/>
      <c r="T512" s="6"/>
      <c r="U512" s="5">
        <v>1</v>
      </c>
      <c r="V512" s="6"/>
      <c r="W512" s="6"/>
      <c r="X512" s="6"/>
      <c r="Y512" s="6"/>
      <c r="Z512" s="6"/>
      <c r="AA512" s="6"/>
      <c r="AB512" s="6"/>
      <c r="AC512" s="5">
        <v>1</v>
      </c>
      <c r="AD512" s="6"/>
      <c r="AE512" s="6"/>
      <c r="AF512" s="6"/>
      <c r="AG512" s="6"/>
      <c r="AH512" s="6"/>
      <c r="AI512" s="6"/>
      <c r="AJ512" s="6"/>
      <c r="AK512" s="6"/>
      <c r="AL512" s="6"/>
      <c r="AM512" s="6"/>
    </row>
    <row r="513" spans="1:39" s="7" customFormat="1" x14ac:dyDescent="0.25">
      <c r="A513" s="5">
        <v>293</v>
      </c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5">
        <v>1</v>
      </c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5">
        <v>1</v>
      </c>
      <c r="X513" s="5">
        <v>1</v>
      </c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5">
        <v>1</v>
      </c>
      <c r="AL513" s="6"/>
      <c r="AM513" s="6"/>
    </row>
    <row r="514" spans="1:39" s="7" customFormat="1" x14ac:dyDescent="0.25">
      <c r="A514" s="5">
        <v>293</v>
      </c>
      <c r="B514" s="6"/>
      <c r="C514" s="6"/>
      <c r="D514" s="6"/>
      <c r="E514" s="6"/>
      <c r="F514" s="6"/>
      <c r="G514" s="6"/>
      <c r="H514" s="6"/>
      <c r="I514" s="6"/>
      <c r="J514" s="5">
        <v>1</v>
      </c>
      <c r="K514" s="6"/>
      <c r="L514" s="6"/>
      <c r="M514" s="6"/>
      <c r="N514" s="6"/>
      <c r="O514" s="5">
        <v>1</v>
      </c>
      <c r="P514" s="6"/>
      <c r="Q514" s="5">
        <v>1</v>
      </c>
      <c r="R514" s="6"/>
      <c r="S514" s="6"/>
      <c r="T514" s="5">
        <v>1</v>
      </c>
      <c r="U514" s="6"/>
      <c r="V514" s="5">
        <v>1</v>
      </c>
      <c r="W514" s="6"/>
      <c r="X514" s="6"/>
      <c r="Y514" s="6"/>
      <c r="Z514" s="5">
        <v>1</v>
      </c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</row>
    <row r="515" spans="1:39" s="7" customFormat="1" x14ac:dyDescent="0.25">
      <c r="A515" s="5">
        <v>293</v>
      </c>
      <c r="B515" s="6"/>
      <c r="C515" s="5">
        <v>1</v>
      </c>
      <c r="D515" s="6"/>
      <c r="E515" s="6"/>
      <c r="F515" s="6"/>
      <c r="G515" s="5">
        <v>1</v>
      </c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5">
        <v>1</v>
      </c>
      <c r="S515" s="6"/>
      <c r="T515" s="6"/>
      <c r="U515" s="6"/>
      <c r="V515" s="6"/>
      <c r="W515" s="6"/>
      <c r="X515" s="6"/>
      <c r="Y515" s="6"/>
      <c r="Z515" s="6"/>
      <c r="AA515" s="6"/>
      <c r="AB515" s="5">
        <v>1</v>
      </c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5">
        <v>1</v>
      </c>
    </row>
    <row r="516" spans="1:39" s="7" customFormat="1" x14ac:dyDescent="0.25">
      <c r="A516" s="5">
        <v>294</v>
      </c>
      <c r="B516" s="5">
        <v>1</v>
      </c>
      <c r="C516" s="6"/>
      <c r="D516" s="6"/>
      <c r="E516" s="6"/>
      <c r="F516" s="5">
        <v>1</v>
      </c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5">
        <v>1</v>
      </c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</row>
    <row r="517" spans="1:39" s="7" customFormat="1" x14ac:dyDescent="0.25">
      <c r="A517" s="5">
        <v>294</v>
      </c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5">
        <v>1</v>
      </c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</row>
    <row r="518" spans="1:39" s="7" customFormat="1" x14ac:dyDescent="0.25">
      <c r="A518" s="5">
        <v>294</v>
      </c>
      <c r="B518" s="6"/>
      <c r="C518" s="6"/>
      <c r="D518" s="6"/>
      <c r="E518" s="5">
        <v>1</v>
      </c>
      <c r="F518" s="6"/>
      <c r="G518" s="6"/>
      <c r="H518" s="6"/>
      <c r="I518" s="6"/>
      <c r="J518" s="6"/>
      <c r="K518" s="5">
        <v>1</v>
      </c>
      <c r="L518" s="6"/>
      <c r="M518" s="6"/>
      <c r="N518" s="5">
        <v>1</v>
      </c>
      <c r="O518" s="6"/>
      <c r="P518" s="6"/>
      <c r="Q518" s="6"/>
      <c r="R518" s="6"/>
      <c r="S518" s="6"/>
      <c r="T518" s="6"/>
      <c r="U518" s="5">
        <v>1</v>
      </c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5">
        <v>1</v>
      </c>
      <c r="AH518" s="6"/>
      <c r="AI518" s="6"/>
      <c r="AJ518" s="6"/>
      <c r="AK518" s="6"/>
      <c r="AL518" s="6"/>
      <c r="AM518" s="6"/>
    </row>
    <row r="519" spans="1:39" s="7" customFormat="1" x14ac:dyDescent="0.25">
      <c r="A519" s="5">
        <v>294</v>
      </c>
      <c r="B519" s="6"/>
      <c r="C519" s="6"/>
      <c r="D519" s="6"/>
      <c r="E519" s="6"/>
      <c r="F519" s="6"/>
      <c r="G519" s="6"/>
      <c r="H519" s="5">
        <v>1</v>
      </c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5">
        <v>1</v>
      </c>
      <c r="X519" s="6"/>
      <c r="Y519" s="6"/>
      <c r="Z519" s="6"/>
      <c r="AA519" s="6"/>
      <c r="AB519" s="6"/>
      <c r="AC519" s="6"/>
      <c r="AD519" s="6"/>
      <c r="AE519" s="5">
        <v>1</v>
      </c>
      <c r="AF519" s="6"/>
      <c r="AG519" s="6"/>
      <c r="AH519" s="6"/>
      <c r="AI519" s="6"/>
      <c r="AJ519" s="6"/>
      <c r="AK519" s="5">
        <v>1</v>
      </c>
      <c r="AL519" s="6"/>
      <c r="AM519" s="6"/>
    </row>
    <row r="520" spans="1:39" s="7" customFormat="1" x14ac:dyDescent="0.25">
      <c r="A520" s="5">
        <v>294</v>
      </c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5">
        <v>1</v>
      </c>
      <c r="R520" s="6"/>
      <c r="S520" s="6"/>
      <c r="T520" s="5">
        <v>1</v>
      </c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</row>
    <row r="521" spans="1:39" s="7" customFormat="1" x14ac:dyDescent="0.25">
      <c r="A521" s="5">
        <v>294</v>
      </c>
      <c r="B521" s="6"/>
      <c r="C521" s="5">
        <v>1</v>
      </c>
      <c r="D521" s="6"/>
      <c r="E521" s="6"/>
      <c r="F521" s="6"/>
      <c r="G521" s="5">
        <v>1</v>
      </c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5">
        <v>1</v>
      </c>
      <c r="S521" s="5">
        <v>1</v>
      </c>
      <c r="T521" s="6"/>
      <c r="U521" s="6"/>
      <c r="V521" s="6"/>
      <c r="W521" s="6"/>
      <c r="X521" s="6"/>
      <c r="Y521" s="6"/>
      <c r="Z521" s="6"/>
      <c r="AA521" s="6"/>
      <c r="AB521" s="5">
        <v>1</v>
      </c>
      <c r="AC521" s="6"/>
      <c r="AD521" s="6"/>
      <c r="AE521" s="6"/>
      <c r="AF521" s="6"/>
      <c r="AG521" s="6"/>
      <c r="AH521" s="6"/>
      <c r="AI521" s="6"/>
      <c r="AJ521" s="5">
        <v>1</v>
      </c>
      <c r="AK521" s="6"/>
      <c r="AL521" s="6"/>
      <c r="AM521" s="5">
        <v>1</v>
      </c>
    </row>
    <row r="522" spans="1:39" s="7" customFormat="1" x14ac:dyDescent="0.25">
      <c r="A522" s="5">
        <v>294</v>
      </c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5">
        <v>1</v>
      </c>
      <c r="AG522" s="6"/>
      <c r="AH522" s="6"/>
      <c r="AI522" s="6"/>
      <c r="AJ522" s="6"/>
      <c r="AK522" s="6"/>
      <c r="AL522" s="6"/>
      <c r="AM522" s="6"/>
    </row>
    <row r="523" spans="1:39" s="7" customFormat="1" x14ac:dyDescent="0.25">
      <c r="A523" s="5">
        <v>294</v>
      </c>
      <c r="B523" s="6"/>
      <c r="C523" s="6"/>
      <c r="D523" s="6"/>
      <c r="E523" s="6"/>
      <c r="F523" s="6"/>
      <c r="G523" s="6"/>
      <c r="H523" s="6"/>
      <c r="I523" s="5">
        <v>1</v>
      </c>
      <c r="J523" s="6"/>
      <c r="K523" s="6"/>
      <c r="L523" s="6"/>
      <c r="M523" s="6"/>
      <c r="N523" s="6"/>
      <c r="O523" s="6"/>
      <c r="P523" s="5">
        <v>1</v>
      </c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5">
        <v>1</v>
      </c>
      <c r="AD523" s="6"/>
      <c r="AE523" s="6"/>
      <c r="AF523" s="6"/>
      <c r="AG523" s="6"/>
      <c r="AH523" s="5">
        <v>1</v>
      </c>
      <c r="AI523" s="6"/>
      <c r="AJ523" s="6"/>
      <c r="AK523" s="6"/>
      <c r="AL523" s="6"/>
      <c r="AM523" s="6"/>
    </row>
    <row r="524" spans="1:39" s="7" customFormat="1" x14ac:dyDescent="0.25">
      <c r="A524" s="5">
        <v>294</v>
      </c>
      <c r="B524" s="6"/>
      <c r="C524" s="6"/>
      <c r="D524" s="6"/>
      <c r="E524" s="6"/>
      <c r="F524" s="6"/>
      <c r="G524" s="6"/>
      <c r="H524" s="6"/>
      <c r="I524" s="6"/>
      <c r="J524" s="5">
        <v>1</v>
      </c>
      <c r="K524" s="6"/>
      <c r="L524" s="6"/>
      <c r="M524" s="6"/>
      <c r="N524" s="6"/>
      <c r="O524" s="5">
        <v>1</v>
      </c>
      <c r="P524" s="6"/>
      <c r="Q524" s="6"/>
      <c r="R524" s="6"/>
      <c r="S524" s="6"/>
      <c r="T524" s="6"/>
      <c r="U524" s="6"/>
      <c r="V524" s="5">
        <v>1</v>
      </c>
      <c r="W524" s="6"/>
      <c r="X524" s="6"/>
      <c r="Y524" s="6"/>
      <c r="Z524" s="5">
        <v>1</v>
      </c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</row>
    <row r="525" spans="1:39" s="7" customFormat="1" x14ac:dyDescent="0.25">
      <c r="A525" s="5">
        <v>294</v>
      </c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5">
        <v>1</v>
      </c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</row>
    <row r="526" spans="1:39" s="7" customFormat="1" x14ac:dyDescent="0.25">
      <c r="A526" s="5">
        <v>294</v>
      </c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5">
        <v>1</v>
      </c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5">
        <v>1</v>
      </c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</row>
    <row r="527" spans="1:39" s="7" customFormat="1" x14ac:dyDescent="0.25">
      <c r="A527" s="5">
        <v>295</v>
      </c>
      <c r="B527" s="5">
        <v>1</v>
      </c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5">
        <v>1</v>
      </c>
      <c r="AG527" s="6"/>
      <c r="AH527" s="6"/>
      <c r="AI527" s="6"/>
      <c r="AJ527" s="6"/>
      <c r="AK527" s="6"/>
      <c r="AL527" s="6"/>
      <c r="AM527" s="6"/>
    </row>
    <row r="528" spans="1:39" s="7" customFormat="1" x14ac:dyDescent="0.25">
      <c r="A528" s="5">
        <v>295</v>
      </c>
      <c r="B528" s="6"/>
      <c r="C528" s="6"/>
      <c r="D528" s="6"/>
      <c r="E528" s="6"/>
      <c r="F528" s="5">
        <v>1</v>
      </c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</row>
    <row r="529" spans="1:39" s="7" customFormat="1" x14ac:dyDescent="0.25">
      <c r="A529" s="5">
        <v>295</v>
      </c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5">
        <v>1</v>
      </c>
      <c r="O529" s="6"/>
      <c r="P529" s="5">
        <v>1</v>
      </c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5">
        <v>1</v>
      </c>
      <c r="AH529" s="5">
        <v>1</v>
      </c>
      <c r="AI529" s="6"/>
      <c r="AJ529" s="6"/>
      <c r="AK529" s="6"/>
      <c r="AL529" s="6"/>
      <c r="AM529" s="6"/>
    </row>
    <row r="530" spans="1:39" s="7" customFormat="1" x14ac:dyDescent="0.25">
      <c r="A530" s="5">
        <v>295</v>
      </c>
      <c r="B530" s="6"/>
      <c r="C530" s="6"/>
      <c r="D530" s="6"/>
      <c r="E530" s="6"/>
      <c r="F530" s="6"/>
      <c r="G530" s="6"/>
      <c r="H530" s="5">
        <v>1</v>
      </c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5">
        <v>1</v>
      </c>
      <c r="AB530" s="6"/>
      <c r="AC530" s="6"/>
      <c r="AD530" s="6"/>
      <c r="AE530" s="5">
        <v>1</v>
      </c>
      <c r="AF530" s="6"/>
      <c r="AG530" s="6"/>
      <c r="AH530" s="6"/>
      <c r="AI530" s="6"/>
      <c r="AJ530" s="6"/>
      <c r="AK530" s="6"/>
      <c r="AL530" s="6"/>
      <c r="AM530" s="6"/>
    </row>
    <row r="531" spans="1:39" s="7" customFormat="1" x14ac:dyDescent="0.25">
      <c r="A531" s="5">
        <v>295</v>
      </c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5">
        <v>1</v>
      </c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5">
        <v>1</v>
      </c>
      <c r="AK531" s="6"/>
      <c r="AL531" s="6"/>
      <c r="AM531" s="6"/>
    </row>
    <row r="532" spans="1:39" s="7" customFormat="1" x14ac:dyDescent="0.25">
      <c r="A532" s="5">
        <v>295</v>
      </c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5">
        <v>1</v>
      </c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5">
        <v>1</v>
      </c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</row>
    <row r="533" spans="1:39" s="7" customFormat="1" x14ac:dyDescent="0.25">
      <c r="A533" s="5">
        <v>295</v>
      </c>
      <c r="B533" s="6"/>
      <c r="C533" s="6"/>
      <c r="D533" s="6"/>
      <c r="E533" s="5">
        <v>1</v>
      </c>
      <c r="F533" s="6"/>
      <c r="G533" s="6"/>
      <c r="H533" s="6"/>
      <c r="I533" s="5">
        <v>1</v>
      </c>
      <c r="J533" s="6"/>
      <c r="K533" s="5">
        <v>1</v>
      </c>
      <c r="L533" s="6"/>
      <c r="M533" s="6"/>
      <c r="N533" s="6"/>
      <c r="O533" s="6"/>
      <c r="P533" s="6"/>
      <c r="Q533" s="6"/>
      <c r="R533" s="6"/>
      <c r="S533" s="6"/>
      <c r="T533" s="6"/>
      <c r="U533" s="5">
        <v>1</v>
      </c>
      <c r="V533" s="6"/>
      <c r="W533" s="6"/>
      <c r="X533" s="6"/>
      <c r="Y533" s="6"/>
      <c r="Z533" s="6"/>
      <c r="AA533" s="6"/>
      <c r="AB533" s="6"/>
      <c r="AC533" s="5">
        <v>1</v>
      </c>
      <c r="AD533" s="6"/>
      <c r="AE533" s="6"/>
      <c r="AF533" s="6"/>
      <c r="AG533" s="6"/>
      <c r="AH533" s="6"/>
      <c r="AI533" s="6"/>
      <c r="AJ533" s="6"/>
      <c r="AK533" s="6"/>
      <c r="AL533" s="6"/>
      <c r="AM533" s="6"/>
    </row>
    <row r="534" spans="1:39" s="7" customFormat="1" x14ac:dyDescent="0.25">
      <c r="A534" s="5">
        <v>295</v>
      </c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5">
        <v>1</v>
      </c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5">
        <v>1</v>
      </c>
      <c r="X534" s="5">
        <v>1</v>
      </c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5">
        <v>1</v>
      </c>
      <c r="AL534" s="6"/>
      <c r="AM534" s="6"/>
    </row>
    <row r="535" spans="1:39" s="7" customFormat="1" x14ac:dyDescent="0.25">
      <c r="A535" s="5">
        <v>295</v>
      </c>
      <c r="B535" s="6"/>
      <c r="C535" s="6"/>
      <c r="D535" s="6"/>
      <c r="E535" s="6"/>
      <c r="F535" s="6"/>
      <c r="G535" s="6"/>
      <c r="H535" s="6"/>
      <c r="I535" s="6"/>
      <c r="J535" s="5">
        <v>1</v>
      </c>
      <c r="K535" s="6"/>
      <c r="L535" s="6"/>
      <c r="M535" s="6"/>
      <c r="N535" s="6"/>
      <c r="O535" s="5">
        <v>1</v>
      </c>
      <c r="P535" s="6"/>
      <c r="Q535" s="5">
        <v>1</v>
      </c>
      <c r="R535" s="6"/>
      <c r="S535" s="6"/>
      <c r="T535" s="5">
        <v>1</v>
      </c>
      <c r="U535" s="6"/>
      <c r="V535" s="5">
        <v>1</v>
      </c>
      <c r="W535" s="6"/>
      <c r="X535" s="6"/>
      <c r="Y535" s="6"/>
      <c r="Z535" s="5">
        <v>1</v>
      </c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</row>
    <row r="536" spans="1:39" s="7" customFormat="1" x14ac:dyDescent="0.25">
      <c r="A536" s="5">
        <v>295</v>
      </c>
      <c r="B536" s="6"/>
      <c r="C536" s="5">
        <v>1</v>
      </c>
      <c r="D536" s="6"/>
      <c r="E536" s="6"/>
      <c r="F536" s="6"/>
      <c r="G536" s="5">
        <v>1</v>
      </c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5">
        <v>1</v>
      </c>
      <c r="S536" s="6"/>
      <c r="T536" s="6"/>
      <c r="U536" s="6"/>
      <c r="V536" s="6"/>
      <c r="W536" s="6"/>
      <c r="X536" s="6"/>
      <c r="Y536" s="6"/>
      <c r="Z536" s="6"/>
      <c r="AA536" s="6"/>
      <c r="AB536" s="5">
        <v>1</v>
      </c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5">
        <v>1</v>
      </c>
    </row>
    <row r="537" spans="1:39" s="7" customFormat="1" x14ac:dyDescent="0.25">
      <c r="A537" s="5">
        <v>296</v>
      </c>
      <c r="B537" s="5">
        <v>1</v>
      </c>
      <c r="C537" s="5">
        <v>1</v>
      </c>
      <c r="D537" s="6"/>
      <c r="E537" s="5">
        <v>1</v>
      </c>
      <c r="F537" s="5">
        <v>1</v>
      </c>
      <c r="G537" s="5">
        <v>1</v>
      </c>
      <c r="H537" s="5">
        <v>1</v>
      </c>
      <c r="I537" s="5">
        <v>1</v>
      </c>
      <c r="J537" s="5">
        <v>1</v>
      </c>
      <c r="K537" s="5">
        <v>1</v>
      </c>
      <c r="L537" s="5">
        <v>1</v>
      </c>
      <c r="M537" s="5">
        <v>1</v>
      </c>
      <c r="N537" s="5">
        <v>1</v>
      </c>
      <c r="O537" s="5">
        <v>1</v>
      </c>
      <c r="P537" s="5">
        <v>1</v>
      </c>
      <c r="Q537" s="5">
        <v>1</v>
      </c>
      <c r="R537" s="5">
        <v>1</v>
      </c>
      <c r="S537" s="5">
        <v>1</v>
      </c>
      <c r="T537" s="5">
        <v>1</v>
      </c>
      <c r="U537" s="5">
        <v>1</v>
      </c>
      <c r="V537" s="5">
        <v>1</v>
      </c>
      <c r="W537" s="5">
        <v>1</v>
      </c>
      <c r="X537" s="5">
        <v>1</v>
      </c>
      <c r="Y537" s="5">
        <v>1</v>
      </c>
      <c r="Z537" s="5">
        <v>1</v>
      </c>
      <c r="AA537" s="5">
        <v>1</v>
      </c>
      <c r="AB537" s="5">
        <v>1</v>
      </c>
      <c r="AC537" s="5">
        <v>1</v>
      </c>
      <c r="AD537" s="6"/>
      <c r="AE537" s="5">
        <v>1</v>
      </c>
      <c r="AF537" s="5">
        <v>1</v>
      </c>
      <c r="AG537" s="5">
        <v>1</v>
      </c>
      <c r="AH537" s="5">
        <v>1</v>
      </c>
      <c r="AI537" s="6"/>
      <c r="AJ537" s="5">
        <v>1</v>
      </c>
      <c r="AK537" s="5">
        <v>1</v>
      </c>
      <c r="AL537" s="6"/>
      <c r="AM537" s="5">
        <v>1</v>
      </c>
    </row>
    <row r="538" spans="1:39" s="7" customFormat="1" x14ac:dyDescent="0.25">
      <c r="A538" s="5">
        <v>297</v>
      </c>
      <c r="B538" s="5">
        <v>1</v>
      </c>
      <c r="C538" s="5"/>
      <c r="D538" s="6"/>
      <c r="E538" s="5"/>
      <c r="F538" s="5">
        <v>1</v>
      </c>
      <c r="G538" s="5"/>
      <c r="H538" s="5">
        <v>1</v>
      </c>
      <c r="I538" s="5"/>
      <c r="J538" s="5"/>
      <c r="K538" s="5"/>
      <c r="L538" s="5"/>
      <c r="M538" s="5"/>
      <c r="N538" s="5">
        <v>1</v>
      </c>
      <c r="O538" s="5"/>
      <c r="P538" s="5">
        <v>1</v>
      </c>
      <c r="Q538" s="5"/>
      <c r="R538" s="5"/>
      <c r="S538" s="5">
        <v>1</v>
      </c>
      <c r="T538" s="5"/>
      <c r="U538" s="5"/>
      <c r="V538" s="5"/>
      <c r="W538" s="5"/>
      <c r="X538" s="5"/>
      <c r="Y538" s="5"/>
      <c r="Z538" s="5"/>
      <c r="AA538" s="5">
        <v>1</v>
      </c>
      <c r="AB538" s="5"/>
      <c r="AC538" s="5"/>
      <c r="AD538" s="6"/>
      <c r="AE538" s="5">
        <v>1</v>
      </c>
      <c r="AF538" s="5">
        <v>1</v>
      </c>
      <c r="AG538" s="5">
        <v>1</v>
      </c>
      <c r="AH538" s="5">
        <v>1</v>
      </c>
      <c r="AI538" s="6"/>
      <c r="AJ538" s="5">
        <v>1</v>
      </c>
      <c r="AK538" s="5"/>
      <c r="AL538" s="6"/>
      <c r="AM538" s="5"/>
    </row>
    <row r="539" spans="1:39" s="7" customFormat="1" x14ac:dyDescent="0.25">
      <c r="A539" s="5">
        <v>298</v>
      </c>
      <c r="B539" s="5">
        <v>1</v>
      </c>
      <c r="C539" s="6"/>
      <c r="D539" s="5">
        <v>1</v>
      </c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5">
        <v>1</v>
      </c>
      <c r="AG539" s="6"/>
      <c r="AH539" s="6"/>
      <c r="AI539" s="6"/>
      <c r="AJ539" s="6"/>
      <c r="AK539" s="6"/>
      <c r="AL539" s="5">
        <v>1</v>
      </c>
      <c r="AM539" s="6"/>
    </row>
    <row r="540" spans="1:39" s="7" customFormat="1" x14ac:dyDescent="0.25">
      <c r="A540" s="5">
        <v>298</v>
      </c>
      <c r="B540" s="6"/>
      <c r="C540" s="6"/>
      <c r="D540" s="6"/>
      <c r="E540" s="6"/>
      <c r="F540" s="5">
        <v>1</v>
      </c>
      <c r="G540" s="6"/>
      <c r="H540" s="6"/>
      <c r="I540" s="6"/>
      <c r="J540" s="6"/>
      <c r="K540" s="6"/>
      <c r="L540" s="6"/>
      <c r="M540" s="5">
        <v>1</v>
      </c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5">
        <v>1</v>
      </c>
      <c r="Z540" s="6"/>
      <c r="AA540" s="6"/>
      <c r="AB540" s="6"/>
      <c r="AC540" s="6"/>
      <c r="AD540" s="5">
        <v>1</v>
      </c>
      <c r="AE540" s="6"/>
      <c r="AF540" s="6"/>
      <c r="AG540" s="6"/>
      <c r="AH540" s="6"/>
      <c r="AI540" s="6"/>
      <c r="AJ540" s="6"/>
      <c r="AK540" s="6"/>
      <c r="AL540" s="6"/>
      <c r="AM540" s="6"/>
    </row>
    <row r="541" spans="1:39" s="7" customFormat="1" x14ac:dyDescent="0.25">
      <c r="A541" s="5">
        <v>298</v>
      </c>
      <c r="B541" s="6"/>
      <c r="C541" s="6"/>
      <c r="D541" s="6"/>
      <c r="E541" s="5">
        <v>1</v>
      </c>
      <c r="F541" s="6"/>
      <c r="G541" s="6"/>
      <c r="H541" s="6"/>
      <c r="I541" s="5">
        <v>1</v>
      </c>
      <c r="J541" s="6"/>
      <c r="K541" s="5">
        <v>1</v>
      </c>
      <c r="L541" s="6"/>
      <c r="M541" s="6"/>
      <c r="N541" s="5">
        <v>1</v>
      </c>
      <c r="O541" s="6"/>
      <c r="P541" s="5">
        <v>1</v>
      </c>
      <c r="Q541" s="6"/>
      <c r="R541" s="6"/>
      <c r="S541" s="6"/>
      <c r="T541" s="6"/>
      <c r="U541" s="5">
        <v>1</v>
      </c>
      <c r="V541" s="6"/>
      <c r="W541" s="6"/>
      <c r="X541" s="6"/>
      <c r="Y541" s="6"/>
      <c r="Z541" s="6"/>
      <c r="AA541" s="6"/>
      <c r="AB541" s="6"/>
      <c r="AC541" s="5">
        <v>1</v>
      </c>
      <c r="AD541" s="6"/>
      <c r="AE541" s="6"/>
      <c r="AF541" s="6"/>
      <c r="AG541" s="5">
        <v>1</v>
      </c>
      <c r="AH541" s="5">
        <v>1</v>
      </c>
      <c r="AI541" s="6"/>
      <c r="AJ541" s="6"/>
      <c r="AK541" s="6"/>
      <c r="AL541" s="6"/>
      <c r="AM541" s="6"/>
    </row>
    <row r="542" spans="1:39" s="7" customFormat="1" x14ac:dyDescent="0.25">
      <c r="A542" s="5">
        <v>298</v>
      </c>
      <c r="B542" s="6"/>
      <c r="C542" s="6"/>
      <c r="D542" s="6"/>
      <c r="E542" s="6"/>
      <c r="F542" s="6"/>
      <c r="G542" s="6"/>
      <c r="H542" s="5">
        <v>1</v>
      </c>
      <c r="I542" s="6"/>
      <c r="J542" s="6"/>
      <c r="K542" s="6"/>
      <c r="L542" s="5">
        <v>1</v>
      </c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5">
        <v>1</v>
      </c>
      <c r="X542" s="5">
        <v>1</v>
      </c>
      <c r="Y542" s="6"/>
      <c r="Z542" s="6"/>
      <c r="AA542" s="5">
        <v>1</v>
      </c>
      <c r="AB542" s="6"/>
      <c r="AC542" s="6"/>
      <c r="AD542" s="6"/>
      <c r="AE542" s="5">
        <v>1</v>
      </c>
      <c r="AF542" s="6"/>
      <c r="AG542" s="6"/>
      <c r="AH542" s="6"/>
      <c r="AI542" s="5">
        <v>1</v>
      </c>
      <c r="AJ542" s="6"/>
      <c r="AK542" s="5">
        <v>1</v>
      </c>
      <c r="AL542" s="6"/>
      <c r="AM542" s="6"/>
    </row>
    <row r="543" spans="1:39" s="7" customFormat="1" x14ac:dyDescent="0.25">
      <c r="A543" s="5">
        <v>298</v>
      </c>
      <c r="B543" s="6"/>
      <c r="C543" s="6"/>
      <c r="D543" s="6"/>
      <c r="E543" s="6"/>
      <c r="F543" s="6"/>
      <c r="G543" s="6"/>
      <c r="H543" s="6"/>
      <c r="I543" s="6"/>
      <c r="J543" s="5">
        <v>1</v>
      </c>
      <c r="K543" s="6"/>
      <c r="L543" s="6"/>
      <c r="M543" s="6"/>
      <c r="N543" s="6"/>
      <c r="O543" s="5">
        <v>1</v>
      </c>
      <c r="P543" s="6"/>
      <c r="Q543" s="5">
        <v>1</v>
      </c>
      <c r="R543" s="6"/>
      <c r="S543" s="6"/>
      <c r="T543" s="5">
        <v>1</v>
      </c>
      <c r="U543" s="6"/>
      <c r="V543" s="5">
        <v>1</v>
      </c>
      <c r="W543" s="6"/>
      <c r="X543" s="6"/>
      <c r="Y543" s="6"/>
      <c r="Z543" s="5">
        <v>1</v>
      </c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</row>
    <row r="544" spans="1:39" s="7" customFormat="1" x14ac:dyDescent="0.25">
      <c r="A544" s="5">
        <v>298</v>
      </c>
      <c r="B544" s="6"/>
      <c r="C544" s="5">
        <v>1</v>
      </c>
      <c r="D544" s="6"/>
      <c r="E544" s="6"/>
      <c r="F544" s="6"/>
      <c r="G544" s="5">
        <v>1</v>
      </c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5">
        <v>1</v>
      </c>
      <c r="S544" s="5">
        <v>1</v>
      </c>
      <c r="T544" s="6"/>
      <c r="U544" s="6"/>
      <c r="V544" s="6"/>
      <c r="W544" s="6"/>
      <c r="X544" s="6"/>
      <c r="Y544" s="6"/>
      <c r="Z544" s="6"/>
      <c r="AA544" s="6"/>
      <c r="AB544" s="5">
        <v>1</v>
      </c>
      <c r="AC544" s="6"/>
      <c r="AD544" s="6"/>
      <c r="AE544" s="6"/>
      <c r="AF544" s="6"/>
      <c r="AG544" s="6"/>
      <c r="AH544" s="6"/>
      <c r="AI544" s="6"/>
      <c r="AJ544" s="5">
        <v>1</v>
      </c>
      <c r="AK544" s="6"/>
      <c r="AL544" s="6"/>
      <c r="AM544" s="5">
        <v>1</v>
      </c>
    </row>
    <row r="545" spans="1:39" s="7" customFormat="1" x14ac:dyDescent="0.25">
      <c r="A545" s="5">
        <v>299</v>
      </c>
      <c r="B545" s="5">
        <v>1</v>
      </c>
      <c r="C545" s="6"/>
      <c r="D545" s="5">
        <v>1</v>
      </c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5">
        <v>1</v>
      </c>
      <c r="AG545" s="6"/>
      <c r="AH545" s="6"/>
      <c r="AI545" s="6"/>
      <c r="AJ545" s="6"/>
      <c r="AK545" s="6"/>
      <c r="AL545" s="5">
        <v>1</v>
      </c>
      <c r="AM545" s="6"/>
    </row>
    <row r="546" spans="1:39" s="7" customFormat="1" x14ac:dyDescent="0.25">
      <c r="A546" s="5">
        <v>299</v>
      </c>
      <c r="B546" s="6"/>
      <c r="C546" s="6"/>
      <c r="D546" s="6"/>
      <c r="E546" s="6"/>
      <c r="F546" s="5">
        <v>1</v>
      </c>
      <c r="G546" s="6"/>
      <c r="H546" s="6"/>
      <c r="I546" s="6"/>
      <c r="J546" s="6"/>
      <c r="K546" s="6"/>
      <c r="L546" s="6"/>
      <c r="M546" s="5">
        <v>1</v>
      </c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5">
        <v>1</v>
      </c>
      <c r="Z546" s="6"/>
      <c r="AA546" s="6"/>
      <c r="AB546" s="6"/>
      <c r="AC546" s="6"/>
      <c r="AD546" s="5">
        <v>1</v>
      </c>
      <c r="AE546" s="6"/>
      <c r="AF546" s="6"/>
      <c r="AG546" s="6"/>
      <c r="AH546" s="6"/>
      <c r="AI546" s="6"/>
      <c r="AJ546" s="6"/>
      <c r="AK546" s="6"/>
      <c r="AL546" s="6"/>
      <c r="AM546" s="6"/>
    </row>
    <row r="547" spans="1:39" s="7" customFormat="1" x14ac:dyDescent="0.25">
      <c r="A547" s="5">
        <v>299</v>
      </c>
      <c r="B547" s="6"/>
      <c r="C547" s="6"/>
      <c r="D547" s="6"/>
      <c r="E547" s="5">
        <v>1</v>
      </c>
      <c r="F547" s="6"/>
      <c r="G547" s="6"/>
      <c r="H547" s="6"/>
      <c r="I547" s="5">
        <v>1</v>
      </c>
      <c r="J547" s="6"/>
      <c r="K547" s="5">
        <v>1</v>
      </c>
      <c r="L547" s="6"/>
      <c r="M547" s="6"/>
      <c r="N547" s="5">
        <v>1</v>
      </c>
      <c r="O547" s="6"/>
      <c r="P547" s="5">
        <v>1</v>
      </c>
      <c r="Q547" s="6"/>
      <c r="R547" s="6"/>
      <c r="S547" s="6"/>
      <c r="T547" s="6"/>
      <c r="U547" s="5">
        <v>1</v>
      </c>
      <c r="V547" s="6"/>
      <c r="W547" s="6"/>
      <c r="X547" s="6"/>
      <c r="Y547" s="6"/>
      <c r="Z547" s="6"/>
      <c r="AA547" s="6"/>
      <c r="AB547" s="6"/>
      <c r="AC547" s="5">
        <v>1</v>
      </c>
      <c r="AD547" s="6"/>
      <c r="AE547" s="6"/>
      <c r="AF547" s="6"/>
      <c r="AG547" s="5">
        <v>1</v>
      </c>
      <c r="AH547" s="5">
        <v>1</v>
      </c>
      <c r="AI547" s="6"/>
      <c r="AJ547" s="6"/>
      <c r="AK547" s="6"/>
      <c r="AL547" s="6"/>
      <c r="AM547" s="6"/>
    </row>
    <row r="548" spans="1:39" s="7" customFormat="1" x14ac:dyDescent="0.25">
      <c r="A548" s="5">
        <v>299</v>
      </c>
      <c r="B548" s="6"/>
      <c r="C548" s="6"/>
      <c r="D548" s="6"/>
      <c r="E548" s="6"/>
      <c r="F548" s="6"/>
      <c r="G548" s="6"/>
      <c r="H548" s="5">
        <v>1</v>
      </c>
      <c r="I548" s="6"/>
      <c r="J548" s="6"/>
      <c r="K548" s="6"/>
      <c r="L548" s="5">
        <v>1</v>
      </c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5">
        <v>1</v>
      </c>
      <c r="X548" s="5">
        <v>1</v>
      </c>
      <c r="Y548" s="6"/>
      <c r="Z548" s="6"/>
      <c r="AA548" s="5">
        <v>1</v>
      </c>
      <c r="AB548" s="6"/>
      <c r="AC548" s="6"/>
      <c r="AD548" s="6"/>
      <c r="AE548" s="5">
        <v>1</v>
      </c>
      <c r="AF548" s="6"/>
      <c r="AG548" s="6"/>
      <c r="AH548" s="6"/>
      <c r="AI548" s="5">
        <v>1</v>
      </c>
      <c r="AJ548" s="6"/>
      <c r="AK548" s="5">
        <v>1</v>
      </c>
      <c r="AL548" s="6"/>
      <c r="AM548" s="6"/>
    </row>
    <row r="549" spans="1:39" s="7" customFormat="1" x14ac:dyDescent="0.25">
      <c r="A549" s="5">
        <v>299</v>
      </c>
      <c r="B549" s="6"/>
      <c r="C549" s="6"/>
      <c r="D549" s="6"/>
      <c r="E549" s="6"/>
      <c r="F549" s="6"/>
      <c r="G549" s="6"/>
      <c r="H549" s="6"/>
      <c r="I549" s="6"/>
      <c r="J549" s="5">
        <v>1</v>
      </c>
      <c r="K549" s="6"/>
      <c r="L549" s="6"/>
      <c r="M549" s="6"/>
      <c r="N549" s="6"/>
      <c r="O549" s="5">
        <v>1</v>
      </c>
      <c r="P549" s="6"/>
      <c r="Q549" s="5">
        <v>1</v>
      </c>
      <c r="R549" s="6"/>
      <c r="S549" s="6"/>
      <c r="T549" s="5">
        <v>1</v>
      </c>
      <c r="U549" s="6"/>
      <c r="V549" s="5">
        <v>1</v>
      </c>
      <c r="W549" s="6"/>
      <c r="X549" s="6"/>
      <c r="Y549" s="6"/>
      <c r="Z549" s="5">
        <v>1</v>
      </c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</row>
    <row r="550" spans="1:39" s="7" customFormat="1" x14ac:dyDescent="0.25">
      <c r="A550" s="5">
        <v>299</v>
      </c>
      <c r="B550" s="6"/>
      <c r="C550" s="5">
        <v>1</v>
      </c>
      <c r="D550" s="6"/>
      <c r="E550" s="6"/>
      <c r="F550" s="6"/>
      <c r="G550" s="5">
        <v>1</v>
      </c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5">
        <v>1</v>
      </c>
      <c r="S550" s="5">
        <v>1</v>
      </c>
      <c r="T550" s="6"/>
      <c r="U550" s="6"/>
      <c r="V550" s="6"/>
      <c r="W550" s="6"/>
      <c r="X550" s="6"/>
      <c r="Y550" s="6"/>
      <c r="Z550" s="6"/>
      <c r="AA550" s="6"/>
      <c r="AB550" s="5">
        <v>1</v>
      </c>
      <c r="AC550" s="6"/>
      <c r="AD550" s="6"/>
      <c r="AE550" s="6"/>
      <c r="AF550" s="6"/>
      <c r="AG550" s="6"/>
      <c r="AH550" s="6"/>
      <c r="AI550" s="6"/>
      <c r="AJ550" s="5">
        <v>1</v>
      </c>
      <c r="AK550" s="6"/>
      <c r="AL550" s="6"/>
      <c r="AM550" s="5">
        <v>1</v>
      </c>
    </row>
    <row r="551" spans="1:39" s="7" customFormat="1" x14ac:dyDescent="0.25">
      <c r="A551" s="5">
        <v>300</v>
      </c>
      <c r="B551" s="5">
        <v>1</v>
      </c>
      <c r="C551" s="5">
        <v>1</v>
      </c>
      <c r="D551" s="5">
        <v>1</v>
      </c>
      <c r="E551" s="5">
        <v>1</v>
      </c>
      <c r="F551" s="5">
        <v>1</v>
      </c>
      <c r="G551" s="5">
        <v>1</v>
      </c>
      <c r="H551" s="5">
        <v>1</v>
      </c>
      <c r="I551" s="5">
        <v>1</v>
      </c>
      <c r="J551" s="5">
        <v>1</v>
      </c>
      <c r="K551" s="5">
        <v>1</v>
      </c>
      <c r="L551" s="5">
        <v>1</v>
      </c>
      <c r="M551" s="5">
        <v>1</v>
      </c>
      <c r="N551" s="5">
        <v>1</v>
      </c>
      <c r="O551" s="5">
        <v>1</v>
      </c>
      <c r="P551" s="5">
        <v>1</v>
      </c>
      <c r="Q551" s="5">
        <v>1</v>
      </c>
      <c r="R551" s="5">
        <v>1</v>
      </c>
      <c r="S551" s="5">
        <v>1</v>
      </c>
      <c r="T551" s="5">
        <v>1</v>
      </c>
      <c r="U551" s="5">
        <v>1</v>
      </c>
      <c r="V551" s="5">
        <v>1</v>
      </c>
      <c r="W551" s="5">
        <v>1</v>
      </c>
      <c r="X551" s="5">
        <v>1</v>
      </c>
      <c r="Y551" s="5">
        <v>1</v>
      </c>
      <c r="Z551" s="5">
        <v>1</v>
      </c>
      <c r="AA551" s="5">
        <v>1</v>
      </c>
      <c r="AB551" s="5">
        <v>1</v>
      </c>
      <c r="AC551" s="5">
        <v>1</v>
      </c>
      <c r="AD551" s="5">
        <v>1</v>
      </c>
      <c r="AE551" s="5">
        <v>1</v>
      </c>
      <c r="AF551" s="5">
        <v>1</v>
      </c>
      <c r="AG551" s="5">
        <v>1</v>
      </c>
      <c r="AH551" s="5">
        <v>1</v>
      </c>
      <c r="AI551" s="5">
        <v>1</v>
      </c>
      <c r="AJ551" s="5">
        <v>1</v>
      </c>
      <c r="AK551" s="5">
        <v>1</v>
      </c>
      <c r="AL551" s="5">
        <v>1</v>
      </c>
      <c r="AM551" s="5">
        <v>1</v>
      </c>
    </row>
    <row r="552" spans="1:39" s="7" customFormat="1" x14ac:dyDescent="0.25">
      <c r="A552" s="5">
        <v>301</v>
      </c>
      <c r="B552" s="5">
        <v>1</v>
      </c>
      <c r="C552" s="6"/>
      <c r="D552" s="5">
        <v>1</v>
      </c>
      <c r="E552" s="6"/>
      <c r="F552" s="5">
        <v>1</v>
      </c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5">
        <v>1</v>
      </c>
      <c r="AB552" s="6"/>
      <c r="AC552" s="6"/>
      <c r="AD552" s="5">
        <v>1</v>
      </c>
      <c r="AE552" s="6"/>
      <c r="AF552" s="6"/>
      <c r="AG552" s="6"/>
      <c r="AH552" s="6"/>
      <c r="AI552" s="5">
        <v>1</v>
      </c>
      <c r="AJ552" s="6"/>
      <c r="AK552" s="6"/>
      <c r="AL552" s="5">
        <v>1</v>
      </c>
      <c r="AM552" s="6"/>
    </row>
    <row r="553" spans="1:39" s="7" customFormat="1" x14ac:dyDescent="0.25">
      <c r="A553" s="5">
        <v>301</v>
      </c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5">
        <v>1</v>
      </c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</row>
    <row r="554" spans="1:39" s="7" customFormat="1" x14ac:dyDescent="0.25">
      <c r="A554" s="5">
        <v>301</v>
      </c>
      <c r="B554" s="6"/>
      <c r="C554" s="6"/>
      <c r="D554" s="6"/>
      <c r="E554" s="5">
        <v>1</v>
      </c>
      <c r="F554" s="6"/>
      <c r="G554" s="6"/>
      <c r="H554" s="6"/>
      <c r="I554" s="6"/>
      <c r="J554" s="6"/>
      <c r="K554" s="5">
        <v>1</v>
      </c>
      <c r="L554" s="6"/>
      <c r="M554" s="6"/>
      <c r="N554" s="5">
        <v>1</v>
      </c>
      <c r="O554" s="6"/>
      <c r="P554" s="6"/>
      <c r="Q554" s="6"/>
      <c r="R554" s="6"/>
      <c r="S554" s="6"/>
      <c r="T554" s="6"/>
      <c r="U554" s="5">
        <v>1</v>
      </c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5">
        <v>1</v>
      </c>
      <c r="AH554" s="6"/>
      <c r="AI554" s="6"/>
      <c r="AJ554" s="6"/>
      <c r="AK554" s="6"/>
      <c r="AL554" s="6"/>
      <c r="AM554" s="6"/>
    </row>
    <row r="555" spans="1:39" s="7" customFormat="1" x14ac:dyDescent="0.25">
      <c r="A555" s="5">
        <v>301</v>
      </c>
      <c r="B555" s="6"/>
      <c r="C555" s="6"/>
      <c r="D555" s="6"/>
      <c r="E555" s="6"/>
      <c r="F555" s="6"/>
      <c r="G555" s="6"/>
      <c r="H555" s="5">
        <v>1</v>
      </c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5">
        <v>1</v>
      </c>
      <c r="X555" s="6"/>
      <c r="Y555" s="6"/>
      <c r="Z555" s="6"/>
      <c r="AA555" s="6"/>
      <c r="AB555" s="6"/>
      <c r="AC555" s="6"/>
      <c r="AD555" s="6"/>
      <c r="AE555" s="5">
        <v>1</v>
      </c>
      <c r="AF555" s="6"/>
      <c r="AG555" s="6"/>
      <c r="AH555" s="6"/>
      <c r="AI555" s="6"/>
      <c r="AJ555" s="6"/>
      <c r="AK555" s="5">
        <v>1</v>
      </c>
      <c r="AL555" s="6"/>
      <c r="AM555" s="6"/>
    </row>
    <row r="556" spans="1:39" s="7" customFormat="1" x14ac:dyDescent="0.25">
      <c r="A556" s="5">
        <v>301</v>
      </c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5">
        <v>1</v>
      </c>
      <c r="R556" s="6"/>
      <c r="S556" s="6"/>
      <c r="T556" s="5">
        <v>1</v>
      </c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</row>
    <row r="557" spans="1:39" s="7" customFormat="1" x14ac:dyDescent="0.25">
      <c r="A557" s="5">
        <v>301</v>
      </c>
      <c r="B557" s="6"/>
      <c r="C557" s="5">
        <v>1</v>
      </c>
      <c r="D557" s="6"/>
      <c r="E557" s="6"/>
      <c r="F557" s="6"/>
      <c r="G557" s="5">
        <v>1</v>
      </c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5">
        <v>1</v>
      </c>
      <c r="S557" s="5">
        <v>1</v>
      </c>
      <c r="T557" s="6"/>
      <c r="U557" s="6"/>
      <c r="V557" s="6"/>
      <c r="W557" s="6"/>
      <c r="X557" s="6"/>
      <c r="Y557" s="6"/>
      <c r="Z557" s="6"/>
      <c r="AA557" s="6"/>
      <c r="AB557" s="5">
        <v>1</v>
      </c>
      <c r="AC557" s="6"/>
      <c r="AD557" s="6"/>
      <c r="AE557" s="6"/>
      <c r="AF557" s="6"/>
      <c r="AG557" s="6"/>
      <c r="AH557" s="6"/>
      <c r="AI557" s="6"/>
      <c r="AJ557" s="5">
        <v>1</v>
      </c>
      <c r="AK557" s="6"/>
      <c r="AL557" s="6"/>
      <c r="AM557" s="5">
        <v>1</v>
      </c>
    </row>
    <row r="558" spans="1:39" s="7" customFormat="1" x14ac:dyDescent="0.25">
      <c r="A558" s="5">
        <v>301</v>
      </c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5">
        <v>1</v>
      </c>
      <c r="AG558" s="6"/>
      <c r="AH558" s="6"/>
      <c r="AI558" s="6"/>
      <c r="AJ558" s="6"/>
      <c r="AK558" s="6"/>
      <c r="AL558" s="6"/>
      <c r="AM558" s="6"/>
    </row>
    <row r="559" spans="1:39" s="7" customFormat="1" x14ac:dyDescent="0.25">
      <c r="A559" s="5">
        <v>301</v>
      </c>
      <c r="B559" s="6"/>
      <c r="C559" s="6"/>
      <c r="D559" s="6"/>
      <c r="E559" s="6"/>
      <c r="F559" s="6"/>
      <c r="G559" s="6"/>
      <c r="H559" s="6"/>
      <c r="I559" s="5">
        <v>1</v>
      </c>
      <c r="J559" s="6"/>
      <c r="K559" s="6"/>
      <c r="L559" s="6"/>
      <c r="M559" s="6"/>
      <c r="N559" s="6"/>
      <c r="O559" s="6"/>
      <c r="P559" s="5">
        <v>1</v>
      </c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5">
        <v>1</v>
      </c>
      <c r="AD559" s="6"/>
      <c r="AE559" s="6"/>
      <c r="AF559" s="6"/>
      <c r="AG559" s="6"/>
      <c r="AH559" s="5">
        <v>1</v>
      </c>
      <c r="AI559" s="6"/>
      <c r="AJ559" s="6"/>
      <c r="AK559" s="6"/>
      <c r="AL559" s="6"/>
      <c r="AM559" s="6"/>
    </row>
    <row r="560" spans="1:39" s="7" customFormat="1" x14ac:dyDescent="0.25">
      <c r="A560" s="5">
        <v>301</v>
      </c>
      <c r="B560" s="6"/>
      <c r="C560" s="6"/>
      <c r="D560" s="6"/>
      <c r="E560" s="6"/>
      <c r="F560" s="6"/>
      <c r="G560" s="6"/>
      <c r="H560" s="6"/>
      <c r="I560" s="6"/>
      <c r="J560" s="5">
        <v>1</v>
      </c>
      <c r="K560" s="6"/>
      <c r="L560" s="6"/>
      <c r="M560" s="6"/>
      <c r="N560" s="6"/>
      <c r="O560" s="5">
        <v>1</v>
      </c>
      <c r="P560" s="6"/>
      <c r="Q560" s="6"/>
      <c r="R560" s="6"/>
      <c r="S560" s="6"/>
      <c r="T560" s="6"/>
      <c r="U560" s="6"/>
      <c r="V560" s="5">
        <v>1</v>
      </c>
      <c r="W560" s="6"/>
      <c r="X560" s="6"/>
      <c r="Y560" s="6"/>
      <c r="Z560" s="5">
        <v>1</v>
      </c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</row>
    <row r="561" spans="1:39" s="7" customFormat="1" x14ac:dyDescent="0.25">
      <c r="A561" s="5">
        <v>301</v>
      </c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5">
        <v>1</v>
      </c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</row>
    <row r="562" spans="1:39" s="7" customFormat="1" x14ac:dyDescent="0.25">
      <c r="A562" s="5">
        <v>301</v>
      </c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5">
        <v>1</v>
      </c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5">
        <v>1</v>
      </c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</row>
    <row r="563" spans="1:39" s="7" customFormat="1" x14ac:dyDescent="0.25">
      <c r="A563" s="5">
        <v>302</v>
      </c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5">
        <v>1</v>
      </c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</row>
    <row r="564" spans="1:39" s="7" customFormat="1" x14ac:dyDescent="0.25">
      <c r="A564" s="5">
        <v>302</v>
      </c>
      <c r="B564" s="6"/>
      <c r="C564" s="6"/>
      <c r="D564" s="6"/>
      <c r="E564" s="5">
        <v>1</v>
      </c>
      <c r="F564" s="6"/>
      <c r="G564" s="6"/>
      <c r="H564" s="6"/>
      <c r="I564" s="6"/>
      <c r="J564" s="6"/>
      <c r="K564" s="5">
        <v>1</v>
      </c>
      <c r="L564" s="6"/>
      <c r="M564" s="5">
        <v>1</v>
      </c>
      <c r="N564" s="6"/>
      <c r="O564" s="6"/>
      <c r="P564" s="6"/>
      <c r="Q564" s="6"/>
      <c r="R564" s="6"/>
      <c r="S564" s="6"/>
      <c r="T564" s="6"/>
      <c r="U564" s="5">
        <v>1</v>
      </c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</row>
    <row r="565" spans="1:39" s="7" customFormat="1" x14ac:dyDescent="0.25">
      <c r="A565" s="5">
        <v>302</v>
      </c>
      <c r="B565" s="6"/>
      <c r="C565" s="6"/>
      <c r="D565" s="6"/>
      <c r="E565" s="6"/>
      <c r="F565" s="6"/>
      <c r="G565" s="6"/>
      <c r="H565" s="6"/>
      <c r="I565" s="5">
        <v>1</v>
      </c>
      <c r="J565" s="6"/>
      <c r="K565" s="6"/>
      <c r="L565" s="6"/>
      <c r="M565" s="6"/>
      <c r="N565" s="5">
        <v>1</v>
      </c>
      <c r="O565" s="6"/>
      <c r="P565" s="6"/>
      <c r="Q565" s="6"/>
      <c r="R565" s="6"/>
      <c r="S565" s="6"/>
      <c r="T565" s="6"/>
      <c r="U565" s="6"/>
      <c r="V565" s="6"/>
      <c r="W565" s="5">
        <v>1</v>
      </c>
      <c r="X565" s="6"/>
      <c r="Y565" s="6"/>
      <c r="Z565" s="6"/>
      <c r="AA565" s="6"/>
      <c r="AB565" s="6"/>
      <c r="AC565" s="5">
        <v>1</v>
      </c>
      <c r="AD565" s="6"/>
      <c r="AE565" s="6"/>
      <c r="AF565" s="6"/>
      <c r="AG565" s="5">
        <v>1</v>
      </c>
      <c r="AH565" s="6"/>
      <c r="AI565" s="6"/>
      <c r="AJ565" s="6"/>
      <c r="AK565" s="5">
        <v>1</v>
      </c>
      <c r="AL565" s="6"/>
      <c r="AM565" s="6"/>
    </row>
    <row r="566" spans="1:39" s="7" customFormat="1" x14ac:dyDescent="0.25">
      <c r="A566" s="5">
        <v>302</v>
      </c>
      <c r="B566" s="6"/>
      <c r="C566" s="6"/>
      <c r="D566" s="6"/>
      <c r="E566" s="6"/>
      <c r="F566" s="6"/>
      <c r="G566" s="6"/>
      <c r="H566" s="5">
        <v>1</v>
      </c>
      <c r="I566" s="6"/>
      <c r="J566" s="6"/>
      <c r="K566" s="6"/>
      <c r="L566" s="5">
        <v>1</v>
      </c>
      <c r="M566" s="6"/>
      <c r="N566" s="6"/>
      <c r="O566" s="6"/>
      <c r="P566" s="5">
        <v>1</v>
      </c>
      <c r="Q566" s="5">
        <v>1</v>
      </c>
      <c r="R566" s="6"/>
      <c r="S566" s="6"/>
      <c r="T566" s="5">
        <v>1</v>
      </c>
      <c r="U566" s="6"/>
      <c r="V566" s="6"/>
      <c r="W566" s="6"/>
      <c r="X566" s="5">
        <v>1</v>
      </c>
      <c r="Y566" s="6"/>
      <c r="Z566" s="6"/>
      <c r="AA566" s="6"/>
      <c r="AB566" s="6"/>
      <c r="AC566" s="6"/>
      <c r="AD566" s="6"/>
      <c r="AE566" s="5">
        <v>1</v>
      </c>
      <c r="AF566" s="6"/>
      <c r="AG566" s="6"/>
      <c r="AH566" s="5">
        <v>1</v>
      </c>
      <c r="AI566" s="6"/>
      <c r="AJ566" s="6"/>
      <c r="AK566" s="6"/>
      <c r="AL566" s="6"/>
      <c r="AM566" s="6"/>
    </row>
    <row r="567" spans="1:39" s="7" customFormat="1" x14ac:dyDescent="0.25">
      <c r="A567" s="5">
        <v>302</v>
      </c>
      <c r="B567" s="6"/>
      <c r="C567" s="5">
        <v>1</v>
      </c>
      <c r="D567" s="6"/>
      <c r="E567" s="6"/>
      <c r="F567" s="6"/>
      <c r="G567" s="5">
        <v>1</v>
      </c>
      <c r="H567" s="6"/>
      <c r="I567" s="6"/>
      <c r="J567" s="5">
        <v>1</v>
      </c>
      <c r="K567" s="6"/>
      <c r="L567" s="6"/>
      <c r="M567" s="6"/>
      <c r="N567" s="6"/>
      <c r="O567" s="5">
        <v>1</v>
      </c>
      <c r="P567" s="6"/>
      <c r="Q567" s="6"/>
      <c r="R567" s="5">
        <v>1</v>
      </c>
      <c r="S567" s="6"/>
      <c r="T567" s="6"/>
      <c r="U567" s="6"/>
      <c r="V567" s="5">
        <v>1</v>
      </c>
      <c r="W567" s="6"/>
      <c r="X567" s="6"/>
      <c r="Y567" s="6"/>
      <c r="Z567" s="5">
        <v>1</v>
      </c>
      <c r="AA567" s="6"/>
      <c r="AB567" s="5">
        <v>1</v>
      </c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5">
        <v>1</v>
      </c>
    </row>
    <row r="568" spans="1:39" s="7" customFormat="1" x14ac:dyDescent="0.25">
      <c r="A568" s="5">
        <v>302</v>
      </c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5">
        <v>1</v>
      </c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5">
        <v>1</v>
      </c>
      <c r="AK568" s="6"/>
      <c r="AL568" s="6"/>
      <c r="AM568" s="6"/>
    </row>
    <row r="569" spans="1:39" s="7" customFormat="1" x14ac:dyDescent="0.25">
      <c r="A569" s="5">
        <v>302</v>
      </c>
      <c r="B569" s="5">
        <v>1</v>
      </c>
      <c r="C569" s="6"/>
      <c r="D569" s="5">
        <v>1</v>
      </c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5">
        <v>1</v>
      </c>
      <c r="AG569" s="6"/>
      <c r="AH569" s="6"/>
      <c r="AI569" s="6"/>
      <c r="AJ569" s="6"/>
      <c r="AK569" s="6"/>
      <c r="AL569" s="5">
        <v>1</v>
      </c>
      <c r="AM569" s="6"/>
    </row>
    <row r="570" spans="1:39" s="7" customFormat="1" x14ac:dyDescent="0.25">
      <c r="A570" s="5">
        <v>302</v>
      </c>
      <c r="B570" s="6"/>
      <c r="C570" s="6"/>
      <c r="D570" s="6"/>
      <c r="E570" s="6"/>
      <c r="F570" s="5">
        <v>1</v>
      </c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5">
        <v>1</v>
      </c>
      <c r="AE570" s="6"/>
      <c r="AF570" s="6"/>
      <c r="AG570" s="6"/>
      <c r="AH570" s="6"/>
      <c r="AI570" s="6"/>
      <c r="AJ570" s="6"/>
      <c r="AK570" s="6"/>
      <c r="AL570" s="6"/>
      <c r="AM570" s="6"/>
    </row>
    <row r="571" spans="1:39" s="7" customFormat="1" x14ac:dyDescent="0.25">
      <c r="A571" s="5">
        <v>302</v>
      </c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5">
        <v>1</v>
      </c>
      <c r="AB571" s="6"/>
      <c r="AC571" s="6"/>
      <c r="AD571" s="6"/>
      <c r="AE571" s="6"/>
      <c r="AF571" s="6"/>
      <c r="AG571" s="6"/>
      <c r="AH571" s="6"/>
      <c r="AI571" s="5">
        <v>1</v>
      </c>
      <c r="AJ571" s="6"/>
      <c r="AK571" s="6"/>
      <c r="AL571" s="6"/>
      <c r="AM571" s="6"/>
    </row>
    <row r="572" spans="1:39" s="7" customFormat="1" x14ac:dyDescent="0.25">
      <c r="A572" s="5">
        <v>303</v>
      </c>
      <c r="B572" s="5">
        <v>1</v>
      </c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5">
        <v>1</v>
      </c>
      <c r="AG572" s="6"/>
      <c r="AH572" s="6"/>
      <c r="AI572" s="6"/>
      <c r="AJ572" s="6"/>
      <c r="AK572" s="6"/>
      <c r="AL572" s="6"/>
      <c r="AM572" s="6"/>
    </row>
    <row r="573" spans="1:39" s="7" customFormat="1" x14ac:dyDescent="0.25">
      <c r="A573" s="5">
        <v>303</v>
      </c>
      <c r="B573" s="6"/>
      <c r="C573" s="6"/>
      <c r="D573" s="6"/>
      <c r="E573" s="6"/>
      <c r="F573" s="5">
        <v>1</v>
      </c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</row>
    <row r="574" spans="1:39" s="7" customFormat="1" x14ac:dyDescent="0.25">
      <c r="A574" s="5">
        <v>303</v>
      </c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5">
        <v>1</v>
      </c>
      <c r="O574" s="6"/>
      <c r="P574" s="5">
        <v>1</v>
      </c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5">
        <v>1</v>
      </c>
      <c r="AH574" s="5">
        <v>1</v>
      </c>
      <c r="AI574" s="6"/>
      <c r="AJ574" s="6"/>
      <c r="AK574" s="6"/>
      <c r="AL574" s="6"/>
      <c r="AM574" s="6"/>
    </row>
    <row r="575" spans="1:39" s="7" customFormat="1" x14ac:dyDescent="0.25">
      <c r="A575" s="5">
        <v>303</v>
      </c>
      <c r="B575" s="6"/>
      <c r="C575" s="6"/>
      <c r="D575" s="6"/>
      <c r="E575" s="6"/>
      <c r="F575" s="6"/>
      <c r="G575" s="6"/>
      <c r="H575" s="5">
        <v>1</v>
      </c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5">
        <v>1</v>
      </c>
      <c r="AB575" s="6"/>
      <c r="AC575" s="6"/>
      <c r="AD575" s="6"/>
      <c r="AE575" s="5">
        <v>1</v>
      </c>
      <c r="AF575" s="6"/>
      <c r="AG575" s="6"/>
      <c r="AH575" s="6"/>
      <c r="AI575" s="6"/>
      <c r="AJ575" s="6"/>
      <c r="AK575" s="6"/>
      <c r="AL575" s="6"/>
      <c r="AM575" s="6"/>
    </row>
    <row r="576" spans="1:39" s="7" customFormat="1" x14ac:dyDescent="0.25">
      <c r="A576" s="5">
        <v>303</v>
      </c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5">
        <v>1</v>
      </c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5">
        <v>1</v>
      </c>
      <c r="AK576" s="6"/>
      <c r="AL576" s="6"/>
      <c r="AM576" s="6"/>
    </row>
    <row r="577" spans="1:39" s="7" customFormat="1" x14ac:dyDescent="0.25">
      <c r="A577" s="5">
        <v>303</v>
      </c>
      <c r="B577" s="6"/>
      <c r="C577" s="6"/>
      <c r="D577" s="5">
        <v>1</v>
      </c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5">
        <v>1</v>
      </c>
      <c r="AM577" s="6"/>
    </row>
    <row r="578" spans="1:39" s="7" customFormat="1" x14ac:dyDescent="0.25">
      <c r="A578" s="5">
        <v>303</v>
      </c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5">
        <v>1</v>
      </c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5">
        <v>1</v>
      </c>
      <c r="Z578" s="6"/>
      <c r="AA578" s="6"/>
      <c r="AB578" s="6"/>
      <c r="AC578" s="6"/>
      <c r="AD578" s="5">
        <v>1</v>
      </c>
      <c r="AE578" s="6"/>
      <c r="AF578" s="6"/>
      <c r="AG578" s="6"/>
      <c r="AH578" s="6"/>
      <c r="AI578" s="6"/>
      <c r="AJ578" s="6"/>
      <c r="AK578" s="6"/>
      <c r="AL578" s="6"/>
      <c r="AM578" s="6"/>
    </row>
    <row r="579" spans="1:39" s="7" customFormat="1" x14ac:dyDescent="0.25">
      <c r="A579" s="5">
        <v>303</v>
      </c>
      <c r="B579" s="6"/>
      <c r="C579" s="6"/>
      <c r="D579" s="6"/>
      <c r="E579" s="5">
        <v>1</v>
      </c>
      <c r="F579" s="6"/>
      <c r="G579" s="6"/>
      <c r="H579" s="6"/>
      <c r="I579" s="5">
        <v>1</v>
      </c>
      <c r="J579" s="6"/>
      <c r="K579" s="5">
        <v>1</v>
      </c>
      <c r="L579" s="6"/>
      <c r="M579" s="6"/>
      <c r="N579" s="6"/>
      <c r="O579" s="6"/>
      <c r="P579" s="6"/>
      <c r="Q579" s="6"/>
      <c r="R579" s="6"/>
      <c r="S579" s="6"/>
      <c r="T579" s="6"/>
      <c r="U579" s="5">
        <v>1</v>
      </c>
      <c r="V579" s="6"/>
      <c r="W579" s="6"/>
      <c r="X579" s="6"/>
      <c r="Y579" s="6"/>
      <c r="Z579" s="6"/>
      <c r="AA579" s="6"/>
      <c r="AB579" s="6"/>
      <c r="AC579" s="5">
        <v>1</v>
      </c>
      <c r="AD579" s="6"/>
      <c r="AE579" s="6"/>
      <c r="AF579" s="6"/>
      <c r="AG579" s="6"/>
      <c r="AH579" s="6"/>
      <c r="AI579" s="6"/>
      <c r="AJ579" s="6"/>
      <c r="AK579" s="6"/>
      <c r="AL579" s="6"/>
      <c r="AM579" s="6"/>
    </row>
    <row r="580" spans="1:39" s="7" customFormat="1" x14ac:dyDescent="0.25">
      <c r="A580" s="5">
        <v>303</v>
      </c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5">
        <v>1</v>
      </c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5">
        <v>1</v>
      </c>
      <c r="X580" s="5">
        <v>1</v>
      </c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5">
        <v>1</v>
      </c>
      <c r="AJ580" s="6"/>
      <c r="AK580" s="5">
        <v>1</v>
      </c>
      <c r="AL580" s="6"/>
      <c r="AM580" s="6"/>
    </row>
    <row r="581" spans="1:39" s="7" customFormat="1" x14ac:dyDescent="0.25">
      <c r="A581" s="5">
        <v>303</v>
      </c>
      <c r="B581" s="6"/>
      <c r="C581" s="6"/>
      <c r="D581" s="6"/>
      <c r="E581" s="6"/>
      <c r="F581" s="6"/>
      <c r="G581" s="6"/>
      <c r="H581" s="6"/>
      <c r="I581" s="6"/>
      <c r="J581" s="5">
        <v>1</v>
      </c>
      <c r="K581" s="6"/>
      <c r="L581" s="6"/>
      <c r="M581" s="6"/>
      <c r="N581" s="6"/>
      <c r="O581" s="5">
        <v>1</v>
      </c>
      <c r="P581" s="6"/>
      <c r="Q581" s="5">
        <v>1</v>
      </c>
      <c r="R581" s="6"/>
      <c r="S581" s="6"/>
      <c r="T581" s="5">
        <v>1</v>
      </c>
      <c r="U581" s="6"/>
      <c r="V581" s="5">
        <v>1</v>
      </c>
      <c r="W581" s="6"/>
      <c r="X581" s="6"/>
      <c r="Y581" s="6"/>
      <c r="Z581" s="5">
        <v>1</v>
      </c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</row>
    <row r="582" spans="1:39" s="7" customFormat="1" x14ac:dyDescent="0.25">
      <c r="A582" s="5">
        <v>303</v>
      </c>
      <c r="B582" s="6"/>
      <c r="C582" s="5">
        <v>1</v>
      </c>
      <c r="D582" s="6"/>
      <c r="E582" s="6"/>
      <c r="F582" s="6"/>
      <c r="G582" s="5">
        <v>1</v>
      </c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5">
        <v>1</v>
      </c>
      <c r="S582" s="6"/>
      <c r="T582" s="6"/>
      <c r="U582" s="6"/>
      <c r="V582" s="6"/>
      <c r="W582" s="6"/>
      <c r="X582" s="6"/>
      <c r="Y582" s="6"/>
      <c r="Z582" s="6"/>
      <c r="AA582" s="6"/>
      <c r="AB582" s="5">
        <v>1</v>
      </c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5">
        <v>1</v>
      </c>
    </row>
    <row r="583" spans="1:39" s="7" customFormat="1" x14ac:dyDescent="0.25">
      <c r="A583" s="5">
        <v>304</v>
      </c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5">
        <v>1</v>
      </c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5">
        <v>1</v>
      </c>
      <c r="AH583" s="6"/>
      <c r="AI583" s="6"/>
      <c r="AJ583" s="6"/>
      <c r="AK583" s="6"/>
      <c r="AL583" s="6"/>
      <c r="AM583" s="6"/>
    </row>
    <row r="584" spans="1:39" s="7" customFormat="1" x14ac:dyDescent="0.25">
      <c r="A584" s="5">
        <v>304</v>
      </c>
      <c r="B584" s="6"/>
      <c r="C584" s="6"/>
      <c r="D584" s="6"/>
      <c r="E584" s="6"/>
      <c r="F584" s="6"/>
      <c r="G584" s="6"/>
      <c r="H584" s="5">
        <v>1</v>
      </c>
      <c r="I584" s="6"/>
      <c r="J584" s="6"/>
      <c r="K584" s="6"/>
      <c r="L584" s="6"/>
      <c r="M584" s="6"/>
      <c r="N584" s="6"/>
      <c r="O584" s="6"/>
      <c r="P584" s="5">
        <v>1</v>
      </c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5">
        <v>1</v>
      </c>
      <c r="AF584" s="6"/>
      <c r="AG584" s="6"/>
      <c r="AH584" s="5">
        <v>1</v>
      </c>
      <c r="AI584" s="6"/>
      <c r="AJ584" s="6"/>
      <c r="AK584" s="6"/>
      <c r="AL584" s="6"/>
      <c r="AM584" s="6"/>
    </row>
    <row r="585" spans="1:39" s="7" customFormat="1" x14ac:dyDescent="0.25">
      <c r="A585" s="5">
        <v>304</v>
      </c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5">
        <v>1</v>
      </c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5">
        <v>1</v>
      </c>
      <c r="AK585" s="6"/>
      <c r="AL585" s="6"/>
      <c r="AM585" s="6"/>
    </row>
    <row r="586" spans="1:39" s="7" customFormat="1" x14ac:dyDescent="0.25">
      <c r="A586" s="5">
        <v>304</v>
      </c>
      <c r="B586" s="6"/>
      <c r="C586" s="6"/>
      <c r="D586" s="6"/>
      <c r="E586" s="5">
        <v>1</v>
      </c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</row>
    <row r="587" spans="1:39" s="7" customFormat="1" x14ac:dyDescent="0.25">
      <c r="A587" s="5">
        <v>304</v>
      </c>
      <c r="B587" s="6"/>
      <c r="C587" s="6"/>
      <c r="D587" s="6"/>
      <c r="E587" s="6"/>
      <c r="F587" s="6"/>
      <c r="G587" s="6"/>
      <c r="H587" s="6"/>
      <c r="I587" s="5">
        <v>1</v>
      </c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5">
        <v>1</v>
      </c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</row>
    <row r="588" spans="1:39" s="7" customFormat="1" x14ac:dyDescent="0.25">
      <c r="A588" s="5">
        <v>304</v>
      </c>
      <c r="B588" s="6"/>
      <c r="C588" s="6"/>
      <c r="D588" s="6"/>
      <c r="E588" s="6"/>
      <c r="F588" s="6"/>
      <c r="G588" s="6"/>
      <c r="H588" s="6"/>
      <c r="I588" s="6"/>
      <c r="J588" s="5">
        <v>1</v>
      </c>
      <c r="K588" s="6"/>
      <c r="L588" s="6"/>
      <c r="M588" s="6"/>
      <c r="N588" s="6"/>
      <c r="O588" s="5">
        <v>1</v>
      </c>
      <c r="P588" s="6"/>
      <c r="Q588" s="6"/>
      <c r="R588" s="5">
        <v>1</v>
      </c>
      <c r="S588" s="6"/>
      <c r="T588" s="6"/>
      <c r="U588" s="6"/>
      <c r="V588" s="6"/>
      <c r="W588" s="6"/>
      <c r="X588" s="6"/>
      <c r="Y588" s="6"/>
      <c r="Z588" s="6"/>
      <c r="AA588" s="6"/>
      <c r="AB588" s="5">
        <v>1</v>
      </c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</row>
    <row r="589" spans="1:39" s="7" customFormat="1" x14ac:dyDescent="0.25">
      <c r="A589" s="5">
        <v>304</v>
      </c>
      <c r="B589" s="5">
        <v>1</v>
      </c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5">
        <v>1</v>
      </c>
      <c r="AG589" s="6"/>
      <c r="AH589" s="6"/>
      <c r="AI589" s="6"/>
      <c r="AJ589" s="6"/>
      <c r="AK589" s="6"/>
      <c r="AL589" s="6"/>
      <c r="AM589" s="6"/>
    </row>
    <row r="590" spans="1:39" s="7" customFormat="1" x14ac:dyDescent="0.25">
      <c r="A590" s="5">
        <v>304</v>
      </c>
      <c r="B590" s="6"/>
      <c r="C590" s="6"/>
      <c r="D590" s="6"/>
      <c r="E590" s="6"/>
      <c r="F590" s="5">
        <v>1</v>
      </c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</row>
    <row r="591" spans="1:39" s="7" customFormat="1" x14ac:dyDescent="0.25">
      <c r="A591" s="5">
        <v>304</v>
      </c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5">
        <v>1</v>
      </c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</row>
    <row r="592" spans="1:39" s="7" customFormat="1" x14ac:dyDescent="0.25">
      <c r="A592" s="5">
        <v>304</v>
      </c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5">
        <v>1</v>
      </c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</row>
    <row r="593" spans="1:39" s="7" customFormat="1" x14ac:dyDescent="0.25">
      <c r="A593" s="5">
        <v>304</v>
      </c>
      <c r="B593" s="6"/>
      <c r="C593" s="6"/>
      <c r="D593" s="6"/>
      <c r="E593" s="6"/>
      <c r="F593" s="6"/>
      <c r="G593" s="6"/>
      <c r="H593" s="6"/>
      <c r="I593" s="6"/>
      <c r="J593" s="6"/>
      <c r="K593" s="5">
        <v>1</v>
      </c>
      <c r="L593" s="6"/>
      <c r="M593" s="5">
        <v>1</v>
      </c>
      <c r="N593" s="6"/>
      <c r="O593" s="6"/>
      <c r="P593" s="6"/>
      <c r="Q593" s="6"/>
      <c r="R593" s="6"/>
      <c r="S593" s="6"/>
      <c r="T593" s="6"/>
      <c r="U593" s="5">
        <v>1</v>
      </c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</row>
    <row r="594" spans="1:39" s="7" customFormat="1" x14ac:dyDescent="0.25">
      <c r="A594" s="5">
        <v>304</v>
      </c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5">
        <v>1</v>
      </c>
      <c r="AD594" s="6"/>
      <c r="AE594" s="6"/>
      <c r="AF594" s="6"/>
      <c r="AG594" s="6"/>
      <c r="AH594" s="6"/>
      <c r="AI594" s="6"/>
      <c r="AJ594" s="6"/>
      <c r="AK594" s="5">
        <v>1</v>
      </c>
      <c r="AL594" s="6"/>
      <c r="AM594" s="6"/>
    </row>
    <row r="595" spans="1:39" s="7" customFormat="1" x14ac:dyDescent="0.25">
      <c r="A595" s="5">
        <v>304</v>
      </c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5">
        <v>1</v>
      </c>
      <c r="M595" s="6"/>
      <c r="N595" s="6"/>
      <c r="O595" s="6"/>
      <c r="P595" s="6"/>
      <c r="Q595" s="5">
        <v>1</v>
      </c>
      <c r="R595" s="6"/>
      <c r="S595" s="6"/>
      <c r="T595" s="5">
        <v>1</v>
      </c>
      <c r="U595" s="6"/>
      <c r="V595" s="6"/>
      <c r="W595" s="6"/>
      <c r="X595" s="5">
        <v>1</v>
      </c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</row>
    <row r="596" spans="1:39" s="7" customFormat="1" x14ac:dyDescent="0.25">
      <c r="A596" s="5">
        <v>304</v>
      </c>
      <c r="B596" s="6"/>
      <c r="C596" s="5">
        <v>1</v>
      </c>
      <c r="D596" s="6"/>
      <c r="E596" s="6"/>
      <c r="F596" s="6"/>
      <c r="G596" s="5">
        <v>1</v>
      </c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5">
        <v>1</v>
      </c>
      <c r="W596" s="6"/>
      <c r="X596" s="6"/>
      <c r="Y596" s="6"/>
      <c r="Z596" s="5">
        <v>1</v>
      </c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5">
        <v>1</v>
      </c>
    </row>
    <row r="597" spans="1:39" s="7" customFormat="1" x14ac:dyDescent="0.25">
      <c r="A597" s="5">
        <v>304</v>
      </c>
      <c r="B597" s="6"/>
      <c r="C597" s="6"/>
      <c r="D597" s="5">
        <v>1</v>
      </c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5">
        <v>1</v>
      </c>
      <c r="AM597" s="6"/>
    </row>
    <row r="598" spans="1:39" s="7" customFormat="1" x14ac:dyDescent="0.25">
      <c r="A598" s="5">
        <v>304</v>
      </c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5">
        <v>1</v>
      </c>
      <c r="AE598" s="6"/>
      <c r="AF598" s="6"/>
      <c r="AG598" s="6"/>
      <c r="AH598" s="6"/>
      <c r="AI598" s="6"/>
      <c r="AJ598" s="6"/>
      <c r="AK598" s="6"/>
      <c r="AL598" s="6"/>
      <c r="AM598" s="6"/>
    </row>
    <row r="599" spans="1:39" s="7" customFormat="1" x14ac:dyDescent="0.25">
      <c r="A599" s="5">
        <v>304</v>
      </c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5">
        <v>1</v>
      </c>
      <c r="AJ599" s="6"/>
      <c r="AK599" s="6"/>
      <c r="AL599" s="6"/>
      <c r="AM599" s="6"/>
    </row>
    <row r="600" spans="1:39" s="7" customFormat="1" x14ac:dyDescent="0.25">
      <c r="A600" s="5">
        <v>305</v>
      </c>
      <c r="B600" s="5">
        <v>1</v>
      </c>
      <c r="C600" s="6"/>
      <c r="D600" s="5">
        <v>1</v>
      </c>
      <c r="E600" s="6"/>
      <c r="F600" s="5">
        <v>1</v>
      </c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5">
        <v>1</v>
      </c>
      <c r="AB600" s="6"/>
      <c r="AC600" s="6"/>
      <c r="AD600" s="5">
        <v>1</v>
      </c>
      <c r="AE600" s="6"/>
      <c r="AF600" s="6"/>
      <c r="AG600" s="6"/>
      <c r="AH600" s="6"/>
      <c r="AI600" s="5">
        <v>1</v>
      </c>
      <c r="AJ600" s="6"/>
      <c r="AK600" s="6"/>
      <c r="AL600" s="5">
        <v>1</v>
      </c>
      <c r="AM600" s="6"/>
    </row>
    <row r="601" spans="1:39" s="7" customFormat="1" x14ac:dyDescent="0.25">
      <c r="A601" s="5">
        <v>305</v>
      </c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5">
        <v>1</v>
      </c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</row>
    <row r="602" spans="1:39" s="7" customFormat="1" x14ac:dyDescent="0.25">
      <c r="A602" s="5">
        <v>305</v>
      </c>
      <c r="B602" s="6"/>
      <c r="C602" s="6"/>
      <c r="D602" s="6"/>
      <c r="E602" s="5">
        <v>1</v>
      </c>
      <c r="F602" s="6"/>
      <c r="G602" s="6"/>
      <c r="H602" s="6"/>
      <c r="I602" s="6"/>
      <c r="J602" s="6"/>
      <c r="K602" s="5">
        <v>1</v>
      </c>
      <c r="L602" s="6"/>
      <c r="M602" s="6"/>
      <c r="N602" s="5">
        <v>1</v>
      </c>
      <c r="O602" s="6"/>
      <c r="P602" s="6"/>
      <c r="Q602" s="6"/>
      <c r="R602" s="6"/>
      <c r="S602" s="6"/>
      <c r="T602" s="6"/>
      <c r="U602" s="5">
        <v>1</v>
      </c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5">
        <v>1</v>
      </c>
      <c r="AH602" s="6"/>
      <c r="AI602" s="6"/>
      <c r="AJ602" s="6"/>
      <c r="AK602" s="6"/>
      <c r="AL602" s="6"/>
      <c r="AM602" s="6"/>
    </row>
    <row r="603" spans="1:39" s="7" customFormat="1" x14ac:dyDescent="0.25">
      <c r="A603" s="5">
        <v>305</v>
      </c>
      <c r="B603" s="6"/>
      <c r="C603" s="6"/>
      <c r="D603" s="6"/>
      <c r="E603" s="6"/>
      <c r="F603" s="6"/>
      <c r="G603" s="6"/>
      <c r="H603" s="5">
        <v>1</v>
      </c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5">
        <v>1</v>
      </c>
      <c r="X603" s="6"/>
      <c r="Y603" s="6"/>
      <c r="Z603" s="6"/>
      <c r="AA603" s="6"/>
      <c r="AB603" s="6"/>
      <c r="AC603" s="6"/>
      <c r="AD603" s="6"/>
      <c r="AE603" s="5">
        <v>1</v>
      </c>
      <c r="AF603" s="6"/>
      <c r="AG603" s="6"/>
      <c r="AH603" s="6"/>
      <c r="AI603" s="6"/>
      <c r="AJ603" s="6"/>
      <c r="AK603" s="5">
        <v>1</v>
      </c>
      <c r="AL603" s="6"/>
      <c r="AM603" s="6"/>
    </row>
    <row r="604" spans="1:39" s="7" customFormat="1" x14ac:dyDescent="0.25">
      <c r="A604" s="5">
        <v>305</v>
      </c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5">
        <v>1</v>
      </c>
      <c r="R604" s="6"/>
      <c r="S604" s="6"/>
      <c r="T604" s="5">
        <v>1</v>
      </c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</row>
    <row r="605" spans="1:39" s="7" customFormat="1" x14ac:dyDescent="0.25">
      <c r="A605" s="5">
        <v>305</v>
      </c>
      <c r="B605" s="6"/>
      <c r="C605" s="5">
        <v>1</v>
      </c>
      <c r="D605" s="6"/>
      <c r="E605" s="6"/>
      <c r="F605" s="6"/>
      <c r="G605" s="5">
        <v>1</v>
      </c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5">
        <v>1</v>
      </c>
      <c r="S605" s="5">
        <v>1</v>
      </c>
      <c r="T605" s="6"/>
      <c r="U605" s="6"/>
      <c r="V605" s="6"/>
      <c r="W605" s="6"/>
      <c r="X605" s="6"/>
      <c r="Y605" s="6"/>
      <c r="Z605" s="6"/>
      <c r="AA605" s="6"/>
      <c r="AB605" s="5">
        <v>1</v>
      </c>
      <c r="AC605" s="6"/>
      <c r="AD605" s="6"/>
      <c r="AE605" s="6"/>
      <c r="AF605" s="6"/>
      <c r="AG605" s="6"/>
      <c r="AH605" s="6"/>
      <c r="AI605" s="6"/>
      <c r="AJ605" s="5">
        <v>1</v>
      </c>
      <c r="AK605" s="6"/>
      <c r="AL605" s="6"/>
      <c r="AM605" s="5">
        <v>1</v>
      </c>
    </row>
    <row r="606" spans="1:39" s="7" customFormat="1" x14ac:dyDescent="0.25">
      <c r="A606" s="5">
        <v>305</v>
      </c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5">
        <v>1</v>
      </c>
      <c r="AG606" s="6"/>
      <c r="AH606" s="6"/>
      <c r="AI606" s="6"/>
      <c r="AJ606" s="6"/>
      <c r="AK606" s="6"/>
      <c r="AL606" s="6"/>
      <c r="AM606" s="6"/>
    </row>
    <row r="607" spans="1:39" s="7" customFormat="1" x14ac:dyDescent="0.25">
      <c r="A607" s="5">
        <v>305</v>
      </c>
      <c r="B607" s="6"/>
      <c r="C607" s="6"/>
      <c r="D607" s="6"/>
      <c r="E607" s="6"/>
      <c r="F607" s="6"/>
      <c r="G607" s="6"/>
      <c r="H607" s="6"/>
      <c r="I607" s="5">
        <v>1</v>
      </c>
      <c r="J607" s="6"/>
      <c r="K607" s="6"/>
      <c r="L607" s="6"/>
      <c r="M607" s="6"/>
      <c r="N607" s="6"/>
      <c r="O607" s="6"/>
      <c r="P607" s="5">
        <v>1</v>
      </c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5">
        <v>1</v>
      </c>
      <c r="AD607" s="6"/>
      <c r="AE607" s="6"/>
      <c r="AF607" s="6"/>
      <c r="AG607" s="6"/>
      <c r="AH607" s="5">
        <v>1</v>
      </c>
      <c r="AI607" s="6"/>
      <c r="AJ607" s="6"/>
      <c r="AK607" s="6"/>
      <c r="AL607" s="6"/>
      <c r="AM607" s="6"/>
    </row>
    <row r="608" spans="1:39" s="7" customFormat="1" x14ac:dyDescent="0.25">
      <c r="A608" s="5">
        <v>305</v>
      </c>
      <c r="B608" s="6"/>
      <c r="C608" s="6"/>
      <c r="D608" s="6"/>
      <c r="E608" s="6"/>
      <c r="F608" s="6"/>
      <c r="G608" s="6"/>
      <c r="H608" s="6"/>
      <c r="I608" s="6"/>
      <c r="J608" s="5">
        <v>1</v>
      </c>
      <c r="K608" s="6"/>
      <c r="L608" s="6"/>
      <c r="M608" s="6"/>
      <c r="N608" s="6"/>
      <c r="O608" s="5">
        <v>1</v>
      </c>
      <c r="P608" s="6"/>
      <c r="Q608" s="6"/>
      <c r="R608" s="6"/>
      <c r="S608" s="6"/>
      <c r="T608" s="6"/>
      <c r="U608" s="6"/>
      <c r="V608" s="5">
        <v>1</v>
      </c>
      <c r="W608" s="6"/>
      <c r="X608" s="6"/>
      <c r="Y608" s="6"/>
      <c r="Z608" s="5">
        <v>1</v>
      </c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</row>
    <row r="609" spans="1:39" s="7" customFormat="1" x14ac:dyDescent="0.25">
      <c r="A609" s="5">
        <v>305</v>
      </c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5">
        <v>1</v>
      </c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</row>
    <row r="610" spans="1:39" s="7" customFormat="1" x14ac:dyDescent="0.25">
      <c r="A610" s="5">
        <v>305</v>
      </c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5">
        <v>1</v>
      </c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5">
        <v>1</v>
      </c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</row>
    <row r="611" spans="1:39" s="7" customFormat="1" x14ac:dyDescent="0.25">
      <c r="A611" s="5">
        <v>306</v>
      </c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5">
        <v>1</v>
      </c>
      <c r="AG611" s="6"/>
      <c r="AH611" s="6"/>
      <c r="AI611" s="6"/>
      <c r="AJ611" s="6"/>
      <c r="AK611" s="6"/>
      <c r="AL611" s="6"/>
      <c r="AM611" s="6"/>
    </row>
    <row r="612" spans="1:39" s="7" customFormat="1" x14ac:dyDescent="0.25">
      <c r="A612" s="5">
        <v>306</v>
      </c>
      <c r="B612" s="6"/>
      <c r="C612" s="6"/>
      <c r="D612" s="6"/>
      <c r="E612" s="6"/>
      <c r="F612" s="5">
        <v>1</v>
      </c>
      <c r="G612" s="6"/>
      <c r="H612" s="6"/>
      <c r="I612" s="6"/>
      <c r="J612" s="6"/>
      <c r="K612" s="6"/>
      <c r="L612" s="6"/>
      <c r="M612" s="5">
        <v>1</v>
      </c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5">
        <v>1</v>
      </c>
      <c r="AE612" s="6"/>
      <c r="AF612" s="6"/>
      <c r="AG612" s="6"/>
      <c r="AH612" s="6"/>
      <c r="AI612" s="6"/>
      <c r="AJ612" s="6"/>
      <c r="AK612" s="6"/>
      <c r="AL612" s="6"/>
      <c r="AM612" s="6"/>
    </row>
    <row r="613" spans="1:39" s="7" customFormat="1" x14ac:dyDescent="0.25">
      <c r="A613" s="5">
        <v>306</v>
      </c>
      <c r="B613" s="6"/>
      <c r="C613" s="6"/>
      <c r="D613" s="6"/>
      <c r="E613" s="6"/>
      <c r="F613" s="6"/>
      <c r="G613" s="6"/>
      <c r="H613" s="6"/>
      <c r="I613" s="5">
        <v>1</v>
      </c>
      <c r="J613" s="6"/>
      <c r="K613" s="5">
        <v>1</v>
      </c>
      <c r="L613" s="6"/>
      <c r="M613" s="6"/>
      <c r="N613" s="6"/>
      <c r="O613" s="6"/>
      <c r="P613" s="5">
        <v>1</v>
      </c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5">
        <v>1</v>
      </c>
      <c r="AD613" s="6"/>
      <c r="AE613" s="6"/>
      <c r="AF613" s="6"/>
      <c r="AG613" s="6"/>
      <c r="AH613" s="5">
        <v>1</v>
      </c>
      <c r="AI613" s="6"/>
      <c r="AJ613" s="6"/>
      <c r="AK613" s="6"/>
      <c r="AL613" s="6"/>
      <c r="AM613" s="6"/>
    </row>
    <row r="614" spans="1:39" s="7" customFormat="1" x14ac:dyDescent="0.25">
      <c r="A614" s="5">
        <v>306</v>
      </c>
      <c r="B614" s="6"/>
      <c r="C614" s="6"/>
      <c r="D614" s="6"/>
      <c r="E614" s="6"/>
      <c r="F614" s="6"/>
      <c r="G614" s="6"/>
      <c r="H614" s="5">
        <v>1</v>
      </c>
      <c r="I614" s="6"/>
      <c r="J614" s="6"/>
      <c r="K614" s="6"/>
      <c r="L614" s="5">
        <v>1</v>
      </c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5">
        <v>1</v>
      </c>
      <c r="X614" s="5">
        <v>1</v>
      </c>
      <c r="Y614" s="6"/>
      <c r="Z614" s="6"/>
      <c r="AA614" s="5">
        <v>1</v>
      </c>
      <c r="AB614" s="6"/>
      <c r="AC614" s="6"/>
      <c r="AD614" s="6"/>
      <c r="AE614" s="5">
        <v>1</v>
      </c>
      <c r="AF614" s="6"/>
      <c r="AG614" s="6"/>
      <c r="AH614" s="6"/>
      <c r="AI614" s="5">
        <v>1</v>
      </c>
      <c r="AJ614" s="6"/>
      <c r="AK614" s="5">
        <v>1</v>
      </c>
      <c r="AL614" s="6"/>
      <c r="AM614" s="6"/>
    </row>
    <row r="615" spans="1:39" s="7" customFormat="1" x14ac:dyDescent="0.25">
      <c r="A615" s="5">
        <v>306</v>
      </c>
      <c r="B615" s="6"/>
      <c r="C615" s="6"/>
      <c r="D615" s="6"/>
      <c r="E615" s="6"/>
      <c r="F615" s="6"/>
      <c r="G615" s="6"/>
      <c r="H615" s="6"/>
      <c r="I615" s="6"/>
      <c r="J615" s="5">
        <v>1</v>
      </c>
      <c r="K615" s="6"/>
      <c r="L615" s="6"/>
      <c r="M615" s="6"/>
      <c r="N615" s="6"/>
      <c r="O615" s="5">
        <v>1</v>
      </c>
      <c r="P615" s="6"/>
      <c r="Q615" s="5">
        <v>1</v>
      </c>
      <c r="R615" s="6"/>
      <c r="S615" s="6"/>
      <c r="T615" s="5">
        <v>1</v>
      </c>
      <c r="U615" s="6"/>
      <c r="V615" s="5">
        <v>1</v>
      </c>
      <c r="W615" s="6"/>
      <c r="X615" s="6"/>
      <c r="Y615" s="6"/>
      <c r="Z615" s="5">
        <v>1</v>
      </c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</row>
    <row r="616" spans="1:39" s="7" customFormat="1" x14ac:dyDescent="0.25">
      <c r="A616" s="5">
        <v>306</v>
      </c>
      <c r="B616" s="6"/>
      <c r="C616" s="5">
        <v>1</v>
      </c>
      <c r="D616" s="6"/>
      <c r="E616" s="6"/>
      <c r="F616" s="6"/>
      <c r="G616" s="5">
        <v>1</v>
      </c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5">
        <v>1</v>
      </c>
      <c r="S616" s="5">
        <v>1</v>
      </c>
      <c r="T616" s="6"/>
      <c r="U616" s="6"/>
      <c r="V616" s="6"/>
      <c r="W616" s="6"/>
      <c r="X616" s="6"/>
      <c r="Y616" s="6"/>
      <c r="Z616" s="6"/>
      <c r="AA616" s="6"/>
      <c r="AB616" s="5">
        <v>1</v>
      </c>
      <c r="AC616" s="6"/>
      <c r="AD616" s="6"/>
      <c r="AE616" s="6"/>
      <c r="AF616" s="6"/>
      <c r="AG616" s="6"/>
      <c r="AH616" s="6"/>
      <c r="AI616" s="6"/>
      <c r="AJ616" s="5">
        <v>1</v>
      </c>
      <c r="AK616" s="6"/>
      <c r="AL616" s="6"/>
      <c r="AM616" s="5">
        <v>1</v>
      </c>
    </row>
    <row r="617" spans="1:39" s="7" customFormat="1" x14ac:dyDescent="0.25">
      <c r="A617" s="5">
        <v>306</v>
      </c>
      <c r="B617" s="5">
        <v>1</v>
      </c>
      <c r="C617" s="6"/>
      <c r="D617" s="5">
        <v>1</v>
      </c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5">
        <v>1</v>
      </c>
      <c r="AM617" s="6"/>
    </row>
    <row r="618" spans="1:39" s="7" customFormat="1" x14ac:dyDescent="0.25">
      <c r="A618" s="5">
        <v>306</v>
      </c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5">
        <v>1</v>
      </c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</row>
    <row r="619" spans="1:39" s="7" customFormat="1" x14ac:dyDescent="0.25">
      <c r="A619" s="5">
        <v>306</v>
      </c>
      <c r="B619" s="6"/>
      <c r="C619" s="6"/>
      <c r="D619" s="6"/>
      <c r="E619" s="5">
        <v>1</v>
      </c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5">
        <v>1</v>
      </c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5">
        <v>1</v>
      </c>
      <c r="AH619" s="6"/>
      <c r="AI619" s="6"/>
      <c r="AJ619" s="6"/>
      <c r="AK619" s="6"/>
      <c r="AL619" s="6"/>
      <c r="AM619" s="6"/>
    </row>
    <row r="620" spans="1:39" s="7" customFormat="1" x14ac:dyDescent="0.25">
      <c r="A620" s="5">
        <v>306</v>
      </c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5">
        <v>1</v>
      </c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</row>
    <row r="621" spans="1:39" s="7" customFormat="1" x14ac:dyDescent="0.25">
      <c r="A621" s="5">
        <v>307</v>
      </c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5">
        <v>1</v>
      </c>
      <c r="AG621" s="6"/>
      <c r="AH621" s="6"/>
      <c r="AI621" s="6"/>
      <c r="AJ621" s="6"/>
      <c r="AK621" s="6"/>
      <c r="AL621" s="6"/>
      <c r="AM621" s="6"/>
    </row>
    <row r="622" spans="1:39" s="7" customFormat="1" x14ac:dyDescent="0.25">
      <c r="A622" s="5">
        <v>307</v>
      </c>
      <c r="B622" s="6"/>
      <c r="C622" s="6"/>
      <c r="D622" s="6"/>
      <c r="E622" s="6"/>
      <c r="F622" s="5">
        <v>1</v>
      </c>
      <c r="G622" s="6"/>
      <c r="H622" s="6"/>
      <c r="I622" s="6"/>
      <c r="J622" s="6"/>
      <c r="K622" s="6"/>
      <c r="L622" s="6"/>
      <c r="M622" s="5">
        <v>1</v>
      </c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5">
        <v>1</v>
      </c>
      <c r="AE622" s="6"/>
      <c r="AF622" s="6"/>
      <c r="AG622" s="6"/>
      <c r="AH622" s="6"/>
      <c r="AI622" s="6"/>
      <c r="AJ622" s="6"/>
      <c r="AK622" s="6"/>
      <c r="AL622" s="6"/>
      <c r="AM622" s="6"/>
    </row>
    <row r="623" spans="1:39" s="7" customFormat="1" x14ac:dyDescent="0.25">
      <c r="A623" s="5">
        <v>307</v>
      </c>
      <c r="B623" s="6"/>
      <c r="C623" s="6"/>
      <c r="D623" s="6"/>
      <c r="E623" s="6"/>
      <c r="F623" s="6"/>
      <c r="G623" s="6"/>
      <c r="H623" s="6"/>
      <c r="I623" s="5">
        <v>1</v>
      </c>
      <c r="J623" s="6"/>
      <c r="K623" s="5">
        <v>1</v>
      </c>
      <c r="L623" s="6"/>
      <c r="M623" s="6"/>
      <c r="N623" s="6"/>
      <c r="O623" s="6"/>
      <c r="P623" s="5">
        <v>1</v>
      </c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5">
        <v>1</v>
      </c>
      <c r="AD623" s="6"/>
      <c r="AE623" s="6"/>
      <c r="AF623" s="6"/>
      <c r="AG623" s="6"/>
      <c r="AH623" s="5">
        <v>1</v>
      </c>
      <c r="AI623" s="6"/>
      <c r="AJ623" s="6"/>
      <c r="AK623" s="6"/>
      <c r="AL623" s="6"/>
      <c r="AM623" s="6"/>
    </row>
    <row r="624" spans="1:39" s="7" customFormat="1" x14ac:dyDescent="0.25">
      <c r="A624" s="5">
        <v>307</v>
      </c>
      <c r="B624" s="6"/>
      <c r="C624" s="6"/>
      <c r="D624" s="6"/>
      <c r="E624" s="6"/>
      <c r="F624" s="6"/>
      <c r="G624" s="6"/>
      <c r="H624" s="5">
        <v>1</v>
      </c>
      <c r="I624" s="6"/>
      <c r="J624" s="6"/>
      <c r="K624" s="6"/>
      <c r="L624" s="5">
        <v>1</v>
      </c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5">
        <v>1</v>
      </c>
      <c r="X624" s="5">
        <v>1</v>
      </c>
      <c r="Y624" s="6"/>
      <c r="Z624" s="6"/>
      <c r="AA624" s="5">
        <v>1</v>
      </c>
      <c r="AB624" s="6"/>
      <c r="AC624" s="6"/>
      <c r="AD624" s="6"/>
      <c r="AE624" s="5">
        <v>1</v>
      </c>
      <c r="AF624" s="6"/>
      <c r="AG624" s="6"/>
      <c r="AH624" s="6"/>
      <c r="AI624" s="5">
        <v>1</v>
      </c>
      <c r="AJ624" s="6"/>
      <c r="AK624" s="5">
        <v>1</v>
      </c>
      <c r="AL624" s="6"/>
      <c r="AM624" s="6"/>
    </row>
    <row r="625" spans="1:39" s="7" customFormat="1" x14ac:dyDescent="0.25">
      <c r="A625" s="5">
        <v>307</v>
      </c>
      <c r="B625" s="6"/>
      <c r="C625" s="6"/>
      <c r="D625" s="6"/>
      <c r="E625" s="6"/>
      <c r="F625" s="6"/>
      <c r="G625" s="6"/>
      <c r="H625" s="6"/>
      <c r="I625" s="6"/>
      <c r="J625" s="5">
        <v>1</v>
      </c>
      <c r="K625" s="6"/>
      <c r="L625" s="6"/>
      <c r="M625" s="6"/>
      <c r="N625" s="6"/>
      <c r="O625" s="5">
        <v>1</v>
      </c>
      <c r="P625" s="6"/>
      <c r="Q625" s="5">
        <v>1</v>
      </c>
      <c r="R625" s="6"/>
      <c r="S625" s="6"/>
      <c r="T625" s="5">
        <v>1</v>
      </c>
      <c r="U625" s="6"/>
      <c r="V625" s="5">
        <v>1</v>
      </c>
      <c r="W625" s="6"/>
      <c r="X625" s="6"/>
      <c r="Y625" s="6"/>
      <c r="Z625" s="5">
        <v>1</v>
      </c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</row>
    <row r="626" spans="1:39" s="7" customFormat="1" x14ac:dyDescent="0.25">
      <c r="A626" s="5">
        <v>307</v>
      </c>
      <c r="B626" s="6"/>
      <c r="C626" s="5">
        <v>1</v>
      </c>
      <c r="D626" s="6"/>
      <c r="E626" s="6"/>
      <c r="F626" s="6"/>
      <c r="G626" s="5">
        <v>1</v>
      </c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5">
        <v>1</v>
      </c>
      <c r="S626" s="5">
        <v>1</v>
      </c>
      <c r="T626" s="6"/>
      <c r="U626" s="6"/>
      <c r="V626" s="6"/>
      <c r="W626" s="6"/>
      <c r="X626" s="6"/>
      <c r="Y626" s="6"/>
      <c r="Z626" s="6"/>
      <c r="AA626" s="6"/>
      <c r="AB626" s="5">
        <v>1</v>
      </c>
      <c r="AC626" s="6"/>
      <c r="AD626" s="6"/>
      <c r="AE626" s="6"/>
      <c r="AF626" s="6"/>
      <c r="AG626" s="6"/>
      <c r="AH626" s="6"/>
      <c r="AI626" s="6"/>
      <c r="AJ626" s="5">
        <v>1</v>
      </c>
      <c r="AK626" s="6"/>
      <c r="AL626" s="6"/>
      <c r="AM626" s="5">
        <v>1</v>
      </c>
    </row>
    <row r="627" spans="1:39" s="7" customFormat="1" x14ac:dyDescent="0.25">
      <c r="A627" s="5">
        <v>307</v>
      </c>
      <c r="B627" s="5">
        <v>1</v>
      </c>
      <c r="C627" s="6"/>
      <c r="D627" s="5">
        <v>1</v>
      </c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5">
        <v>1</v>
      </c>
      <c r="AM627" s="6"/>
    </row>
    <row r="628" spans="1:39" s="7" customFormat="1" x14ac:dyDescent="0.25">
      <c r="A628" s="5">
        <v>307</v>
      </c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5">
        <v>1</v>
      </c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</row>
    <row r="629" spans="1:39" s="7" customFormat="1" x14ac:dyDescent="0.25">
      <c r="A629" s="5">
        <v>307</v>
      </c>
      <c r="B629" s="6"/>
      <c r="C629" s="6"/>
      <c r="D629" s="6"/>
      <c r="E629" s="5">
        <v>1</v>
      </c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5">
        <v>1</v>
      </c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5">
        <v>1</v>
      </c>
      <c r="AH629" s="6"/>
      <c r="AI629" s="6"/>
      <c r="AJ629" s="6"/>
      <c r="AK629" s="6"/>
      <c r="AL629" s="6"/>
      <c r="AM629" s="6"/>
    </row>
    <row r="630" spans="1:39" s="7" customFormat="1" x14ac:dyDescent="0.25">
      <c r="A630" s="5">
        <v>307</v>
      </c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5">
        <v>1</v>
      </c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</row>
    <row r="631" spans="1:39" s="7" customFormat="1" x14ac:dyDescent="0.25">
      <c r="A631" s="5">
        <v>308</v>
      </c>
      <c r="B631" s="5">
        <v>1</v>
      </c>
      <c r="C631" s="6"/>
      <c r="D631" s="5">
        <v>1</v>
      </c>
      <c r="E631" s="6"/>
      <c r="F631" s="5">
        <v>1</v>
      </c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5">
        <v>1</v>
      </c>
      <c r="AB631" s="6"/>
      <c r="AC631" s="6"/>
      <c r="AD631" s="5">
        <v>1</v>
      </c>
      <c r="AE631" s="6"/>
      <c r="AF631" s="6"/>
      <c r="AG631" s="6"/>
      <c r="AH631" s="6"/>
      <c r="AI631" s="5">
        <v>1</v>
      </c>
      <c r="AJ631" s="6"/>
      <c r="AK631" s="6"/>
      <c r="AL631" s="5">
        <v>1</v>
      </c>
      <c r="AM631" s="6"/>
    </row>
    <row r="632" spans="1:39" s="7" customFormat="1" x14ac:dyDescent="0.25">
      <c r="A632" s="5">
        <v>308</v>
      </c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5">
        <v>1</v>
      </c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</row>
    <row r="633" spans="1:39" s="7" customFormat="1" x14ac:dyDescent="0.25">
      <c r="A633" s="5">
        <v>308</v>
      </c>
      <c r="B633" s="6"/>
      <c r="C633" s="6"/>
      <c r="D633" s="6"/>
      <c r="E633" s="5">
        <v>1</v>
      </c>
      <c r="F633" s="6"/>
      <c r="G633" s="6"/>
      <c r="H633" s="6"/>
      <c r="I633" s="6"/>
      <c r="J633" s="6"/>
      <c r="K633" s="5">
        <v>1</v>
      </c>
      <c r="L633" s="6"/>
      <c r="M633" s="6"/>
      <c r="N633" s="5">
        <v>1</v>
      </c>
      <c r="O633" s="6"/>
      <c r="P633" s="6"/>
      <c r="Q633" s="6"/>
      <c r="R633" s="6"/>
      <c r="S633" s="6"/>
      <c r="T633" s="6"/>
      <c r="U633" s="5">
        <v>1</v>
      </c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5">
        <v>1</v>
      </c>
      <c r="AH633" s="6"/>
      <c r="AI633" s="6"/>
      <c r="AJ633" s="6"/>
      <c r="AK633" s="6"/>
      <c r="AL633" s="6"/>
      <c r="AM633" s="6"/>
    </row>
    <row r="634" spans="1:39" s="7" customFormat="1" x14ac:dyDescent="0.25">
      <c r="A634" s="5">
        <v>308</v>
      </c>
      <c r="B634" s="6"/>
      <c r="C634" s="6"/>
      <c r="D634" s="6"/>
      <c r="E634" s="6"/>
      <c r="F634" s="6"/>
      <c r="G634" s="6"/>
      <c r="H634" s="5">
        <v>1</v>
      </c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5">
        <v>1</v>
      </c>
      <c r="X634" s="6"/>
      <c r="Y634" s="6"/>
      <c r="Z634" s="6"/>
      <c r="AA634" s="6"/>
      <c r="AB634" s="6"/>
      <c r="AC634" s="6"/>
      <c r="AD634" s="6"/>
      <c r="AE634" s="5">
        <v>1</v>
      </c>
      <c r="AF634" s="6"/>
      <c r="AG634" s="6"/>
      <c r="AH634" s="6"/>
      <c r="AI634" s="6"/>
      <c r="AJ634" s="6"/>
      <c r="AK634" s="5">
        <v>1</v>
      </c>
      <c r="AL634" s="6"/>
      <c r="AM634" s="6"/>
    </row>
    <row r="635" spans="1:39" s="7" customFormat="1" x14ac:dyDescent="0.25">
      <c r="A635" s="5">
        <v>308</v>
      </c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5">
        <v>1</v>
      </c>
      <c r="R635" s="6"/>
      <c r="S635" s="6"/>
      <c r="T635" s="5">
        <v>1</v>
      </c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</row>
    <row r="636" spans="1:39" s="7" customFormat="1" x14ac:dyDescent="0.25">
      <c r="A636" s="5">
        <v>308</v>
      </c>
      <c r="B636" s="6"/>
      <c r="C636" s="5">
        <v>1</v>
      </c>
      <c r="D636" s="6"/>
      <c r="E636" s="6"/>
      <c r="F636" s="6"/>
      <c r="G636" s="5">
        <v>1</v>
      </c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5">
        <v>1</v>
      </c>
      <c r="S636" s="5">
        <v>1</v>
      </c>
      <c r="T636" s="6"/>
      <c r="U636" s="6"/>
      <c r="V636" s="6"/>
      <c r="W636" s="6"/>
      <c r="X636" s="6"/>
      <c r="Y636" s="6"/>
      <c r="Z636" s="6"/>
      <c r="AA636" s="6"/>
      <c r="AB636" s="5">
        <v>1</v>
      </c>
      <c r="AC636" s="6"/>
      <c r="AD636" s="6"/>
      <c r="AE636" s="6"/>
      <c r="AF636" s="6"/>
      <c r="AG636" s="6"/>
      <c r="AH636" s="6"/>
      <c r="AI636" s="6"/>
      <c r="AJ636" s="5">
        <v>1</v>
      </c>
      <c r="AK636" s="6"/>
      <c r="AL636" s="6"/>
      <c r="AM636" s="5">
        <v>1</v>
      </c>
    </row>
    <row r="637" spans="1:39" s="7" customFormat="1" x14ac:dyDescent="0.25">
      <c r="A637" s="5">
        <v>308</v>
      </c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5">
        <v>1</v>
      </c>
      <c r="AG637" s="6"/>
      <c r="AH637" s="6"/>
      <c r="AI637" s="6"/>
      <c r="AJ637" s="6"/>
      <c r="AK637" s="6"/>
      <c r="AL637" s="6"/>
      <c r="AM637" s="6"/>
    </row>
    <row r="638" spans="1:39" s="7" customFormat="1" x14ac:dyDescent="0.25">
      <c r="A638" s="5">
        <v>308</v>
      </c>
      <c r="B638" s="6"/>
      <c r="C638" s="6"/>
      <c r="D638" s="6"/>
      <c r="E638" s="6"/>
      <c r="F638" s="6"/>
      <c r="G638" s="6"/>
      <c r="H638" s="6"/>
      <c r="I638" s="5">
        <v>1</v>
      </c>
      <c r="J638" s="6"/>
      <c r="K638" s="6"/>
      <c r="L638" s="6"/>
      <c r="M638" s="6"/>
      <c r="N638" s="6"/>
      <c r="O638" s="6"/>
      <c r="P638" s="5">
        <v>1</v>
      </c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5">
        <v>1</v>
      </c>
      <c r="AD638" s="6"/>
      <c r="AE638" s="6"/>
      <c r="AF638" s="6"/>
      <c r="AG638" s="6"/>
      <c r="AH638" s="5">
        <v>1</v>
      </c>
      <c r="AI638" s="6"/>
      <c r="AJ638" s="6"/>
      <c r="AK638" s="6"/>
      <c r="AL638" s="6"/>
      <c r="AM638" s="6"/>
    </row>
    <row r="639" spans="1:39" s="7" customFormat="1" x14ac:dyDescent="0.25">
      <c r="A639" s="5">
        <v>308</v>
      </c>
      <c r="B639" s="6"/>
      <c r="C639" s="6"/>
      <c r="D639" s="6"/>
      <c r="E639" s="6"/>
      <c r="F639" s="6"/>
      <c r="G639" s="6"/>
      <c r="H639" s="6"/>
      <c r="I639" s="6"/>
      <c r="J639" s="5">
        <v>1</v>
      </c>
      <c r="K639" s="6"/>
      <c r="L639" s="6"/>
      <c r="M639" s="6"/>
      <c r="N639" s="6"/>
      <c r="O639" s="5">
        <v>1</v>
      </c>
      <c r="P639" s="6"/>
      <c r="Q639" s="6"/>
      <c r="R639" s="6"/>
      <c r="S639" s="6"/>
      <c r="T639" s="6"/>
      <c r="U639" s="6"/>
      <c r="V639" s="5">
        <v>1</v>
      </c>
      <c r="W639" s="6"/>
      <c r="X639" s="6"/>
      <c r="Y639" s="6"/>
      <c r="Z639" s="5">
        <v>1</v>
      </c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</row>
    <row r="640" spans="1:39" s="7" customFormat="1" x14ac:dyDescent="0.25">
      <c r="A640" s="5">
        <v>308</v>
      </c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5">
        <v>1</v>
      </c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</row>
    <row r="641" spans="1:39" s="7" customFormat="1" x14ac:dyDescent="0.25">
      <c r="A641" s="5">
        <v>308</v>
      </c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5">
        <v>1</v>
      </c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5">
        <v>1</v>
      </c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</row>
    <row r="642" spans="1:39" s="7" customFormat="1" x14ac:dyDescent="0.25">
      <c r="A642" s="5">
        <v>309</v>
      </c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5">
        <v>1</v>
      </c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5">
        <v>1</v>
      </c>
      <c r="AH642" s="6"/>
      <c r="AI642" s="6"/>
      <c r="AJ642" s="6"/>
      <c r="AK642" s="6"/>
      <c r="AL642" s="6"/>
      <c r="AM642" s="6"/>
    </row>
    <row r="643" spans="1:39" s="7" customFormat="1" x14ac:dyDescent="0.25">
      <c r="A643" s="5">
        <v>309</v>
      </c>
      <c r="B643" s="6"/>
      <c r="C643" s="6"/>
      <c r="D643" s="6"/>
      <c r="E643" s="6"/>
      <c r="F643" s="6"/>
      <c r="G643" s="6"/>
      <c r="H643" s="5">
        <v>1</v>
      </c>
      <c r="I643" s="6"/>
      <c r="J643" s="6"/>
      <c r="K643" s="6"/>
      <c r="L643" s="6"/>
      <c r="M643" s="6"/>
      <c r="N643" s="6"/>
      <c r="O643" s="6"/>
      <c r="P643" s="5">
        <v>1</v>
      </c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5">
        <v>1</v>
      </c>
      <c r="AF643" s="6"/>
      <c r="AG643" s="6"/>
      <c r="AH643" s="5">
        <v>1</v>
      </c>
      <c r="AI643" s="6"/>
      <c r="AJ643" s="6"/>
      <c r="AK643" s="6"/>
      <c r="AL643" s="6"/>
      <c r="AM643" s="6"/>
    </row>
    <row r="644" spans="1:39" s="7" customFormat="1" x14ac:dyDescent="0.25">
      <c r="A644" s="5">
        <v>309</v>
      </c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5">
        <v>1</v>
      </c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5">
        <v>1</v>
      </c>
      <c r="AK644" s="6"/>
      <c r="AL644" s="6"/>
      <c r="AM644" s="6"/>
    </row>
    <row r="645" spans="1:39" s="7" customFormat="1" x14ac:dyDescent="0.25">
      <c r="A645" s="5">
        <v>309</v>
      </c>
      <c r="B645" s="6"/>
      <c r="C645" s="6"/>
      <c r="D645" s="6"/>
      <c r="E645" s="5">
        <v>1</v>
      </c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</row>
    <row r="646" spans="1:39" s="7" customFormat="1" x14ac:dyDescent="0.25">
      <c r="A646" s="5">
        <v>309</v>
      </c>
      <c r="B646" s="6"/>
      <c r="C646" s="6"/>
      <c r="D646" s="6"/>
      <c r="E646" s="6"/>
      <c r="F646" s="6"/>
      <c r="G646" s="6"/>
      <c r="H646" s="6"/>
      <c r="I646" s="5">
        <v>1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5">
        <v>1</v>
      </c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</row>
    <row r="647" spans="1:39" s="7" customFormat="1" x14ac:dyDescent="0.25">
      <c r="A647" s="5">
        <v>309</v>
      </c>
      <c r="B647" s="6"/>
      <c r="C647" s="6"/>
      <c r="D647" s="6"/>
      <c r="E647" s="6"/>
      <c r="F647" s="6"/>
      <c r="G647" s="6"/>
      <c r="H647" s="6"/>
      <c r="I647" s="6"/>
      <c r="J647" s="5">
        <v>1</v>
      </c>
      <c r="K647" s="6"/>
      <c r="L647" s="6"/>
      <c r="M647" s="6"/>
      <c r="N647" s="6"/>
      <c r="O647" s="5">
        <v>1</v>
      </c>
      <c r="P647" s="6"/>
      <c r="Q647" s="6"/>
      <c r="R647" s="5">
        <v>1</v>
      </c>
      <c r="S647" s="6"/>
      <c r="T647" s="6"/>
      <c r="U647" s="6"/>
      <c r="V647" s="6"/>
      <c r="W647" s="6"/>
      <c r="X647" s="6"/>
      <c r="Y647" s="6"/>
      <c r="Z647" s="6"/>
      <c r="AA647" s="6"/>
      <c r="AB647" s="5">
        <v>1</v>
      </c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</row>
    <row r="648" spans="1:39" s="7" customFormat="1" x14ac:dyDescent="0.25">
      <c r="A648" s="5">
        <v>309</v>
      </c>
      <c r="B648" s="5">
        <v>1</v>
      </c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5">
        <v>1</v>
      </c>
      <c r="AG648" s="6"/>
      <c r="AH648" s="6"/>
      <c r="AI648" s="6"/>
      <c r="AJ648" s="6"/>
      <c r="AK648" s="6"/>
      <c r="AL648" s="6"/>
      <c r="AM648" s="6"/>
    </row>
    <row r="649" spans="1:39" s="7" customFormat="1" x14ac:dyDescent="0.25">
      <c r="A649" s="5">
        <v>309</v>
      </c>
      <c r="B649" s="6"/>
      <c r="C649" s="6"/>
      <c r="D649" s="6"/>
      <c r="E649" s="6"/>
      <c r="F649" s="5">
        <v>1</v>
      </c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</row>
    <row r="650" spans="1:39" s="7" customFormat="1" x14ac:dyDescent="0.25">
      <c r="A650" s="5">
        <v>309</v>
      </c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5">
        <v>1</v>
      </c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</row>
    <row r="651" spans="1:39" s="7" customFormat="1" x14ac:dyDescent="0.25">
      <c r="A651" s="5">
        <v>309</v>
      </c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5">
        <v>1</v>
      </c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</row>
    <row r="652" spans="1:39" s="7" customFormat="1" x14ac:dyDescent="0.25">
      <c r="A652" s="5">
        <v>309</v>
      </c>
      <c r="B652" s="6"/>
      <c r="C652" s="6"/>
      <c r="D652" s="6"/>
      <c r="E652" s="6"/>
      <c r="F652" s="6"/>
      <c r="G652" s="6"/>
      <c r="H652" s="6"/>
      <c r="I652" s="6"/>
      <c r="J652" s="6"/>
      <c r="K652" s="5">
        <v>1</v>
      </c>
      <c r="L652" s="6"/>
      <c r="M652" s="5">
        <v>1</v>
      </c>
      <c r="N652" s="6"/>
      <c r="O652" s="6"/>
      <c r="P652" s="6"/>
      <c r="Q652" s="6"/>
      <c r="R652" s="6"/>
      <c r="S652" s="6"/>
      <c r="T652" s="6"/>
      <c r="U652" s="5">
        <v>1</v>
      </c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</row>
    <row r="653" spans="1:39" s="7" customFormat="1" x14ac:dyDescent="0.25">
      <c r="A653" s="5">
        <v>309</v>
      </c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5">
        <v>1</v>
      </c>
      <c r="AD653" s="6"/>
      <c r="AE653" s="6"/>
      <c r="AF653" s="6"/>
      <c r="AG653" s="6"/>
      <c r="AH653" s="6"/>
      <c r="AI653" s="6"/>
      <c r="AJ653" s="6"/>
      <c r="AK653" s="5">
        <v>1</v>
      </c>
      <c r="AL653" s="6"/>
      <c r="AM653" s="6"/>
    </row>
    <row r="654" spans="1:39" s="7" customFormat="1" x14ac:dyDescent="0.25">
      <c r="A654" s="5">
        <v>309</v>
      </c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5">
        <v>1</v>
      </c>
      <c r="M654" s="6"/>
      <c r="N654" s="6"/>
      <c r="O654" s="6"/>
      <c r="P654" s="6"/>
      <c r="Q654" s="5">
        <v>1</v>
      </c>
      <c r="R654" s="6"/>
      <c r="S654" s="6"/>
      <c r="T654" s="5">
        <v>1</v>
      </c>
      <c r="U654" s="6"/>
      <c r="V654" s="6"/>
      <c r="W654" s="6"/>
      <c r="X654" s="5">
        <v>1</v>
      </c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</row>
    <row r="655" spans="1:39" s="7" customFormat="1" x14ac:dyDescent="0.25">
      <c r="A655" s="5">
        <v>309</v>
      </c>
      <c r="B655" s="6"/>
      <c r="C655" s="5">
        <v>1</v>
      </c>
      <c r="D655" s="6"/>
      <c r="E655" s="6"/>
      <c r="F655" s="6"/>
      <c r="G655" s="5">
        <v>1</v>
      </c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5">
        <v>1</v>
      </c>
      <c r="W655" s="6"/>
      <c r="X655" s="6"/>
      <c r="Y655" s="6"/>
      <c r="Z655" s="5">
        <v>1</v>
      </c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5">
        <v>1</v>
      </c>
    </row>
    <row r="656" spans="1:39" s="7" customFormat="1" x14ac:dyDescent="0.25">
      <c r="A656" s="5">
        <v>309</v>
      </c>
      <c r="B656" s="6"/>
      <c r="C656" s="6"/>
      <c r="D656" s="5">
        <v>1</v>
      </c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5">
        <v>1</v>
      </c>
      <c r="AM656" s="6"/>
    </row>
    <row r="657" spans="1:39" s="7" customFormat="1" x14ac:dyDescent="0.25">
      <c r="A657" s="5">
        <v>309</v>
      </c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5">
        <v>1</v>
      </c>
      <c r="AE657" s="6"/>
      <c r="AF657" s="6"/>
      <c r="AG657" s="6"/>
      <c r="AH657" s="6"/>
      <c r="AI657" s="6"/>
      <c r="AJ657" s="6"/>
      <c r="AK657" s="6"/>
      <c r="AL657" s="6"/>
      <c r="AM657" s="6"/>
    </row>
    <row r="658" spans="1:39" s="7" customFormat="1" x14ac:dyDescent="0.25">
      <c r="A658" s="5">
        <v>309</v>
      </c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5">
        <v>1</v>
      </c>
      <c r="AJ658" s="6"/>
      <c r="AK658" s="6"/>
      <c r="AL658" s="6"/>
      <c r="AM658" s="6"/>
    </row>
    <row r="659" spans="1:39" s="7" customFormat="1" x14ac:dyDescent="0.25">
      <c r="A659" s="5">
        <v>310</v>
      </c>
      <c r="B659" s="5">
        <v>1</v>
      </c>
      <c r="C659" s="6"/>
      <c r="D659" s="5">
        <v>1</v>
      </c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5">
        <v>1</v>
      </c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5">
        <v>1</v>
      </c>
      <c r="AM659" s="6"/>
    </row>
    <row r="660" spans="1:39" s="7" customFormat="1" x14ac:dyDescent="0.25">
      <c r="A660" s="5">
        <v>310</v>
      </c>
      <c r="B660" s="6"/>
      <c r="C660" s="6"/>
      <c r="D660" s="6"/>
      <c r="E660" s="5">
        <v>1</v>
      </c>
      <c r="F660" s="5">
        <v>1</v>
      </c>
      <c r="G660" s="6"/>
      <c r="H660" s="6"/>
      <c r="I660" s="6"/>
      <c r="J660" s="6"/>
      <c r="K660" s="5">
        <v>1</v>
      </c>
      <c r="L660" s="6"/>
      <c r="M660" s="6"/>
      <c r="N660" s="5">
        <v>1</v>
      </c>
      <c r="O660" s="6"/>
      <c r="P660" s="6"/>
      <c r="Q660" s="6"/>
      <c r="R660" s="6"/>
      <c r="S660" s="6"/>
      <c r="T660" s="6"/>
      <c r="U660" s="5">
        <v>1</v>
      </c>
      <c r="V660" s="6"/>
      <c r="W660" s="6"/>
      <c r="X660" s="6"/>
      <c r="Y660" s="6"/>
      <c r="Z660" s="6"/>
      <c r="AA660" s="6"/>
      <c r="AB660" s="6"/>
      <c r="AC660" s="6"/>
      <c r="AD660" s="5">
        <v>1</v>
      </c>
      <c r="AE660" s="6"/>
      <c r="AF660" s="6"/>
      <c r="AG660" s="5">
        <v>1</v>
      </c>
      <c r="AH660" s="6"/>
      <c r="AI660" s="6"/>
      <c r="AJ660" s="6"/>
      <c r="AK660" s="6"/>
      <c r="AL660" s="6"/>
      <c r="AM660" s="6"/>
    </row>
    <row r="661" spans="1:39" s="7" customFormat="1" x14ac:dyDescent="0.25">
      <c r="A661" s="5">
        <v>310</v>
      </c>
      <c r="B661" s="6"/>
      <c r="C661" s="6"/>
      <c r="D661" s="6"/>
      <c r="E661" s="6"/>
      <c r="F661" s="6"/>
      <c r="G661" s="6"/>
      <c r="H661" s="5">
        <v>1</v>
      </c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5">
        <v>1</v>
      </c>
      <c r="X661" s="6"/>
      <c r="Y661" s="6"/>
      <c r="Z661" s="6"/>
      <c r="AA661" s="6"/>
      <c r="AB661" s="6"/>
      <c r="AC661" s="6"/>
      <c r="AD661" s="6"/>
      <c r="AE661" s="5">
        <v>1</v>
      </c>
      <c r="AF661" s="6"/>
      <c r="AG661" s="6"/>
      <c r="AH661" s="6"/>
      <c r="AI661" s="6"/>
      <c r="AJ661" s="6"/>
      <c r="AK661" s="5">
        <v>1</v>
      </c>
      <c r="AL661" s="6"/>
      <c r="AM661" s="6"/>
    </row>
    <row r="662" spans="1:39" s="7" customFormat="1" x14ac:dyDescent="0.25">
      <c r="A662" s="5">
        <v>310</v>
      </c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5">
        <v>1</v>
      </c>
      <c r="R662" s="6"/>
      <c r="S662" s="6"/>
      <c r="T662" s="5">
        <v>1</v>
      </c>
      <c r="U662" s="6"/>
      <c r="V662" s="6"/>
      <c r="W662" s="6"/>
      <c r="X662" s="6"/>
      <c r="Y662" s="6"/>
      <c r="Z662" s="6"/>
      <c r="AA662" s="5">
        <v>1</v>
      </c>
      <c r="AB662" s="6"/>
      <c r="AC662" s="6"/>
      <c r="AD662" s="6"/>
      <c r="AE662" s="6"/>
      <c r="AF662" s="6"/>
      <c r="AG662" s="6"/>
      <c r="AH662" s="6"/>
      <c r="AI662" s="5">
        <v>1</v>
      </c>
      <c r="AJ662" s="6"/>
      <c r="AK662" s="6"/>
      <c r="AL662" s="6"/>
      <c r="AM662" s="6"/>
    </row>
    <row r="663" spans="1:39" s="7" customFormat="1" x14ac:dyDescent="0.25">
      <c r="A663" s="5">
        <v>310</v>
      </c>
      <c r="B663" s="6"/>
      <c r="C663" s="5">
        <v>1</v>
      </c>
      <c r="D663" s="6"/>
      <c r="E663" s="6"/>
      <c r="F663" s="6"/>
      <c r="G663" s="5">
        <v>1</v>
      </c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5">
        <v>1</v>
      </c>
      <c r="S663" s="5">
        <v>1</v>
      </c>
      <c r="T663" s="6"/>
      <c r="U663" s="6"/>
      <c r="V663" s="6"/>
      <c r="W663" s="6"/>
      <c r="X663" s="6"/>
      <c r="Y663" s="6"/>
      <c r="Z663" s="6"/>
      <c r="AA663" s="6"/>
      <c r="AB663" s="5">
        <v>1</v>
      </c>
      <c r="AC663" s="6"/>
      <c r="AD663" s="6"/>
      <c r="AE663" s="6"/>
      <c r="AF663" s="6"/>
      <c r="AG663" s="6"/>
      <c r="AH663" s="6"/>
      <c r="AI663" s="6"/>
      <c r="AJ663" s="5">
        <v>1</v>
      </c>
      <c r="AK663" s="6"/>
      <c r="AL663" s="6"/>
      <c r="AM663" s="5">
        <v>1</v>
      </c>
    </row>
    <row r="664" spans="1:39" s="7" customFormat="1" x14ac:dyDescent="0.25">
      <c r="A664" s="5">
        <v>310</v>
      </c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5">
        <v>1</v>
      </c>
      <c r="AG664" s="6"/>
      <c r="AH664" s="6"/>
      <c r="AI664" s="6"/>
      <c r="AJ664" s="6"/>
      <c r="AK664" s="6"/>
      <c r="AL664" s="6"/>
      <c r="AM664" s="6"/>
    </row>
    <row r="665" spans="1:39" s="7" customFormat="1" x14ac:dyDescent="0.25">
      <c r="A665" s="5">
        <v>310</v>
      </c>
      <c r="B665" s="6"/>
      <c r="C665" s="6"/>
      <c r="D665" s="6"/>
      <c r="E665" s="6"/>
      <c r="F665" s="6"/>
      <c r="G665" s="6"/>
      <c r="H665" s="6"/>
      <c r="I665" s="5">
        <v>1</v>
      </c>
      <c r="J665" s="6"/>
      <c r="K665" s="6"/>
      <c r="L665" s="6"/>
      <c r="M665" s="6"/>
      <c r="N665" s="6"/>
      <c r="O665" s="6"/>
      <c r="P665" s="5">
        <v>1</v>
      </c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5">
        <v>1</v>
      </c>
      <c r="AD665" s="6"/>
      <c r="AE665" s="6"/>
      <c r="AF665" s="6"/>
      <c r="AG665" s="6"/>
      <c r="AH665" s="5">
        <v>1</v>
      </c>
      <c r="AI665" s="6"/>
      <c r="AJ665" s="6"/>
      <c r="AK665" s="6"/>
      <c r="AL665" s="6"/>
      <c r="AM665" s="6"/>
    </row>
    <row r="666" spans="1:39" s="7" customFormat="1" x14ac:dyDescent="0.25">
      <c r="A666" s="5">
        <v>310</v>
      </c>
      <c r="B666" s="6"/>
      <c r="C666" s="6"/>
      <c r="D666" s="6"/>
      <c r="E666" s="6"/>
      <c r="F666" s="6"/>
      <c r="G666" s="6"/>
      <c r="H666" s="6"/>
      <c r="I666" s="6"/>
      <c r="J666" s="5">
        <v>1</v>
      </c>
      <c r="K666" s="6"/>
      <c r="L666" s="6"/>
      <c r="M666" s="6"/>
      <c r="N666" s="6"/>
      <c r="O666" s="5">
        <v>1</v>
      </c>
      <c r="P666" s="6"/>
      <c r="Q666" s="6"/>
      <c r="R666" s="6"/>
      <c r="S666" s="6"/>
      <c r="T666" s="6"/>
      <c r="U666" s="6"/>
      <c r="V666" s="5">
        <v>1</v>
      </c>
      <c r="W666" s="6"/>
      <c r="X666" s="6"/>
      <c r="Y666" s="6"/>
      <c r="Z666" s="5">
        <v>1</v>
      </c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</row>
    <row r="667" spans="1:39" s="7" customFormat="1" x14ac:dyDescent="0.25">
      <c r="A667" s="5">
        <v>310</v>
      </c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5">
        <v>1</v>
      </c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</row>
    <row r="668" spans="1:39" s="7" customFormat="1" x14ac:dyDescent="0.25">
      <c r="A668" s="5">
        <v>310</v>
      </c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5">
        <v>1</v>
      </c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5">
        <v>1</v>
      </c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</row>
    <row r="669" spans="1:39" s="7" customFormat="1" x14ac:dyDescent="0.25">
      <c r="A669" s="5">
        <v>311</v>
      </c>
      <c r="B669" s="5">
        <v>1</v>
      </c>
      <c r="C669" s="5">
        <v>1</v>
      </c>
      <c r="D669" s="5">
        <v>1</v>
      </c>
      <c r="E669" s="5">
        <v>1</v>
      </c>
      <c r="F669" s="5">
        <v>1</v>
      </c>
      <c r="G669" s="5">
        <v>1</v>
      </c>
      <c r="H669" s="5">
        <v>1</v>
      </c>
      <c r="I669" s="5">
        <v>1</v>
      </c>
      <c r="J669" s="5">
        <v>1</v>
      </c>
      <c r="K669" s="5">
        <v>1</v>
      </c>
      <c r="L669" s="5">
        <v>1</v>
      </c>
      <c r="M669" s="5">
        <v>1</v>
      </c>
      <c r="N669" s="5">
        <v>1</v>
      </c>
      <c r="O669" s="5">
        <v>1</v>
      </c>
      <c r="P669" s="5">
        <v>1</v>
      </c>
      <c r="Q669" s="5">
        <v>1</v>
      </c>
      <c r="R669" s="5">
        <v>1</v>
      </c>
      <c r="S669" s="5">
        <v>1</v>
      </c>
      <c r="T669" s="5">
        <v>1</v>
      </c>
      <c r="U669" s="5">
        <v>1</v>
      </c>
      <c r="V669" s="5">
        <v>1</v>
      </c>
      <c r="W669" s="5">
        <v>1</v>
      </c>
      <c r="X669" s="5">
        <v>1</v>
      </c>
      <c r="Y669" s="5">
        <v>1</v>
      </c>
      <c r="Z669" s="5">
        <v>1</v>
      </c>
      <c r="AA669" s="5">
        <v>1</v>
      </c>
      <c r="AB669" s="5">
        <v>1</v>
      </c>
      <c r="AC669" s="5">
        <v>1</v>
      </c>
      <c r="AD669" s="5">
        <v>1</v>
      </c>
      <c r="AE669" s="5">
        <v>1</v>
      </c>
      <c r="AF669" s="5">
        <v>1</v>
      </c>
      <c r="AG669" s="5">
        <v>1</v>
      </c>
      <c r="AH669" s="5">
        <v>1</v>
      </c>
      <c r="AI669" s="5">
        <v>1</v>
      </c>
      <c r="AJ669" s="5">
        <v>1</v>
      </c>
      <c r="AK669" s="5">
        <v>1</v>
      </c>
      <c r="AL669" s="5">
        <v>1</v>
      </c>
      <c r="AM669" s="5">
        <v>1</v>
      </c>
    </row>
    <row r="670" spans="1:39" s="7" customFormat="1" x14ac:dyDescent="0.25">
      <c r="A670" s="5">
        <v>312</v>
      </c>
      <c r="B670" s="5">
        <v>1</v>
      </c>
      <c r="C670" s="5">
        <v>1</v>
      </c>
      <c r="D670" s="5">
        <v>1</v>
      </c>
      <c r="E670" s="5">
        <v>1</v>
      </c>
      <c r="F670" s="5">
        <v>1</v>
      </c>
      <c r="G670" s="5">
        <v>1</v>
      </c>
      <c r="H670" s="5">
        <v>1</v>
      </c>
      <c r="I670" s="5">
        <v>1</v>
      </c>
      <c r="J670" s="5">
        <v>1</v>
      </c>
      <c r="K670" s="5">
        <v>1</v>
      </c>
      <c r="L670" s="5">
        <v>1</v>
      </c>
      <c r="M670" s="5">
        <v>1</v>
      </c>
      <c r="N670" s="5">
        <v>1</v>
      </c>
      <c r="O670" s="5">
        <v>1</v>
      </c>
      <c r="P670" s="5">
        <v>1</v>
      </c>
      <c r="Q670" s="5">
        <v>1</v>
      </c>
      <c r="R670" s="5">
        <v>1</v>
      </c>
      <c r="S670" s="5">
        <v>1</v>
      </c>
      <c r="T670" s="5">
        <v>1</v>
      </c>
      <c r="U670" s="5">
        <v>1</v>
      </c>
      <c r="V670" s="5">
        <v>1</v>
      </c>
      <c r="W670" s="5">
        <v>1</v>
      </c>
      <c r="X670" s="5">
        <v>1</v>
      </c>
      <c r="Y670" s="5">
        <v>1</v>
      </c>
      <c r="Z670" s="5">
        <v>1</v>
      </c>
      <c r="AA670" s="5">
        <v>1</v>
      </c>
      <c r="AB670" s="5">
        <v>1</v>
      </c>
      <c r="AC670" s="5">
        <v>1</v>
      </c>
      <c r="AD670" s="5">
        <v>1</v>
      </c>
      <c r="AE670" s="5">
        <v>1</v>
      </c>
      <c r="AF670" s="5">
        <v>1</v>
      </c>
      <c r="AG670" s="5">
        <v>1</v>
      </c>
      <c r="AH670" s="5">
        <v>1</v>
      </c>
      <c r="AI670" s="5">
        <v>1</v>
      </c>
      <c r="AJ670" s="5">
        <v>1</v>
      </c>
      <c r="AK670" s="5">
        <v>1</v>
      </c>
      <c r="AL670" s="5">
        <v>1</v>
      </c>
      <c r="AM670" s="5">
        <v>1</v>
      </c>
    </row>
    <row r="671" spans="1:39" s="7" customFormat="1" x14ac:dyDescent="0.25">
      <c r="A671" s="5">
        <v>313</v>
      </c>
      <c r="B671" s="5">
        <v>1</v>
      </c>
      <c r="C671" s="5">
        <v>1</v>
      </c>
      <c r="D671" s="5">
        <v>1</v>
      </c>
      <c r="E671" s="5">
        <v>1</v>
      </c>
      <c r="F671" s="5">
        <v>1</v>
      </c>
      <c r="G671" s="5">
        <v>1</v>
      </c>
      <c r="H671" s="5">
        <v>1</v>
      </c>
      <c r="I671" s="5">
        <v>1</v>
      </c>
      <c r="J671" s="5">
        <v>1</v>
      </c>
      <c r="K671" s="5">
        <v>1</v>
      </c>
      <c r="L671" s="5">
        <v>1</v>
      </c>
      <c r="M671" s="5">
        <v>1</v>
      </c>
      <c r="N671" s="5">
        <v>1</v>
      </c>
      <c r="O671" s="5">
        <v>1</v>
      </c>
      <c r="P671" s="5">
        <v>1</v>
      </c>
      <c r="Q671" s="5">
        <v>1</v>
      </c>
      <c r="R671" s="5">
        <v>1</v>
      </c>
      <c r="S671" s="5">
        <v>1</v>
      </c>
      <c r="T671" s="5">
        <v>1</v>
      </c>
      <c r="U671" s="5">
        <v>1</v>
      </c>
      <c r="V671" s="5">
        <v>1</v>
      </c>
      <c r="W671" s="5">
        <v>1</v>
      </c>
      <c r="X671" s="5">
        <v>1</v>
      </c>
      <c r="Y671" s="5">
        <v>1</v>
      </c>
      <c r="Z671" s="5">
        <v>1</v>
      </c>
      <c r="AA671" s="5">
        <v>1</v>
      </c>
      <c r="AB671" s="5">
        <v>1</v>
      </c>
      <c r="AC671" s="5">
        <v>1</v>
      </c>
      <c r="AD671" s="5">
        <v>1</v>
      </c>
      <c r="AE671" s="5">
        <v>1</v>
      </c>
      <c r="AF671" s="5">
        <v>1</v>
      </c>
      <c r="AG671" s="5">
        <v>1</v>
      </c>
      <c r="AH671" s="5">
        <v>1</v>
      </c>
      <c r="AI671" s="5">
        <v>1</v>
      </c>
      <c r="AJ671" s="5">
        <v>1</v>
      </c>
      <c r="AK671" s="5">
        <v>1</v>
      </c>
      <c r="AL671" s="5">
        <v>1</v>
      </c>
      <c r="AM671" s="5">
        <v>1</v>
      </c>
    </row>
    <row r="672" spans="1:39" s="7" customFormat="1" x14ac:dyDescent="0.25">
      <c r="A672" s="5">
        <v>314</v>
      </c>
      <c r="B672" s="5">
        <v>1</v>
      </c>
      <c r="C672" s="5">
        <v>1</v>
      </c>
      <c r="D672" s="5">
        <v>1</v>
      </c>
      <c r="E672" s="5">
        <v>1</v>
      </c>
      <c r="F672" s="5">
        <v>1</v>
      </c>
      <c r="G672" s="5">
        <v>1</v>
      </c>
      <c r="H672" s="5">
        <v>1</v>
      </c>
      <c r="I672" s="5">
        <v>1</v>
      </c>
      <c r="J672" s="5">
        <v>1</v>
      </c>
      <c r="K672" s="5">
        <v>1</v>
      </c>
      <c r="L672" s="5">
        <v>1</v>
      </c>
      <c r="M672" s="5">
        <v>1</v>
      </c>
      <c r="N672" s="5">
        <v>1</v>
      </c>
      <c r="O672" s="5">
        <v>1</v>
      </c>
      <c r="P672" s="5">
        <v>1</v>
      </c>
      <c r="Q672" s="5">
        <v>1</v>
      </c>
      <c r="R672" s="5">
        <v>1</v>
      </c>
      <c r="S672" s="5">
        <v>1</v>
      </c>
      <c r="T672" s="5">
        <v>1</v>
      </c>
      <c r="U672" s="5">
        <v>1</v>
      </c>
      <c r="V672" s="5">
        <v>1</v>
      </c>
      <c r="W672" s="5">
        <v>1</v>
      </c>
      <c r="X672" s="5">
        <v>1</v>
      </c>
      <c r="Y672" s="5">
        <v>1</v>
      </c>
      <c r="Z672" s="5">
        <v>1</v>
      </c>
      <c r="AA672" s="5">
        <v>1</v>
      </c>
      <c r="AB672" s="5">
        <v>1</v>
      </c>
      <c r="AC672" s="5">
        <v>1</v>
      </c>
      <c r="AD672" s="5">
        <v>1</v>
      </c>
      <c r="AE672" s="5">
        <v>1</v>
      </c>
      <c r="AF672" s="5">
        <v>1</v>
      </c>
      <c r="AG672" s="5">
        <v>1</v>
      </c>
      <c r="AH672" s="5">
        <v>1</v>
      </c>
      <c r="AI672" s="5">
        <v>1</v>
      </c>
      <c r="AJ672" s="5">
        <v>1</v>
      </c>
      <c r="AK672" s="5">
        <v>1</v>
      </c>
      <c r="AL672" s="5">
        <v>1</v>
      </c>
      <c r="AM672" s="5">
        <v>1</v>
      </c>
    </row>
    <row r="673" spans="1:39" s="7" customFormat="1" x14ac:dyDescent="0.25">
      <c r="A673" s="5">
        <v>315</v>
      </c>
      <c r="B673" s="5">
        <v>1</v>
      </c>
      <c r="C673" s="5">
        <v>1</v>
      </c>
      <c r="D673" s="5">
        <v>1</v>
      </c>
      <c r="E673" s="5">
        <v>1</v>
      </c>
      <c r="F673" s="5">
        <v>1</v>
      </c>
      <c r="G673" s="5">
        <v>1</v>
      </c>
      <c r="H673" s="5">
        <v>1</v>
      </c>
      <c r="I673" s="5">
        <v>1</v>
      </c>
      <c r="J673" s="5">
        <v>1</v>
      </c>
      <c r="K673" s="5">
        <v>1</v>
      </c>
      <c r="L673" s="5">
        <v>1</v>
      </c>
      <c r="M673" s="5">
        <v>1</v>
      </c>
      <c r="N673" s="5">
        <v>1</v>
      </c>
      <c r="O673" s="5">
        <v>1</v>
      </c>
      <c r="P673" s="5">
        <v>1</v>
      </c>
      <c r="Q673" s="5">
        <v>1</v>
      </c>
      <c r="R673" s="5">
        <v>1</v>
      </c>
      <c r="S673" s="5">
        <v>1</v>
      </c>
      <c r="T673" s="5">
        <v>1</v>
      </c>
      <c r="U673" s="5">
        <v>1</v>
      </c>
      <c r="V673" s="5">
        <v>1</v>
      </c>
      <c r="W673" s="5">
        <v>1</v>
      </c>
      <c r="X673" s="5">
        <v>1</v>
      </c>
      <c r="Y673" s="5">
        <v>1</v>
      </c>
      <c r="Z673" s="5">
        <v>1</v>
      </c>
      <c r="AA673" s="5">
        <v>1</v>
      </c>
      <c r="AB673" s="5">
        <v>1</v>
      </c>
      <c r="AC673" s="5">
        <v>1</v>
      </c>
      <c r="AD673" s="5">
        <v>1</v>
      </c>
      <c r="AE673" s="5">
        <v>1</v>
      </c>
      <c r="AF673" s="5">
        <v>1</v>
      </c>
      <c r="AG673" s="5">
        <v>1</v>
      </c>
      <c r="AH673" s="5">
        <v>1</v>
      </c>
      <c r="AI673" s="5">
        <v>1</v>
      </c>
      <c r="AJ673" s="5">
        <v>1</v>
      </c>
      <c r="AK673" s="5">
        <v>1</v>
      </c>
      <c r="AL673" s="5">
        <v>1</v>
      </c>
      <c r="AM673" s="5">
        <v>1</v>
      </c>
    </row>
    <row r="674" spans="1:39" s="7" customFormat="1" x14ac:dyDescent="0.25">
      <c r="A674" s="5">
        <v>316</v>
      </c>
      <c r="B674" s="5">
        <v>1</v>
      </c>
      <c r="C674" s="5">
        <v>1</v>
      </c>
      <c r="D674" s="5">
        <v>1</v>
      </c>
      <c r="E674" s="5">
        <v>1</v>
      </c>
      <c r="F674" s="5">
        <v>1</v>
      </c>
      <c r="G674" s="5">
        <v>1</v>
      </c>
      <c r="H674" s="5">
        <v>1</v>
      </c>
      <c r="I674" s="5">
        <v>1</v>
      </c>
      <c r="J674" s="5">
        <v>1</v>
      </c>
      <c r="K674" s="5">
        <v>1</v>
      </c>
      <c r="L674" s="5">
        <v>1</v>
      </c>
      <c r="M674" s="5">
        <v>1</v>
      </c>
      <c r="N674" s="5">
        <v>1</v>
      </c>
      <c r="O674" s="5">
        <v>1</v>
      </c>
      <c r="P674" s="5">
        <v>1</v>
      </c>
      <c r="Q674" s="5">
        <v>1</v>
      </c>
      <c r="R674" s="5">
        <v>1</v>
      </c>
      <c r="S674" s="5">
        <v>1</v>
      </c>
      <c r="T674" s="5">
        <v>1</v>
      </c>
      <c r="U674" s="5">
        <v>1</v>
      </c>
      <c r="V674" s="5">
        <v>1</v>
      </c>
      <c r="W674" s="5">
        <v>1</v>
      </c>
      <c r="X674" s="5">
        <v>1</v>
      </c>
      <c r="Y674" s="5">
        <v>1</v>
      </c>
      <c r="Z674" s="5">
        <v>1</v>
      </c>
      <c r="AA674" s="5">
        <v>1</v>
      </c>
      <c r="AB674" s="5">
        <v>1</v>
      </c>
      <c r="AC674" s="5">
        <v>1</v>
      </c>
      <c r="AD674" s="5">
        <v>1</v>
      </c>
      <c r="AE674" s="5">
        <v>1</v>
      </c>
      <c r="AF674" s="5">
        <v>1</v>
      </c>
      <c r="AG674" s="5">
        <v>1</v>
      </c>
      <c r="AH674" s="5">
        <v>1</v>
      </c>
      <c r="AI674" s="5">
        <v>1</v>
      </c>
      <c r="AJ674" s="5">
        <v>1</v>
      </c>
      <c r="AK674" s="5">
        <v>1</v>
      </c>
      <c r="AL674" s="5">
        <v>1</v>
      </c>
      <c r="AM674" s="5">
        <v>1</v>
      </c>
    </row>
    <row r="675" spans="1:39" s="7" customFormat="1" x14ac:dyDescent="0.25">
      <c r="A675" s="5">
        <v>317</v>
      </c>
      <c r="B675" s="5">
        <v>1</v>
      </c>
      <c r="C675" s="5">
        <v>1</v>
      </c>
      <c r="D675" s="5">
        <v>1</v>
      </c>
      <c r="E675" s="5">
        <v>1</v>
      </c>
      <c r="F675" s="5">
        <v>1</v>
      </c>
      <c r="G675" s="5">
        <v>1</v>
      </c>
      <c r="H675" s="5">
        <v>1</v>
      </c>
      <c r="I675" s="5">
        <v>1</v>
      </c>
      <c r="J675" s="5">
        <v>1</v>
      </c>
      <c r="K675" s="5">
        <v>1</v>
      </c>
      <c r="L675" s="5">
        <v>1</v>
      </c>
      <c r="M675" s="5">
        <v>1</v>
      </c>
      <c r="N675" s="5">
        <v>1</v>
      </c>
      <c r="O675" s="5">
        <v>1</v>
      </c>
      <c r="P675" s="5">
        <v>1</v>
      </c>
      <c r="Q675" s="5">
        <v>1</v>
      </c>
      <c r="R675" s="5">
        <v>1</v>
      </c>
      <c r="S675" s="5">
        <v>1</v>
      </c>
      <c r="T675" s="5">
        <v>1</v>
      </c>
      <c r="U675" s="5">
        <v>1</v>
      </c>
      <c r="V675" s="5">
        <v>1</v>
      </c>
      <c r="W675" s="5">
        <v>1</v>
      </c>
      <c r="X675" s="5">
        <v>1</v>
      </c>
      <c r="Y675" s="5">
        <v>1</v>
      </c>
      <c r="Z675" s="5">
        <v>1</v>
      </c>
      <c r="AA675" s="5">
        <v>1</v>
      </c>
      <c r="AB675" s="5">
        <v>1</v>
      </c>
      <c r="AC675" s="5">
        <v>1</v>
      </c>
      <c r="AD675" s="5">
        <v>1</v>
      </c>
      <c r="AE675" s="5">
        <v>1</v>
      </c>
      <c r="AF675" s="5">
        <v>1</v>
      </c>
      <c r="AG675" s="5">
        <v>1</v>
      </c>
      <c r="AH675" s="5">
        <v>1</v>
      </c>
      <c r="AI675" s="5">
        <v>1</v>
      </c>
      <c r="AJ675" s="5">
        <v>1</v>
      </c>
      <c r="AK675" s="5">
        <v>1</v>
      </c>
      <c r="AL675" s="5">
        <v>1</v>
      </c>
      <c r="AM675" s="5">
        <v>1</v>
      </c>
    </row>
    <row r="676" spans="1:39" s="7" customFormat="1" x14ac:dyDescent="0.25">
      <c r="A676" s="5">
        <v>318</v>
      </c>
      <c r="B676" s="5">
        <v>1</v>
      </c>
      <c r="C676" s="5">
        <v>1</v>
      </c>
      <c r="D676" s="5">
        <v>1</v>
      </c>
      <c r="E676" s="5">
        <v>1</v>
      </c>
      <c r="F676" s="5">
        <v>1</v>
      </c>
      <c r="G676" s="5">
        <v>1</v>
      </c>
      <c r="H676" s="5">
        <v>1</v>
      </c>
      <c r="I676" s="5">
        <v>1</v>
      </c>
      <c r="J676" s="5">
        <v>1</v>
      </c>
      <c r="K676" s="5">
        <v>1</v>
      </c>
      <c r="L676" s="5">
        <v>1</v>
      </c>
      <c r="M676" s="5">
        <v>1</v>
      </c>
      <c r="N676" s="5">
        <v>1</v>
      </c>
      <c r="O676" s="5">
        <v>1</v>
      </c>
      <c r="P676" s="5">
        <v>1</v>
      </c>
      <c r="Q676" s="5">
        <v>1</v>
      </c>
      <c r="R676" s="5">
        <v>1</v>
      </c>
      <c r="S676" s="5">
        <v>1</v>
      </c>
      <c r="T676" s="5">
        <v>1</v>
      </c>
      <c r="U676" s="5">
        <v>1</v>
      </c>
      <c r="V676" s="5">
        <v>1</v>
      </c>
      <c r="W676" s="5">
        <v>1</v>
      </c>
      <c r="X676" s="5">
        <v>1</v>
      </c>
      <c r="Y676" s="5">
        <v>1</v>
      </c>
      <c r="Z676" s="5">
        <v>1</v>
      </c>
      <c r="AA676" s="5">
        <v>1</v>
      </c>
      <c r="AB676" s="5">
        <v>1</v>
      </c>
      <c r="AC676" s="5">
        <v>1</v>
      </c>
      <c r="AD676" s="5">
        <v>1</v>
      </c>
      <c r="AE676" s="5">
        <v>1</v>
      </c>
      <c r="AF676" s="5">
        <v>1</v>
      </c>
      <c r="AG676" s="5">
        <v>1</v>
      </c>
      <c r="AH676" s="5">
        <v>1</v>
      </c>
      <c r="AI676" s="5">
        <v>1</v>
      </c>
      <c r="AJ676" s="5">
        <v>1</v>
      </c>
      <c r="AK676" s="5">
        <v>1</v>
      </c>
      <c r="AL676" s="5">
        <v>1</v>
      </c>
      <c r="AM676" s="5">
        <v>1</v>
      </c>
    </row>
    <row r="677" spans="1:39" s="7" customFormat="1" x14ac:dyDescent="0.25">
      <c r="A677" s="5">
        <v>319</v>
      </c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5">
        <v>1</v>
      </c>
      <c r="AG677" s="6"/>
      <c r="AH677" s="6"/>
      <c r="AI677" s="6"/>
      <c r="AJ677" s="6"/>
      <c r="AK677" s="6"/>
      <c r="AL677" s="6"/>
      <c r="AM677" s="6"/>
    </row>
    <row r="678" spans="1:39" s="7" customFormat="1" x14ac:dyDescent="0.25">
      <c r="A678" s="5">
        <v>319</v>
      </c>
      <c r="B678" s="6"/>
      <c r="C678" s="6"/>
      <c r="D678" s="6"/>
      <c r="E678" s="6"/>
      <c r="F678" s="5">
        <v>1</v>
      </c>
      <c r="G678" s="6"/>
      <c r="H678" s="6"/>
      <c r="I678" s="6"/>
      <c r="J678" s="6"/>
      <c r="K678" s="6"/>
      <c r="L678" s="6"/>
      <c r="M678" s="5">
        <v>1</v>
      </c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5">
        <v>1</v>
      </c>
      <c r="AE678" s="6"/>
      <c r="AF678" s="6"/>
      <c r="AG678" s="6"/>
      <c r="AH678" s="6"/>
      <c r="AI678" s="6"/>
      <c r="AJ678" s="6"/>
      <c r="AK678" s="6"/>
      <c r="AL678" s="6"/>
      <c r="AM678" s="6"/>
    </row>
    <row r="679" spans="1:39" s="7" customFormat="1" x14ac:dyDescent="0.25">
      <c r="A679" s="5">
        <v>319</v>
      </c>
      <c r="B679" s="6"/>
      <c r="C679" s="6"/>
      <c r="D679" s="6"/>
      <c r="E679" s="6"/>
      <c r="F679" s="6"/>
      <c r="G679" s="6"/>
      <c r="H679" s="6"/>
      <c r="I679" s="5">
        <v>1</v>
      </c>
      <c r="J679" s="6"/>
      <c r="K679" s="5">
        <v>1</v>
      </c>
      <c r="L679" s="6"/>
      <c r="M679" s="6"/>
      <c r="N679" s="6"/>
      <c r="O679" s="6"/>
      <c r="P679" s="5">
        <v>1</v>
      </c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5">
        <v>1</v>
      </c>
      <c r="AD679" s="6"/>
      <c r="AE679" s="6"/>
      <c r="AF679" s="6"/>
      <c r="AG679" s="6"/>
      <c r="AH679" s="5">
        <v>1</v>
      </c>
      <c r="AI679" s="6"/>
      <c r="AJ679" s="6"/>
      <c r="AK679" s="6"/>
      <c r="AL679" s="6"/>
      <c r="AM679" s="6"/>
    </row>
    <row r="680" spans="1:39" s="7" customFormat="1" x14ac:dyDescent="0.25">
      <c r="A680" s="5">
        <v>319</v>
      </c>
      <c r="B680" s="6"/>
      <c r="C680" s="6"/>
      <c r="D680" s="6"/>
      <c r="E680" s="6"/>
      <c r="F680" s="6"/>
      <c r="G680" s="6"/>
      <c r="H680" s="5">
        <v>1</v>
      </c>
      <c r="I680" s="6"/>
      <c r="J680" s="6"/>
      <c r="K680" s="6"/>
      <c r="L680" s="5">
        <v>1</v>
      </c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5">
        <v>1</v>
      </c>
      <c r="X680" s="5">
        <v>1</v>
      </c>
      <c r="Y680" s="6"/>
      <c r="Z680" s="6"/>
      <c r="AA680" s="5">
        <v>1</v>
      </c>
      <c r="AB680" s="6"/>
      <c r="AC680" s="6"/>
      <c r="AD680" s="6"/>
      <c r="AE680" s="5">
        <v>1</v>
      </c>
      <c r="AF680" s="6"/>
      <c r="AG680" s="6"/>
      <c r="AH680" s="6"/>
      <c r="AI680" s="5">
        <v>1</v>
      </c>
      <c r="AJ680" s="6"/>
      <c r="AK680" s="5">
        <v>1</v>
      </c>
      <c r="AL680" s="6"/>
      <c r="AM680" s="6"/>
    </row>
    <row r="681" spans="1:39" s="7" customFormat="1" x14ac:dyDescent="0.25">
      <c r="A681" s="5">
        <v>319</v>
      </c>
      <c r="B681" s="6"/>
      <c r="C681" s="6"/>
      <c r="D681" s="6"/>
      <c r="E681" s="6"/>
      <c r="F681" s="6"/>
      <c r="G681" s="6"/>
      <c r="H681" s="6"/>
      <c r="I681" s="6"/>
      <c r="J681" s="5">
        <v>1</v>
      </c>
      <c r="K681" s="6"/>
      <c r="L681" s="6"/>
      <c r="M681" s="6"/>
      <c r="N681" s="6"/>
      <c r="O681" s="5">
        <v>1</v>
      </c>
      <c r="P681" s="6"/>
      <c r="Q681" s="5">
        <v>1</v>
      </c>
      <c r="R681" s="6"/>
      <c r="S681" s="6"/>
      <c r="T681" s="5">
        <v>1</v>
      </c>
      <c r="U681" s="6"/>
      <c r="V681" s="5">
        <v>1</v>
      </c>
      <c r="W681" s="6"/>
      <c r="X681" s="6"/>
      <c r="Y681" s="6"/>
      <c r="Z681" s="5">
        <v>1</v>
      </c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</row>
    <row r="682" spans="1:39" s="7" customFormat="1" x14ac:dyDescent="0.25">
      <c r="A682" s="5">
        <v>319</v>
      </c>
      <c r="B682" s="6"/>
      <c r="C682" s="5">
        <v>1</v>
      </c>
      <c r="D682" s="6"/>
      <c r="E682" s="6"/>
      <c r="F682" s="6"/>
      <c r="G682" s="5">
        <v>1</v>
      </c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5">
        <v>1</v>
      </c>
      <c r="S682" s="5">
        <v>1</v>
      </c>
      <c r="T682" s="6"/>
      <c r="U682" s="6"/>
      <c r="V682" s="6"/>
      <c r="W682" s="6"/>
      <c r="X682" s="6"/>
      <c r="Y682" s="6"/>
      <c r="Z682" s="6"/>
      <c r="AA682" s="6"/>
      <c r="AB682" s="5">
        <v>1</v>
      </c>
      <c r="AC682" s="6"/>
      <c r="AD682" s="6"/>
      <c r="AE682" s="6"/>
      <c r="AF682" s="6"/>
      <c r="AG682" s="6"/>
      <c r="AH682" s="6"/>
      <c r="AI682" s="6"/>
      <c r="AJ682" s="5">
        <v>1</v>
      </c>
      <c r="AK682" s="6"/>
      <c r="AL682" s="6"/>
      <c r="AM682" s="5">
        <v>1</v>
      </c>
    </row>
    <row r="683" spans="1:39" s="7" customFormat="1" x14ac:dyDescent="0.25">
      <c r="A683" s="5">
        <v>319</v>
      </c>
      <c r="B683" s="5">
        <v>1</v>
      </c>
      <c r="C683" s="6"/>
      <c r="D683" s="5">
        <v>1</v>
      </c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5">
        <v>1</v>
      </c>
      <c r="AM683" s="6"/>
    </row>
    <row r="684" spans="1:39" s="7" customFormat="1" x14ac:dyDescent="0.25">
      <c r="A684" s="5">
        <v>319</v>
      </c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5">
        <v>1</v>
      </c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</row>
    <row r="685" spans="1:39" s="7" customFormat="1" x14ac:dyDescent="0.25">
      <c r="A685" s="5">
        <v>319</v>
      </c>
      <c r="B685" s="6"/>
      <c r="C685" s="6"/>
      <c r="D685" s="6"/>
      <c r="E685" s="5">
        <v>1</v>
      </c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5">
        <v>1</v>
      </c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5">
        <v>1</v>
      </c>
      <c r="AH685" s="6"/>
      <c r="AI685" s="6"/>
      <c r="AJ685" s="6"/>
      <c r="AK685" s="6"/>
      <c r="AL685" s="6"/>
      <c r="AM685" s="6"/>
    </row>
    <row r="686" spans="1:39" s="7" customFormat="1" x14ac:dyDescent="0.25">
      <c r="A686" s="5">
        <v>319</v>
      </c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5">
        <v>1</v>
      </c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</row>
    <row r="687" spans="1:39" s="7" customFormat="1" x14ac:dyDescent="0.25">
      <c r="A687" s="5">
        <v>320</v>
      </c>
      <c r="B687" s="5">
        <v>1</v>
      </c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5">
        <v>1</v>
      </c>
      <c r="AG687" s="6"/>
      <c r="AH687" s="6"/>
      <c r="AI687" s="6"/>
      <c r="AJ687" s="6"/>
      <c r="AK687" s="6"/>
      <c r="AL687" s="6"/>
      <c r="AM687" s="6"/>
    </row>
    <row r="688" spans="1:39" s="7" customFormat="1" x14ac:dyDescent="0.25">
      <c r="A688" s="5">
        <v>320</v>
      </c>
      <c r="B688" s="6"/>
      <c r="C688" s="6"/>
      <c r="D688" s="6"/>
      <c r="E688" s="6"/>
      <c r="F688" s="5">
        <v>1</v>
      </c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</row>
    <row r="689" spans="1:39" s="7" customFormat="1" x14ac:dyDescent="0.25">
      <c r="A689" s="5">
        <v>320</v>
      </c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5">
        <v>1</v>
      </c>
      <c r="O689" s="6"/>
      <c r="P689" s="5">
        <v>1</v>
      </c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5">
        <v>1</v>
      </c>
      <c r="AH689" s="5">
        <v>1</v>
      </c>
      <c r="AI689" s="6"/>
      <c r="AJ689" s="6"/>
      <c r="AK689" s="6"/>
      <c r="AL689" s="6"/>
      <c r="AM689" s="6"/>
    </row>
    <row r="690" spans="1:39" s="7" customFormat="1" x14ac:dyDescent="0.25">
      <c r="A690" s="5">
        <v>320</v>
      </c>
      <c r="B690" s="6"/>
      <c r="C690" s="6"/>
      <c r="D690" s="6"/>
      <c r="E690" s="6"/>
      <c r="F690" s="6"/>
      <c r="G690" s="6"/>
      <c r="H690" s="5">
        <v>1</v>
      </c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5">
        <v>1</v>
      </c>
      <c r="AB690" s="6"/>
      <c r="AC690" s="6"/>
      <c r="AD690" s="6"/>
      <c r="AE690" s="5">
        <v>1</v>
      </c>
      <c r="AF690" s="6"/>
      <c r="AG690" s="6"/>
      <c r="AH690" s="6"/>
      <c r="AI690" s="6"/>
      <c r="AJ690" s="6"/>
      <c r="AK690" s="6"/>
      <c r="AL690" s="6"/>
      <c r="AM690" s="6"/>
    </row>
    <row r="691" spans="1:39" s="7" customFormat="1" x14ac:dyDescent="0.25">
      <c r="A691" s="5">
        <v>320</v>
      </c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5">
        <v>1</v>
      </c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5">
        <v>1</v>
      </c>
      <c r="AK691" s="6"/>
      <c r="AL691" s="6"/>
      <c r="AM691" s="6"/>
    </row>
    <row r="692" spans="1:39" s="7" customFormat="1" x14ac:dyDescent="0.25">
      <c r="A692" s="5">
        <v>320</v>
      </c>
      <c r="B692" s="6"/>
      <c r="C692" s="6"/>
      <c r="D692" s="5">
        <v>1</v>
      </c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5">
        <v>1</v>
      </c>
      <c r="AM692" s="6"/>
    </row>
    <row r="693" spans="1:39" s="7" customFormat="1" x14ac:dyDescent="0.25">
      <c r="A693" s="5">
        <v>320</v>
      </c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5">
        <v>1</v>
      </c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5">
        <v>1</v>
      </c>
      <c r="Z693" s="6"/>
      <c r="AA693" s="6"/>
      <c r="AB693" s="6"/>
      <c r="AC693" s="6"/>
      <c r="AD693" s="5">
        <v>1</v>
      </c>
      <c r="AE693" s="6"/>
      <c r="AF693" s="6"/>
      <c r="AG693" s="6"/>
      <c r="AH693" s="6"/>
      <c r="AI693" s="6"/>
      <c r="AJ693" s="6"/>
      <c r="AK693" s="6"/>
      <c r="AL693" s="6"/>
      <c r="AM693" s="6"/>
    </row>
    <row r="694" spans="1:39" s="7" customFormat="1" x14ac:dyDescent="0.25">
      <c r="A694" s="5">
        <v>320</v>
      </c>
      <c r="B694" s="6"/>
      <c r="C694" s="6"/>
      <c r="D694" s="6"/>
      <c r="E694" s="5">
        <v>1</v>
      </c>
      <c r="F694" s="6"/>
      <c r="G694" s="6"/>
      <c r="H694" s="6"/>
      <c r="I694" s="5">
        <v>1</v>
      </c>
      <c r="J694" s="6"/>
      <c r="K694" s="5">
        <v>1</v>
      </c>
      <c r="L694" s="6"/>
      <c r="M694" s="6"/>
      <c r="N694" s="6"/>
      <c r="O694" s="6"/>
      <c r="P694" s="6"/>
      <c r="Q694" s="6"/>
      <c r="R694" s="6"/>
      <c r="S694" s="6"/>
      <c r="T694" s="6"/>
      <c r="U694" s="5">
        <v>1</v>
      </c>
      <c r="V694" s="6"/>
      <c r="W694" s="6"/>
      <c r="X694" s="6"/>
      <c r="Y694" s="6"/>
      <c r="Z694" s="6"/>
      <c r="AA694" s="6"/>
      <c r="AB694" s="6"/>
      <c r="AC694" s="5">
        <v>1</v>
      </c>
      <c r="AD694" s="6"/>
      <c r="AE694" s="6"/>
      <c r="AF694" s="6"/>
      <c r="AG694" s="6"/>
      <c r="AH694" s="6"/>
      <c r="AI694" s="6"/>
      <c r="AJ694" s="6"/>
      <c r="AK694" s="6"/>
      <c r="AL694" s="6"/>
      <c r="AM694" s="6"/>
    </row>
    <row r="695" spans="1:39" s="7" customFormat="1" x14ac:dyDescent="0.25">
      <c r="A695" s="5">
        <v>320</v>
      </c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5">
        <v>1</v>
      </c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5">
        <v>1</v>
      </c>
      <c r="X695" s="5">
        <v>1</v>
      </c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5">
        <v>1</v>
      </c>
      <c r="AJ695" s="6"/>
      <c r="AK695" s="5">
        <v>1</v>
      </c>
      <c r="AL695" s="6"/>
      <c r="AM695" s="6"/>
    </row>
    <row r="696" spans="1:39" s="7" customFormat="1" x14ac:dyDescent="0.25">
      <c r="A696" s="5">
        <v>320</v>
      </c>
      <c r="B696" s="6"/>
      <c r="C696" s="6"/>
      <c r="D696" s="6"/>
      <c r="E696" s="6"/>
      <c r="F696" s="6"/>
      <c r="G696" s="6"/>
      <c r="H696" s="6"/>
      <c r="I696" s="6"/>
      <c r="J696" s="5">
        <v>1</v>
      </c>
      <c r="K696" s="6"/>
      <c r="L696" s="6"/>
      <c r="M696" s="6"/>
      <c r="N696" s="6"/>
      <c r="O696" s="5">
        <v>1</v>
      </c>
      <c r="P696" s="6"/>
      <c r="Q696" s="5">
        <v>1</v>
      </c>
      <c r="R696" s="6"/>
      <c r="S696" s="6"/>
      <c r="T696" s="5">
        <v>1</v>
      </c>
      <c r="U696" s="6"/>
      <c r="V696" s="5">
        <v>1</v>
      </c>
      <c r="W696" s="6"/>
      <c r="X696" s="6"/>
      <c r="Y696" s="6"/>
      <c r="Z696" s="5">
        <v>1</v>
      </c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</row>
    <row r="697" spans="1:39" s="7" customFormat="1" x14ac:dyDescent="0.25">
      <c r="A697" s="5">
        <v>320</v>
      </c>
      <c r="B697" s="6"/>
      <c r="C697" s="5">
        <v>1</v>
      </c>
      <c r="D697" s="6"/>
      <c r="E697" s="6"/>
      <c r="F697" s="6"/>
      <c r="G697" s="5">
        <v>1</v>
      </c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5">
        <v>1</v>
      </c>
      <c r="S697" s="6"/>
      <c r="T697" s="6"/>
      <c r="U697" s="6"/>
      <c r="V697" s="6"/>
      <c r="W697" s="6"/>
      <c r="X697" s="6"/>
      <c r="Y697" s="6"/>
      <c r="Z697" s="6"/>
      <c r="AA697" s="6"/>
      <c r="AB697" s="5">
        <v>1</v>
      </c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5">
        <v>1</v>
      </c>
    </row>
    <row r="698" spans="1:39" s="7" customFormat="1" x14ac:dyDescent="0.25">
      <c r="A698" s="5">
        <v>321</v>
      </c>
      <c r="B698" s="5">
        <v>1</v>
      </c>
      <c r="C698" s="5">
        <v>1</v>
      </c>
      <c r="D698" s="5">
        <v>1</v>
      </c>
      <c r="E698" s="5">
        <v>1</v>
      </c>
      <c r="F698" s="5">
        <v>1</v>
      </c>
      <c r="G698" s="5">
        <v>1</v>
      </c>
      <c r="H698" s="5">
        <v>1</v>
      </c>
      <c r="I698" s="5">
        <v>1</v>
      </c>
      <c r="J698" s="5">
        <v>1</v>
      </c>
      <c r="K698" s="5">
        <v>1</v>
      </c>
      <c r="L698" s="5">
        <v>1</v>
      </c>
      <c r="M698" s="5">
        <v>1</v>
      </c>
      <c r="N698" s="5">
        <v>1</v>
      </c>
      <c r="O698" s="5">
        <v>1</v>
      </c>
      <c r="P698" s="5">
        <v>1</v>
      </c>
      <c r="Q698" s="5">
        <v>1</v>
      </c>
      <c r="R698" s="5">
        <v>1</v>
      </c>
      <c r="S698" s="5">
        <v>1</v>
      </c>
      <c r="T698" s="5">
        <v>1</v>
      </c>
      <c r="U698" s="5">
        <v>1</v>
      </c>
      <c r="V698" s="5">
        <v>1</v>
      </c>
      <c r="W698" s="5">
        <v>1</v>
      </c>
      <c r="X698" s="5">
        <v>1</v>
      </c>
      <c r="Y698" s="5">
        <v>1</v>
      </c>
      <c r="Z698" s="5">
        <v>1</v>
      </c>
      <c r="AA698" s="5">
        <v>1</v>
      </c>
      <c r="AB698" s="5">
        <v>1</v>
      </c>
      <c r="AC698" s="5">
        <v>1</v>
      </c>
      <c r="AD698" s="5">
        <v>1</v>
      </c>
      <c r="AE698" s="5">
        <v>1</v>
      </c>
      <c r="AF698" s="5">
        <v>1</v>
      </c>
      <c r="AG698" s="5">
        <v>1</v>
      </c>
      <c r="AH698" s="5">
        <v>1</v>
      </c>
      <c r="AI698" s="5">
        <v>1</v>
      </c>
      <c r="AJ698" s="5">
        <v>1</v>
      </c>
      <c r="AK698" s="5">
        <v>1</v>
      </c>
      <c r="AL698" s="5">
        <v>1</v>
      </c>
      <c r="AM698" s="5">
        <v>1</v>
      </c>
    </row>
    <row r="699" spans="1:39" s="7" customFormat="1" x14ac:dyDescent="0.25">
      <c r="A699" s="5">
        <v>322</v>
      </c>
      <c r="B699" s="5">
        <v>1</v>
      </c>
      <c r="C699" s="5">
        <v>1</v>
      </c>
      <c r="D699" s="5">
        <v>1</v>
      </c>
      <c r="E699" s="5">
        <v>1</v>
      </c>
      <c r="F699" s="5">
        <v>1</v>
      </c>
      <c r="G699" s="5">
        <v>1</v>
      </c>
      <c r="H699" s="5">
        <v>1</v>
      </c>
      <c r="I699" s="5">
        <v>1</v>
      </c>
      <c r="J699" s="5">
        <v>1</v>
      </c>
      <c r="K699" s="5">
        <v>1</v>
      </c>
      <c r="L699" s="5">
        <v>1</v>
      </c>
      <c r="M699" s="5">
        <v>1</v>
      </c>
      <c r="N699" s="5">
        <v>1</v>
      </c>
      <c r="O699" s="5">
        <v>1</v>
      </c>
      <c r="P699" s="5">
        <v>1</v>
      </c>
      <c r="Q699" s="5">
        <v>1</v>
      </c>
      <c r="R699" s="5">
        <v>1</v>
      </c>
      <c r="S699" s="5">
        <v>1</v>
      </c>
      <c r="T699" s="5">
        <v>1</v>
      </c>
      <c r="U699" s="5">
        <v>1</v>
      </c>
      <c r="V699" s="5">
        <v>1</v>
      </c>
      <c r="W699" s="5">
        <v>1</v>
      </c>
      <c r="X699" s="5">
        <v>1</v>
      </c>
      <c r="Y699" s="5">
        <v>1</v>
      </c>
      <c r="Z699" s="5">
        <v>1</v>
      </c>
      <c r="AA699" s="5">
        <v>1</v>
      </c>
      <c r="AB699" s="5">
        <v>1</v>
      </c>
      <c r="AC699" s="5">
        <v>1</v>
      </c>
      <c r="AD699" s="5">
        <v>1</v>
      </c>
      <c r="AE699" s="5">
        <v>1</v>
      </c>
      <c r="AF699" s="5">
        <v>1</v>
      </c>
      <c r="AG699" s="5">
        <v>1</v>
      </c>
      <c r="AH699" s="5">
        <v>1</v>
      </c>
      <c r="AI699" s="5">
        <v>1</v>
      </c>
      <c r="AJ699" s="5">
        <v>1</v>
      </c>
      <c r="AK699" s="5">
        <v>1</v>
      </c>
      <c r="AL699" s="5">
        <v>1</v>
      </c>
      <c r="AM699" s="5">
        <v>1</v>
      </c>
    </row>
    <row r="700" spans="1:39" s="7" customFormat="1" x14ac:dyDescent="0.25">
      <c r="A700" s="5">
        <v>323</v>
      </c>
      <c r="B700" s="5">
        <v>1</v>
      </c>
      <c r="C700" s="6"/>
      <c r="D700" s="5">
        <v>1</v>
      </c>
      <c r="E700" s="6"/>
      <c r="F700" s="6"/>
      <c r="G700" s="6"/>
      <c r="H700" s="6"/>
      <c r="I700" s="6"/>
      <c r="J700" s="6"/>
      <c r="K700" s="6"/>
      <c r="L700" s="6"/>
      <c r="M700" s="5">
        <v>1</v>
      </c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5">
        <v>1</v>
      </c>
      <c r="Z700" s="6"/>
      <c r="AA700" s="6"/>
      <c r="AB700" s="6"/>
      <c r="AC700" s="6"/>
      <c r="AD700" s="6"/>
      <c r="AE700" s="6"/>
      <c r="AF700" s="5">
        <v>1</v>
      </c>
      <c r="AG700" s="6"/>
      <c r="AH700" s="6"/>
      <c r="AI700" s="6"/>
      <c r="AJ700" s="6"/>
      <c r="AK700" s="6"/>
      <c r="AL700" s="5">
        <v>1</v>
      </c>
      <c r="AM700" s="6"/>
    </row>
    <row r="701" spans="1:39" s="7" customFormat="1" x14ac:dyDescent="0.25">
      <c r="A701" s="5">
        <v>323</v>
      </c>
      <c r="B701" s="6"/>
      <c r="C701" s="6"/>
      <c r="D701" s="6"/>
      <c r="E701" s="5">
        <v>1</v>
      </c>
      <c r="F701" s="5">
        <v>1</v>
      </c>
      <c r="G701" s="6"/>
      <c r="H701" s="6"/>
      <c r="I701" s="5">
        <v>1</v>
      </c>
      <c r="J701" s="6"/>
      <c r="K701" s="5">
        <v>1</v>
      </c>
      <c r="L701" s="6"/>
      <c r="M701" s="6"/>
      <c r="N701" s="5">
        <v>1</v>
      </c>
      <c r="O701" s="6"/>
      <c r="P701" s="5">
        <v>1</v>
      </c>
      <c r="Q701" s="6"/>
      <c r="R701" s="6"/>
      <c r="S701" s="6"/>
      <c r="T701" s="6"/>
      <c r="U701" s="5">
        <v>1</v>
      </c>
      <c r="V701" s="6"/>
      <c r="W701" s="6"/>
      <c r="X701" s="6"/>
      <c r="Y701" s="6"/>
      <c r="Z701" s="6"/>
      <c r="AA701" s="6"/>
      <c r="AB701" s="6"/>
      <c r="AC701" s="5">
        <v>1</v>
      </c>
      <c r="AD701" s="5">
        <v>1</v>
      </c>
      <c r="AE701" s="6"/>
      <c r="AF701" s="6"/>
      <c r="AG701" s="5">
        <v>1</v>
      </c>
      <c r="AH701" s="5">
        <v>1</v>
      </c>
      <c r="AI701" s="6"/>
      <c r="AJ701" s="6"/>
      <c r="AK701" s="6"/>
      <c r="AL701" s="6"/>
      <c r="AM701" s="6"/>
    </row>
    <row r="702" spans="1:39" s="7" customFormat="1" x14ac:dyDescent="0.25">
      <c r="A702" s="5">
        <v>323</v>
      </c>
      <c r="B702" s="6"/>
      <c r="C702" s="6"/>
      <c r="D702" s="6"/>
      <c r="E702" s="6"/>
      <c r="F702" s="6"/>
      <c r="G702" s="6"/>
      <c r="H702" s="5">
        <v>1</v>
      </c>
      <c r="I702" s="6"/>
      <c r="J702" s="6"/>
      <c r="K702" s="6"/>
      <c r="L702" s="5">
        <v>1</v>
      </c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5">
        <v>1</v>
      </c>
      <c r="X702" s="5">
        <v>1</v>
      </c>
      <c r="Y702" s="6"/>
      <c r="Z702" s="6"/>
      <c r="AA702" s="6"/>
      <c r="AB702" s="6"/>
      <c r="AC702" s="6"/>
      <c r="AD702" s="6"/>
      <c r="AE702" s="5">
        <v>1</v>
      </c>
      <c r="AF702" s="6"/>
      <c r="AG702" s="6"/>
      <c r="AH702" s="6"/>
      <c r="AI702" s="6"/>
      <c r="AJ702" s="6"/>
      <c r="AK702" s="5">
        <v>1</v>
      </c>
      <c r="AL702" s="6"/>
      <c r="AM702" s="6"/>
    </row>
    <row r="703" spans="1:39" s="7" customFormat="1" x14ac:dyDescent="0.25">
      <c r="A703" s="5">
        <v>323</v>
      </c>
      <c r="B703" s="6"/>
      <c r="C703" s="6"/>
      <c r="D703" s="6"/>
      <c r="E703" s="6"/>
      <c r="F703" s="6"/>
      <c r="G703" s="6"/>
      <c r="H703" s="6"/>
      <c r="I703" s="6"/>
      <c r="J703" s="5">
        <v>1</v>
      </c>
      <c r="K703" s="6"/>
      <c r="L703" s="6"/>
      <c r="M703" s="6"/>
      <c r="N703" s="6"/>
      <c r="O703" s="5">
        <v>1</v>
      </c>
      <c r="P703" s="6"/>
      <c r="Q703" s="5">
        <v>1</v>
      </c>
      <c r="R703" s="6"/>
      <c r="S703" s="6"/>
      <c r="T703" s="5">
        <v>1</v>
      </c>
      <c r="U703" s="6"/>
      <c r="V703" s="5">
        <v>1</v>
      </c>
      <c r="W703" s="6"/>
      <c r="X703" s="6"/>
      <c r="Y703" s="6"/>
      <c r="Z703" s="5">
        <v>1</v>
      </c>
      <c r="AA703" s="5">
        <v>1</v>
      </c>
      <c r="AB703" s="6"/>
      <c r="AC703" s="6"/>
      <c r="AD703" s="6"/>
      <c r="AE703" s="6"/>
      <c r="AF703" s="6"/>
      <c r="AG703" s="6"/>
      <c r="AH703" s="6"/>
      <c r="AI703" s="5">
        <v>1</v>
      </c>
      <c r="AJ703" s="6"/>
      <c r="AK703" s="6"/>
      <c r="AL703" s="6"/>
      <c r="AM703" s="6"/>
    </row>
    <row r="704" spans="1:39" s="7" customFormat="1" x14ac:dyDescent="0.25">
      <c r="A704" s="5">
        <v>323</v>
      </c>
      <c r="B704" s="6"/>
      <c r="C704" s="5">
        <v>1</v>
      </c>
      <c r="D704" s="6"/>
      <c r="E704" s="6"/>
      <c r="F704" s="6"/>
      <c r="G704" s="5">
        <v>1</v>
      </c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5">
        <v>1</v>
      </c>
      <c r="S704" s="5">
        <v>1</v>
      </c>
      <c r="T704" s="6"/>
      <c r="U704" s="6"/>
      <c r="V704" s="6"/>
      <c r="W704" s="6"/>
      <c r="X704" s="6"/>
      <c r="Y704" s="6"/>
      <c r="Z704" s="6"/>
      <c r="AA704" s="6"/>
      <c r="AB704" s="5">
        <v>1</v>
      </c>
      <c r="AC704" s="6"/>
      <c r="AD704" s="6"/>
      <c r="AE704" s="6"/>
      <c r="AF704" s="6"/>
      <c r="AG704" s="6"/>
      <c r="AH704" s="6"/>
      <c r="AI704" s="6"/>
      <c r="AJ704" s="5">
        <v>1</v>
      </c>
      <c r="AK704" s="6"/>
      <c r="AL704" s="6"/>
      <c r="AM704" s="5">
        <v>1</v>
      </c>
    </row>
    <row r="705" spans="1:39" s="7" customFormat="1" x14ac:dyDescent="0.25">
      <c r="A705" s="5">
        <v>324</v>
      </c>
      <c r="B705" s="5">
        <v>1</v>
      </c>
      <c r="C705" s="5">
        <v>1</v>
      </c>
      <c r="D705" s="5">
        <v>1</v>
      </c>
      <c r="E705" s="5">
        <v>1</v>
      </c>
      <c r="F705" s="5">
        <v>1</v>
      </c>
      <c r="G705" s="5">
        <v>1</v>
      </c>
      <c r="H705" s="5">
        <v>1</v>
      </c>
      <c r="I705" s="5">
        <v>1</v>
      </c>
      <c r="J705" s="5">
        <v>1</v>
      </c>
      <c r="K705" s="5">
        <v>1</v>
      </c>
      <c r="L705" s="5">
        <v>1</v>
      </c>
      <c r="M705" s="5">
        <v>1</v>
      </c>
      <c r="N705" s="5">
        <v>1</v>
      </c>
      <c r="O705" s="5">
        <v>1</v>
      </c>
      <c r="P705" s="5">
        <v>1</v>
      </c>
      <c r="Q705" s="5">
        <v>1</v>
      </c>
      <c r="R705" s="5">
        <v>1</v>
      </c>
      <c r="S705" s="5">
        <v>1</v>
      </c>
      <c r="T705" s="5">
        <v>1</v>
      </c>
      <c r="U705" s="5">
        <v>1</v>
      </c>
      <c r="V705" s="5">
        <v>1</v>
      </c>
      <c r="W705" s="5">
        <v>1</v>
      </c>
      <c r="X705" s="5">
        <v>1</v>
      </c>
      <c r="Y705" s="5">
        <v>1</v>
      </c>
      <c r="Z705" s="5">
        <v>1</v>
      </c>
      <c r="AA705" s="5">
        <v>1</v>
      </c>
      <c r="AB705" s="5">
        <v>1</v>
      </c>
      <c r="AC705" s="5">
        <v>1</v>
      </c>
      <c r="AD705" s="5">
        <v>1</v>
      </c>
      <c r="AE705" s="5">
        <v>1</v>
      </c>
      <c r="AF705" s="5">
        <v>1</v>
      </c>
      <c r="AG705" s="5">
        <v>1</v>
      </c>
      <c r="AH705" s="5">
        <v>1</v>
      </c>
      <c r="AI705" s="5">
        <v>1</v>
      </c>
      <c r="AJ705" s="5">
        <v>1</v>
      </c>
      <c r="AK705" s="5">
        <v>1</v>
      </c>
      <c r="AL705" s="5">
        <v>1</v>
      </c>
      <c r="AM705" s="5">
        <v>1</v>
      </c>
    </row>
    <row r="706" spans="1:39" s="7" customFormat="1" x14ac:dyDescent="0.25">
      <c r="A706" s="5">
        <v>325</v>
      </c>
      <c r="B706" s="5">
        <v>1</v>
      </c>
      <c r="C706" s="5">
        <v>1</v>
      </c>
      <c r="D706" s="5">
        <v>1</v>
      </c>
      <c r="E706" s="5">
        <v>1</v>
      </c>
      <c r="F706" s="5">
        <v>1</v>
      </c>
      <c r="G706" s="5">
        <v>1</v>
      </c>
      <c r="H706" s="5">
        <v>1</v>
      </c>
      <c r="I706" s="5">
        <v>1</v>
      </c>
      <c r="J706" s="5">
        <v>1</v>
      </c>
      <c r="K706" s="5">
        <v>1</v>
      </c>
      <c r="L706" s="5">
        <v>1</v>
      </c>
      <c r="M706" s="5">
        <v>1</v>
      </c>
      <c r="N706" s="5">
        <v>1</v>
      </c>
      <c r="O706" s="5">
        <v>1</v>
      </c>
      <c r="P706" s="5">
        <v>1</v>
      </c>
      <c r="Q706" s="5">
        <v>1</v>
      </c>
      <c r="R706" s="5">
        <v>1</v>
      </c>
      <c r="S706" s="5">
        <v>1</v>
      </c>
      <c r="T706" s="5">
        <v>1</v>
      </c>
      <c r="U706" s="5">
        <v>1</v>
      </c>
      <c r="V706" s="5">
        <v>1</v>
      </c>
      <c r="W706" s="5">
        <v>1</v>
      </c>
      <c r="X706" s="5">
        <v>1</v>
      </c>
      <c r="Y706" s="5">
        <v>1</v>
      </c>
      <c r="Z706" s="5">
        <v>1</v>
      </c>
      <c r="AA706" s="5">
        <v>1</v>
      </c>
      <c r="AB706" s="5">
        <v>1</v>
      </c>
      <c r="AC706" s="5">
        <v>1</v>
      </c>
      <c r="AD706" s="5">
        <v>1</v>
      </c>
      <c r="AE706" s="5">
        <v>1</v>
      </c>
      <c r="AF706" s="5">
        <v>1</v>
      </c>
      <c r="AG706" s="5">
        <v>1</v>
      </c>
      <c r="AH706" s="5">
        <v>1</v>
      </c>
      <c r="AI706" s="5">
        <v>1</v>
      </c>
      <c r="AJ706" s="5">
        <v>1</v>
      </c>
      <c r="AK706" s="5">
        <v>1</v>
      </c>
      <c r="AL706" s="5">
        <v>1</v>
      </c>
      <c r="AM706" s="5">
        <v>1</v>
      </c>
    </row>
    <row r="707" spans="1:39" s="7" customFormat="1" x14ac:dyDescent="0.25">
      <c r="A707" s="5">
        <v>326</v>
      </c>
      <c r="B707" s="5">
        <v>1</v>
      </c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5">
        <v>1</v>
      </c>
      <c r="AG707" s="6"/>
      <c r="AH707" s="6"/>
      <c r="AI707" s="6"/>
      <c r="AJ707" s="6"/>
      <c r="AK707" s="6"/>
      <c r="AL707" s="6"/>
      <c r="AM707" s="6"/>
    </row>
    <row r="708" spans="1:39" s="7" customFormat="1" x14ac:dyDescent="0.25">
      <c r="A708" s="5">
        <v>326</v>
      </c>
      <c r="B708" s="6"/>
      <c r="C708" s="6"/>
      <c r="D708" s="6"/>
      <c r="E708" s="6"/>
      <c r="F708" s="5">
        <v>1</v>
      </c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</row>
    <row r="709" spans="1:39" s="7" customFormat="1" x14ac:dyDescent="0.25">
      <c r="A709" s="5">
        <v>326</v>
      </c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5">
        <v>1</v>
      </c>
      <c r="AH709" s="5">
        <v>1</v>
      </c>
      <c r="AI709" s="6"/>
      <c r="AJ709" s="6"/>
      <c r="AK709" s="6"/>
      <c r="AL709" s="6"/>
      <c r="AM709" s="6"/>
    </row>
    <row r="710" spans="1:39" s="7" customFormat="1" x14ac:dyDescent="0.25">
      <c r="A710" s="5">
        <v>326</v>
      </c>
      <c r="B710" s="6"/>
      <c r="C710" s="6"/>
      <c r="D710" s="6"/>
      <c r="E710" s="6"/>
      <c r="F710" s="6"/>
      <c r="G710" s="6"/>
      <c r="H710" s="5">
        <v>1</v>
      </c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5">
        <v>1</v>
      </c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</row>
    <row r="711" spans="1:39" s="7" customFormat="1" x14ac:dyDescent="0.25">
      <c r="A711" s="5">
        <v>326</v>
      </c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5">
        <v>1</v>
      </c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</row>
    <row r="712" spans="1:39" s="7" customFormat="1" x14ac:dyDescent="0.25">
      <c r="A712" s="5">
        <v>326</v>
      </c>
      <c r="B712" s="6"/>
      <c r="C712" s="6"/>
      <c r="D712" s="5">
        <v>1</v>
      </c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5">
        <v>1</v>
      </c>
      <c r="AM712" s="6"/>
    </row>
    <row r="713" spans="1:39" s="7" customFormat="1" x14ac:dyDescent="0.25">
      <c r="A713" s="5">
        <v>326</v>
      </c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5">
        <v>1</v>
      </c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5">
        <v>1</v>
      </c>
      <c r="Z713" s="6"/>
      <c r="AA713" s="6"/>
      <c r="AB713" s="6"/>
      <c r="AC713" s="6"/>
      <c r="AD713" s="5">
        <v>1</v>
      </c>
      <c r="AE713" s="6"/>
      <c r="AF713" s="6"/>
      <c r="AG713" s="6"/>
      <c r="AH713" s="6"/>
      <c r="AI713" s="6"/>
      <c r="AJ713" s="6"/>
      <c r="AK713" s="6"/>
      <c r="AL713" s="6"/>
      <c r="AM713" s="6"/>
    </row>
    <row r="714" spans="1:39" s="7" customFormat="1" x14ac:dyDescent="0.25">
      <c r="A714" s="5">
        <v>326</v>
      </c>
      <c r="B714" s="6"/>
      <c r="C714" s="6"/>
      <c r="D714" s="6"/>
      <c r="E714" s="5">
        <v>1</v>
      </c>
      <c r="F714" s="6"/>
      <c r="G714" s="6"/>
      <c r="H714" s="6"/>
      <c r="I714" s="5">
        <v>1</v>
      </c>
      <c r="J714" s="6"/>
      <c r="K714" s="5">
        <v>1</v>
      </c>
      <c r="L714" s="6"/>
      <c r="M714" s="6"/>
      <c r="N714" s="6"/>
      <c r="O714" s="6"/>
      <c r="P714" s="6"/>
      <c r="Q714" s="6"/>
      <c r="R714" s="6"/>
      <c r="S714" s="6"/>
      <c r="T714" s="6"/>
      <c r="U714" s="5">
        <v>1</v>
      </c>
      <c r="V714" s="6"/>
      <c r="W714" s="6"/>
      <c r="X714" s="6"/>
      <c r="Y714" s="6"/>
      <c r="Z714" s="6"/>
      <c r="AA714" s="6"/>
      <c r="AB714" s="6"/>
      <c r="AC714" s="5">
        <v>1</v>
      </c>
      <c r="AD714" s="6"/>
      <c r="AE714" s="6"/>
      <c r="AF714" s="6"/>
      <c r="AG714" s="6"/>
      <c r="AH714" s="6"/>
      <c r="AI714" s="6"/>
      <c r="AJ714" s="6"/>
      <c r="AK714" s="6"/>
      <c r="AL714" s="6"/>
      <c r="AM714" s="6"/>
    </row>
    <row r="715" spans="1:39" s="7" customFormat="1" x14ac:dyDescent="0.25">
      <c r="A715" s="5">
        <v>326</v>
      </c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5">
        <v>1</v>
      </c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5">
        <v>1</v>
      </c>
      <c r="X715" s="5">
        <v>1</v>
      </c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5">
        <v>1</v>
      </c>
      <c r="AJ715" s="6"/>
      <c r="AK715" s="5">
        <v>1</v>
      </c>
      <c r="AL715" s="6"/>
      <c r="AM715" s="6"/>
    </row>
    <row r="716" spans="1:39" s="7" customFormat="1" x14ac:dyDescent="0.25">
      <c r="A716" s="5">
        <v>326</v>
      </c>
      <c r="B716" s="6"/>
      <c r="C716" s="6"/>
      <c r="D716" s="6"/>
      <c r="E716" s="6"/>
      <c r="F716" s="6"/>
      <c r="G716" s="6"/>
      <c r="H716" s="6"/>
      <c r="I716" s="6"/>
      <c r="J716" s="5">
        <v>1</v>
      </c>
      <c r="K716" s="6"/>
      <c r="L716" s="6"/>
      <c r="M716" s="6"/>
      <c r="N716" s="6"/>
      <c r="O716" s="5">
        <v>1</v>
      </c>
      <c r="P716" s="6"/>
      <c r="Q716" s="5">
        <v>1</v>
      </c>
      <c r="R716" s="6"/>
      <c r="S716" s="6"/>
      <c r="T716" s="5">
        <v>1</v>
      </c>
      <c r="U716" s="6"/>
      <c r="V716" s="5">
        <v>1</v>
      </c>
      <c r="W716" s="6"/>
      <c r="X716" s="6"/>
      <c r="Y716" s="6"/>
      <c r="Z716" s="5">
        <v>1</v>
      </c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</row>
    <row r="717" spans="1:39" s="7" customFormat="1" x14ac:dyDescent="0.25">
      <c r="A717" s="5">
        <v>326</v>
      </c>
      <c r="B717" s="6"/>
      <c r="C717" s="5">
        <v>1</v>
      </c>
      <c r="D717" s="6"/>
      <c r="E717" s="6"/>
      <c r="F717" s="6"/>
      <c r="G717" s="5">
        <v>1</v>
      </c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5">
        <v>1</v>
      </c>
      <c r="S717" s="6"/>
      <c r="T717" s="6"/>
      <c r="U717" s="6"/>
      <c r="V717" s="6"/>
      <c r="W717" s="6"/>
      <c r="X717" s="6"/>
      <c r="Y717" s="6"/>
      <c r="Z717" s="6"/>
      <c r="AA717" s="6"/>
      <c r="AB717" s="5">
        <v>1</v>
      </c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5">
        <v>1</v>
      </c>
    </row>
    <row r="718" spans="1:39" s="7" customFormat="1" x14ac:dyDescent="0.25">
      <c r="A718" s="5">
        <v>326</v>
      </c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5">
        <v>1</v>
      </c>
      <c r="O718" s="6"/>
      <c r="P718" s="5">
        <v>1</v>
      </c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</row>
    <row r="719" spans="1:39" s="7" customFormat="1" x14ac:dyDescent="0.25">
      <c r="A719" s="5">
        <v>326</v>
      </c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5">
        <v>1</v>
      </c>
      <c r="AF719" s="6"/>
      <c r="AG719" s="6"/>
      <c r="AH719" s="6"/>
      <c r="AI719" s="6"/>
      <c r="AJ719" s="6"/>
      <c r="AK719" s="6"/>
      <c r="AL719" s="6"/>
      <c r="AM719" s="6"/>
    </row>
    <row r="720" spans="1:39" s="7" customFormat="1" x14ac:dyDescent="0.25">
      <c r="A720" s="5">
        <v>326</v>
      </c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5">
        <v>1</v>
      </c>
      <c r="AK720" s="6"/>
      <c r="AL720" s="6"/>
      <c r="AM720" s="6"/>
    </row>
    <row r="721" spans="1:39" s="7" customFormat="1" x14ac:dyDescent="0.25">
      <c r="A721" s="5">
        <v>327</v>
      </c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5">
        <v>1</v>
      </c>
      <c r="O721" s="6"/>
      <c r="P721" s="5">
        <v>1</v>
      </c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5">
        <v>1</v>
      </c>
      <c r="AH721" s="5">
        <v>1</v>
      </c>
      <c r="AI721" s="6"/>
      <c r="AJ721" s="6"/>
      <c r="AK721" s="6"/>
      <c r="AL721" s="6"/>
      <c r="AM721" s="6"/>
    </row>
    <row r="722" spans="1:39" s="7" customFormat="1" x14ac:dyDescent="0.25">
      <c r="A722" s="5">
        <v>327</v>
      </c>
      <c r="B722" s="6"/>
      <c r="C722" s="6"/>
      <c r="D722" s="6"/>
      <c r="E722" s="6"/>
      <c r="F722" s="6"/>
      <c r="G722" s="6"/>
      <c r="H722" s="5">
        <v>1</v>
      </c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5">
        <v>1</v>
      </c>
      <c r="AF722" s="6"/>
      <c r="AG722" s="6"/>
      <c r="AH722" s="6"/>
      <c r="AI722" s="6"/>
      <c r="AJ722" s="6"/>
      <c r="AK722" s="6"/>
      <c r="AL722" s="6"/>
      <c r="AM722" s="6"/>
    </row>
    <row r="723" spans="1:39" s="7" customFormat="1" x14ac:dyDescent="0.25">
      <c r="A723" s="5">
        <v>327</v>
      </c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5">
        <v>1</v>
      </c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5">
        <v>1</v>
      </c>
      <c r="AK723" s="6"/>
      <c r="AL723" s="6"/>
      <c r="AM723" s="6"/>
    </row>
    <row r="724" spans="1:39" s="7" customFormat="1" x14ac:dyDescent="0.25">
      <c r="A724" s="5">
        <v>327</v>
      </c>
      <c r="B724" s="6"/>
      <c r="C724" s="6"/>
      <c r="D724" s="6"/>
      <c r="E724" s="5">
        <v>1</v>
      </c>
      <c r="F724" s="6"/>
      <c r="G724" s="6"/>
      <c r="H724" s="6"/>
      <c r="I724" s="5">
        <v>1</v>
      </c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5">
        <v>1</v>
      </c>
      <c r="V724" s="6"/>
      <c r="W724" s="6"/>
      <c r="X724" s="6"/>
      <c r="Y724" s="6"/>
      <c r="Z724" s="6"/>
      <c r="AA724" s="6"/>
      <c r="AB724" s="6"/>
      <c r="AC724" s="5">
        <v>1</v>
      </c>
      <c r="AD724" s="6"/>
      <c r="AE724" s="6"/>
      <c r="AF724" s="6"/>
      <c r="AG724" s="6"/>
      <c r="AH724" s="6"/>
      <c r="AI724" s="6"/>
      <c r="AJ724" s="6"/>
      <c r="AK724" s="6"/>
      <c r="AL724" s="6"/>
      <c r="AM724" s="6"/>
    </row>
    <row r="725" spans="1:39" s="7" customFormat="1" x14ac:dyDescent="0.25">
      <c r="A725" s="5">
        <v>327</v>
      </c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5">
        <v>1</v>
      </c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5">
        <v>1</v>
      </c>
      <c r="AL725" s="6"/>
      <c r="AM725" s="6"/>
    </row>
    <row r="726" spans="1:39" s="7" customFormat="1" x14ac:dyDescent="0.25">
      <c r="A726" s="5">
        <v>327</v>
      </c>
      <c r="B726" s="6"/>
      <c r="C726" s="6"/>
      <c r="D726" s="6"/>
      <c r="E726" s="6"/>
      <c r="F726" s="6"/>
      <c r="G726" s="6"/>
      <c r="H726" s="6"/>
      <c r="I726" s="6"/>
      <c r="J726" s="5">
        <v>1</v>
      </c>
      <c r="K726" s="6"/>
      <c r="L726" s="6"/>
      <c r="M726" s="6"/>
      <c r="N726" s="6"/>
      <c r="O726" s="5">
        <v>1</v>
      </c>
      <c r="P726" s="6"/>
      <c r="Q726" s="6"/>
      <c r="R726" s="6"/>
      <c r="S726" s="6"/>
      <c r="T726" s="6"/>
      <c r="U726" s="6"/>
      <c r="V726" s="5">
        <v>1</v>
      </c>
      <c r="W726" s="6"/>
      <c r="X726" s="6"/>
      <c r="Y726" s="6"/>
      <c r="Z726" s="5">
        <v>1</v>
      </c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</row>
    <row r="727" spans="1:39" s="7" customFormat="1" x14ac:dyDescent="0.25">
      <c r="A727" s="5">
        <v>327</v>
      </c>
      <c r="B727" s="6"/>
      <c r="C727" s="5">
        <v>1</v>
      </c>
      <c r="D727" s="6"/>
      <c r="E727" s="6"/>
      <c r="F727" s="6"/>
      <c r="G727" s="5">
        <v>1</v>
      </c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5">
        <v>1</v>
      </c>
      <c r="S727" s="6"/>
      <c r="T727" s="6"/>
      <c r="U727" s="6"/>
      <c r="V727" s="6"/>
      <c r="W727" s="6"/>
      <c r="X727" s="6"/>
      <c r="Y727" s="6"/>
      <c r="Z727" s="6"/>
      <c r="AA727" s="6"/>
      <c r="AB727" s="5">
        <v>1</v>
      </c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5">
        <v>1</v>
      </c>
    </row>
    <row r="728" spans="1:39" s="7" customFormat="1" x14ac:dyDescent="0.25">
      <c r="A728" s="5">
        <v>327</v>
      </c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5">
        <v>1</v>
      </c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5">
        <v>1</v>
      </c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</row>
    <row r="729" spans="1:39" s="7" customFormat="1" x14ac:dyDescent="0.25">
      <c r="A729" s="5">
        <v>327</v>
      </c>
      <c r="B729" s="6"/>
      <c r="C729" s="6"/>
      <c r="D729" s="6"/>
      <c r="E729" s="6"/>
      <c r="F729" s="6"/>
      <c r="G729" s="6"/>
      <c r="H729" s="6"/>
      <c r="I729" s="6"/>
      <c r="J729" s="6"/>
      <c r="K729" s="5">
        <v>1</v>
      </c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</row>
    <row r="730" spans="1:39" s="7" customFormat="1" x14ac:dyDescent="0.25">
      <c r="A730" s="5">
        <v>327</v>
      </c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5">
        <v>1</v>
      </c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5">
        <v>1</v>
      </c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</row>
    <row r="731" spans="1:39" s="7" customFormat="1" x14ac:dyDescent="0.25">
      <c r="A731" s="5">
        <v>327</v>
      </c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5">
        <v>1</v>
      </c>
      <c r="R731" s="6"/>
      <c r="S731" s="6"/>
      <c r="T731" s="5">
        <v>1</v>
      </c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</row>
    <row r="732" spans="1:39" s="7" customFormat="1" x14ac:dyDescent="0.25">
      <c r="A732" s="5">
        <v>328</v>
      </c>
      <c r="B732" s="5">
        <v>1</v>
      </c>
      <c r="C732" s="5">
        <v>1</v>
      </c>
      <c r="D732" s="5">
        <v>1</v>
      </c>
      <c r="E732" s="5">
        <v>1</v>
      </c>
      <c r="F732" s="5">
        <v>1</v>
      </c>
      <c r="G732" s="5">
        <v>1</v>
      </c>
      <c r="H732" s="5">
        <v>1</v>
      </c>
      <c r="I732" s="5">
        <v>1</v>
      </c>
      <c r="J732" s="5">
        <v>1</v>
      </c>
      <c r="K732" s="5">
        <v>1</v>
      </c>
      <c r="L732" s="5">
        <v>1</v>
      </c>
      <c r="M732" s="5">
        <v>1</v>
      </c>
      <c r="N732" s="5">
        <v>1</v>
      </c>
      <c r="O732" s="5">
        <v>1</v>
      </c>
      <c r="P732" s="5">
        <v>1</v>
      </c>
      <c r="Q732" s="5">
        <v>1</v>
      </c>
      <c r="R732" s="5">
        <v>1</v>
      </c>
      <c r="S732" s="5">
        <v>1</v>
      </c>
      <c r="T732" s="5">
        <v>1</v>
      </c>
      <c r="U732" s="5">
        <v>1</v>
      </c>
      <c r="V732" s="5">
        <v>1</v>
      </c>
      <c r="W732" s="5">
        <v>1</v>
      </c>
      <c r="X732" s="5">
        <v>1</v>
      </c>
      <c r="Y732" s="5">
        <v>1</v>
      </c>
      <c r="Z732" s="5">
        <v>1</v>
      </c>
      <c r="AA732" s="5">
        <v>1</v>
      </c>
      <c r="AB732" s="5">
        <v>1</v>
      </c>
      <c r="AC732" s="5">
        <v>1</v>
      </c>
      <c r="AD732" s="5">
        <v>1</v>
      </c>
      <c r="AE732" s="5">
        <v>1</v>
      </c>
      <c r="AF732" s="5">
        <v>1</v>
      </c>
      <c r="AG732" s="5">
        <v>1</v>
      </c>
      <c r="AH732" s="5">
        <v>1</v>
      </c>
      <c r="AI732" s="5">
        <v>1</v>
      </c>
      <c r="AJ732" s="5">
        <v>1</v>
      </c>
      <c r="AK732" s="5">
        <v>1</v>
      </c>
      <c r="AL732" s="5">
        <v>1</v>
      </c>
      <c r="AM732" s="5">
        <v>1</v>
      </c>
    </row>
    <row r="733" spans="1:39" s="7" customFormat="1" x14ac:dyDescent="0.25">
      <c r="A733" s="5">
        <v>329</v>
      </c>
      <c r="B733" s="5">
        <v>1</v>
      </c>
      <c r="C733" s="5">
        <v>1</v>
      </c>
      <c r="D733" s="5">
        <v>1</v>
      </c>
      <c r="E733" s="5">
        <v>1</v>
      </c>
      <c r="F733" s="5">
        <v>1</v>
      </c>
      <c r="G733" s="5">
        <v>1</v>
      </c>
      <c r="H733" s="5">
        <v>1</v>
      </c>
      <c r="I733" s="5">
        <v>1</v>
      </c>
      <c r="J733" s="5">
        <v>1</v>
      </c>
      <c r="K733" s="5">
        <v>1</v>
      </c>
      <c r="L733" s="5">
        <v>1</v>
      </c>
      <c r="M733" s="5">
        <v>1</v>
      </c>
      <c r="N733" s="5">
        <v>1</v>
      </c>
      <c r="O733" s="5">
        <v>1</v>
      </c>
      <c r="P733" s="5">
        <v>1</v>
      </c>
      <c r="Q733" s="5">
        <v>1</v>
      </c>
      <c r="R733" s="5">
        <v>1</v>
      </c>
      <c r="S733" s="5">
        <v>1</v>
      </c>
      <c r="T733" s="5">
        <v>1</v>
      </c>
      <c r="U733" s="5">
        <v>1</v>
      </c>
      <c r="V733" s="5">
        <v>1</v>
      </c>
      <c r="W733" s="5">
        <v>1</v>
      </c>
      <c r="X733" s="5">
        <v>1</v>
      </c>
      <c r="Y733" s="5">
        <v>1</v>
      </c>
      <c r="Z733" s="5">
        <v>1</v>
      </c>
      <c r="AA733" s="5">
        <v>1</v>
      </c>
      <c r="AB733" s="5">
        <v>1</v>
      </c>
      <c r="AC733" s="5">
        <v>1</v>
      </c>
      <c r="AD733" s="5">
        <v>1</v>
      </c>
      <c r="AE733" s="5">
        <v>1</v>
      </c>
      <c r="AF733" s="5">
        <v>1</v>
      </c>
      <c r="AG733" s="5">
        <v>1</v>
      </c>
      <c r="AH733" s="5">
        <v>1</v>
      </c>
      <c r="AI733" s="5">
        <v>1</v>
      </c>
      <c r="AJ733" s="5">
        <v>1</v>
      </c>
      <c r="AK733" s="5">
        <v>1</v>
      </c>
      <c r="AL733" s="5">
        <v>1</v>
      </c>
      <c r="AM733" s="5">
        <v>1</v>
      </c>
    </row>
    <row r="734" spans="1:39" s="7" customFormat="1" x14ac:dyDescent="0.25">
      <c r="A734" s="5">
        <v>330</v>
      </c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5">
        <v>1</v>
      </c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</row>
    <row r="735" spans="1:39" s="7" customFormat="1" x14ac:dyDescent="0.25">
      <c r="A735" s="5">
        <v>330</v>
      </c>
      <c r="B735" s="6"/>
      <c r="C735" s="6"/>
      <c r="D735" s="6"/>
      <c r="E735" s="5">
        <v>1</v>
      </c>
      <c r="F735" s="6"/>
      <c r="G735" s="6"/>
      <c r="H735" s="6"/>
      <c r="I735" s="6"/>
      <c r="J735" s="6"/>
      <c r="K735" s="5">
        <v>1</v>
      </c>
      <c r="L735" s="6"/>
      <c r="M735" s="6"/>
      <c r="N735" s="5">
        <v>1</v>
      </c>
      <c r="O735" s="6"/>
      <c r="P735" s="6"/>
      <c r="Q735" s="6"/>
      <c r="R735" s="6"/>
      <c r="S735" s="6"/>
      <c r="T735" s="6"/>
      <c r="U735" s="5">
        <v>1</v>
      </c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5">
        <v>1</v>
      </c>
      <c r="AH735" s="6"/>
      <c r="AI735" s="6"/>
      <c r="AJ735" s="6"/>
      <c r="AK735" s="6"/>
      <c r="AL735" s="6"/>
      <c r="AM735" s="6"/>
    </row>
    <row r="736" spans="1:39" s="7" customFormat="1" x14ac:dyDescent="0.25">
      <c r="A736" s="5">
        <v>330</v>
      </c>
      <c r="B736" s="6"/>
      <c r="C736" s="6"/>
      <c r="D736" s="6"/>
      <c r="E736" s="6"/>
      <c r="F736" s="6"/>
      <c r="G736" s="6"/>
      <c r="H736" s="5">
        <v>1</v>
      </c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5">
        <v>1</v>
      </c>
      <c r="X736" s="6"/>
      <c r="Y736" s="6"/>
      <c r="Z736" s="6"/>
      <c r="AA736" s="6"/>
      <c r="AB736" s="6"/>
      <c r="AC736" s="6"/>
      <c r="AD736" s="6"/>
      <c r="AE736" s="5">
        <v>1</v>
      </c>
      <c r="AF736" s="6"/>
      <c r="AG736" s="6"/>
      <c r="AH736" s="6"/>
      <c r="AI736" s="6"/>
      <c r="AJ736" s="6"/>
      <c r="AK736" s="5">
        <v>1</v>
      </c>
      <c r="AL736" s="6"/>
      <c r="AM736" s="6"/>
    </row>
    <row r="737" spans="1:39" s="7" customFormat="1" x14ac:dyDescent="0.25">
      <c r="A737" s="5">
        <v>330</v>
      </c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5">
        <v>1</v>
      </c>
      <c r="R737" s="6"/>
      <c r="S737" s="6"/>
      <c r="T737" s="5">
        <v>1</v>
      </c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</row>
    <row r="738" spans="1:39" s="7" customFormat="1" x14ac:dyDescent="0.25">
      <c r="A738" s="5">
        <v>330</v>
      </c>
      <c r="B738" s="6"/>
      <c r="C738" s="5">
        <v>1</v>
      </c>
      <c r="D738" s="6"/>
      <c r="E738" s="6"/>
      <c r="F738" s="6"/>
      <c r="G738" s="5">
        <v>1</v>
      </c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5">
        <v>1</v>
      </c>
      <c r="S738" s="5">
        <v>1</v>
      </c>
      <c r="T738" s="6"/>
      <c r="U738" s="6"/>
      <c r="V738" s="6"/>
      <c r="W738" s="6"/>
      <c r="X738" s="6"/>
      <c r="Y738" s="6"/>
      <c r="Z738" s="6"/>
      <c r="AA738" s="6"/>
      <c r="AB738" s="5">
        <v>1</v>
      </c>
      <c r="AC738" s="6"/>
      <c r="AD738" s="6"/>
      <c r="AE738" s="6"/>
      <c r="AF738" s="6"/>
      <c r="AG738" s="6"/>
      <c r="AH738" s="6"/>
      <c r="AI738" s="6"/>
      <c r="AJ738" s="5">
        <v>1</v>
      </c>
      <c r="AK738" s="6"/>
      <c r="AL738" s="6"/>
      <c r="AM738" s="5">
        <v>1</v>
      </c>
    </row>
    <row r="739" spans="1:39" s="7" customFormat="1" x14ac:dyDescent="0.25">
      <c r="A739" s="5">
        <v>330</v>
      </c>
      <c r="B739" s="6"/>
      <c r="C739" s="6"/>
      <c r="D739" s="6"/>
      <c r="E739" s="6"/>
      <c r="F739" s="6"/>
      <c r="G739" s="6"/>
      <c r="H739" s="6"/>
      <c r="I739" s="5">
        <v>1</v>
      </c>
      <c r="J739" s="6"/>
      <c r="K739" s="6"/>
      <c r="L739" s="6"/>
      <c r="M739" s="6"/>
      <c r="N739" s="6"/>
      <c r="O739" s="6"/>
      <c r="P739" s="5">
        <v>1</v>
      </c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5">
        <v>1</v>
      </c>
      <c r="AD739" s="6"/>
      <c r="AE739" s="6"/>
      <c r="AF739" s="6"/>
      <c r="AG739" s="6"/>
      <c r="AH739" s="5">
        <v>1</v>
      </c>
      <c r="AI739" s="6"/>
      <c r="AJ739" s="6"/>
      <c r="AK739" s="6"/>
      <c r="AL739" s="6"/>
      <c r="AM739" s="6"/>
    </row>
    <row r="740" spans="1:39" s="7" customFormat="1" x14ac:dyDescent="0.25">
      <c r="A740" s="5">
        <v>330</v>
      </c>
      <c r="B740" s="6"/>
      <c r="C740" s="6"/>
      <c r="D740" s="6"/>
      <c r="E740" s="6"/>
      <c r="F740" s="6"/>
      <c r="G740" s="6"/>
      <c r="H740" s="6"/>
      <c r="I740" s="6"/>
      <c r="J740" s="5">
        <v>1</v>
      </c>
      <c r="K740" s="6"/>
      <c r="L740" s="6"/>
      <c r="M740" s="6"/>
      <c r="N740" s="6"/>
      <c r="O740" s="5">
        <v>1</v>
      </c>
      <c r="P740" s="6"/>
      <c r="Q740" s="6"/>
      <c r="R740" s="6"/>
      <c r="S740" s="6"/>
      <c r="T740" s="6"/>
      <c r="U740" s="6"/>
      <c r="V740" s="5">
        <v>1</v>
      </c>
      <c r="W740" s="6"/>
      <c r="X740" s="6"/>
      <c r="Y740" s="6"/>
      <c r="Z740" s="5">
        <v>1</v>
      </c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</row>
    <row r="741" spans="1:39" s="7" customFormat="1" x14ac:dyDescent="0.25">
      <c r="A741" s="5">
        <v>330</v>
      </c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5">
        <v>1</v>
      </c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</row>
    <row r="742" spans="1:39" s="7" customFormat="1" x14ac:dyDescent="0.25">
      <c r="A742" s="5">
        <v>330</v>
      </c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5">
        <v>1</v>
      </c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5">
        <v>1</v>
      </c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</row>
    <row r="743" spans="1:39" s="7" customFormat="1" x14ac:dyDescent="0.25">
      <c r="A743" s="5">
        <v>330</v>
      </c>
      <c r="B743" s="5">
        <v>1</v>
      </c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</row>
    <row r="744" spans="1:39" s="7" customFormat="1" x14ac:dyDescent="0.25">
      <c r="A744" s="5">
        <v>330</v>
      </c>
      <c r="B744" s="6"/>
      <c r="C744" s="6"/>
      <c r="D744" s="6"/>
      <c r="E744" s="6"/>
      <c r="F744" s="5">
        <v>1</v>
      </c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</row>
    <row r="745" spans="1:39" s="7" customFormat="1" x14ac:dyDescent="0.25">
      <c r="A745" s="5">
        <v>330</v>
      </c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5">
        <v>1</v>
      </c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</row>
    <row r="746" spans="1:39" s="7" customFormat="1" x14ac:dyDescent="0.25">
      <c r="A746" s="5">
        <v>330</v>
      </c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5">
        <v>1</v>
      </c>
      <c r="AG746" s="6"/>
      <c r="AH746" s="6"/>
      <c r="AI746" s="6"/>
      <c r="AJ746" s="6"/>
      <c r="AK746" s="6"/>
      <c r="AL746" s="6"/>
      <c r="AM746" s="6"/>
    </row>
    <row r="747" spans="1:39" s="7" customFormat="1" x14ac:dyDescent="0.25">
      <c r="A747" s="5">
        <v>330</v>
      </c>
      <c r="B747" s="6"/>
      <c r="C747" s="6"/>
      <c r="D747" s="5">
        <v>1</v>
      </c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5">
        <v>1</v>
      </c>
      <c r="AE747" s="6"/>
      <c r="AF747" s="6"/>
      <c r="AG747" s="6"/>
      <c r="AH747" s="6"/>
      <c r="AI747" s="5">
        <v>1</v>
      </c>
      <c r="AJ747" s="6"/>
      <c r="AK747" s="6"/>
      <c r="AL747" s="5">
        <v>1</v>
      </c>
      <c r="AM747" s="6"/>
    </row>
    <row r="748" spans="1:39" s="7" customFormat="1" x14ac:dyDescent="0.25">
      <c r="A748" s="5">
        <v>331</v>
      </c>
      <c r="B748" s="5">
        <v>1</v>
      </c>
      <c r="C748" s="5">
        <v>1</v>
      </c>
      <c r="D748" s="5">
        <v>1</v>
      </c>
      <c r="E748" s="5">
        <v>1</v>
      </c>
      <c r="F748" s="5">
        <v>1</v>
      </c>
      <c r="G748" s="5">
        <v>1</v>
      </c>
      <c r="H748" s="5">
        <v>1</v>
      </c>
      <c r="I748" s="5">
        <v>1</v>
      </c>
      <c r="J748" s="5">
        <v>1</v>
      </c>
      <c r="K748" s="5">
        <v>1</v>
      </c>
      <c r="L748" s="5">
        <v>1</v>
      </c>
      <c r="M748" s="5">
        <v>1</v>
      </c>
      <c r="N748" s="5">
        <v>1</v>
      </c>
      <c r="O748" s="5">
        <v>1</v>
      </c>
      <c r="P748" s="5">
        <v>1</v>
      </c>
      <c r="Q748" s="5">
        <v>1</v>
      </c>
      <c r="R748" s="5">
        <v>1</v>
      </c>
      <c r="S748" s="5">
        <v>1</v>
      </c>
      <c r="T748" s="5">
        <v>1</v>
      </c>
      <c r="U748" s="5">
        <v>1</v>
      </c>
      <c r="V748" s="5">
        <v>1</v>
      </c>
      <c r="W748" s="5">
        <v>1</v>
      </c>
      <c r="X748" s="5">
        <v>1</v>
      </c>
      <c r="Y748" s="5">
        <v>1</v>
      </c>
      <c r="Z748" s="5">
        <v>1</v>
      </c>
      <c r="AA748" s="5">
        <v>1</v>
      </c>
      <c r="AB748" s="5">
        <v>1</v>
      </c>
      <c r="AC748" s="5">
        <v>1</v>
      </c>
      <c r="AD748" s="5">
        <v>1</v>
      </c>
      <c r="AE748" s="5">
        <v>1</v>
      </c>
      <c r="AF748" s="5">
        <v>1</v>
      </c>
      <c r="AG748" s="5">
        <v>1</v>
      </c>
      <c r="AH748" s="5">
        <v>1</v>
      </c>
      <c r="AI748" s="5">
        <v>1</v>
      </c>
      <c r="AJ748" s="5">
        <v>1</v>
      </c>
      <c r="AK748" s="5">
        <v>1</v>
      </c>
      <c r="AL748" s="5">
        <v>1</v>
      </c>
      <c r="AM748" s="5">
        <v>1</v>
      </c>
    </row>
    <row r="749" spans="1:39" s="7" customFormat="1" x14ac:dyDescent="0.25">
      <c r="A749" s="5">
        <v>334</v>
      </c>
      <c r="B749" s="5">
        <v>1</v>
      </c>
      <c r="C749" s="5">
        <v>1</v>
      </c>
      <c r="D749" s="5">
        <v>1</v>
      </c>
      <c r="E749" s="5">
        <v>1</v>
      </c>
      <c r="F749" s="5">
        <v>1</v>
      </c>
      <c r="G749" s="5">
        <v>1</v>
      </c>
      <c r="H749" s="5">
        <v>1</v>
      </c>
      <c r="I749" s="5">
        <v>1</v>
      </c>
      <c r="J749" s="5">
        <v>1</v>
      </c>
      <c r="K749" s="5">
        <v>1</v>
      </c>
      <c r="L749" s="5">
        <v>1</v>
      </c>
      <c r="M749" s="5">
        <v>1</v>
      </c>
      <c r="N749" s="5">
        <v>1</v>
      </c>
      <c r="O749" s="5">
        <v>1</v>
      </c>
      <c r="P749" s="5">
        <v>1</v>
      </c>
      <c r="Q749" s="5">
        <v>1</v>
      </c>
      <c r="R749" s="5">
        <v>1</v>
      </c>
      <c r="S749" s="5">
        <v>1</v>
      </c>
      <c r="T749" s="5">
        <v>1</v>
      </c>
      <c r="U749" s="5">
        <v>1</v>
      </c>
      <c r="V749" s="5">
        <v>1</v>
      </c>
      <c r="W749" s="5">
        <v>1</v>
      </c>
      <c r="X749" s="5">
        <v>1</v>
      </c>
      <c r="Y749" s="5">
        <v>1</v>
      </c>
      <c r="Z749" s="5">
        <v>1</v>
      </c>
      <c r="AA749" s="5">
        <v>1</v>
      </c>
      <c r="AB749" s="5">
        <v>1</v>
      </c>
      <c r="AC749" s="5">
        <v>1</v>
      </c>
      <c r="AD749" s="5">
        <v>1</v>
      </c>
      <c r="AE749" s="5">
        <v>1</v>
      </c>
      <c r="AF749" s="5">
        <v>1</v>
      </c>
      <c r="AG749" s="5">
        <v>1</v>
      </c>
      <c r="AH749" s="5">
        <v>1</v>
      </c>
      <c r="AI749" s="5">
        <v>1</v>
      </c>
      <c r="AJ749" s="5">
        <v>1</v>
      </c>
      <c r="AK749" s="5">
        <v>1</v>
      </c>
      <c r="AL749" s="5">
        <v>1</v>
      </c>
      <c r="AM749" s="5">
        <v>1</v>
      </c>
    </row>
    <row r="750" spans="1:39" s="7" customFormat="1" x14ac:dyDescent="0.25">
      <c r="A750" s="5">
        <v>335</v>
      </c>
      <c r="B750" s="6"/>
      <c r="C750" s="5">
        <v>1</v>
      </c>
      <c r="D750" s="6"/>
      <c r="E750" s="6"/>
      <c r="F750" s="6"/>
      <c r="G750" s="5">
        <v>1</v>
      </c>
      <c r="H750" s="6"/>
      <c r="I750" s="6"/>
      <c r="J750" s="5">
        <v>1</v>
      </c>
      <c r="K750" s="6"/>
      <c r="L750" s="5">
        <v>1</v>
      </c>
      <c r="M750" s="6"/>
      <c r="N750" s="6"/>
      <c r="O750" s="5">
        <v>1</v>
      </c>
      <c r="P750" s="6"/>
      <c r="Q750" s="5">
        <v>1</v>
      </c>
      <c r="R750" s="5">
        <v>1</v>
      </c>
      <c r="S750" s="5">
        <v>1</v>
      </c>
      <c r="T750" s="5">
        <v>1</v>
      </c>
      <c r="U750" s="6"/>
      <c r="V750" s="5">
        <v>1</v>
      </c>
      <c r="W750" s="6"/>
      <c r="X750" s="5">
        <v>1</v>
      </c>
      <c r="Y750" s="6"/>
      <c r="Z750" s="5">
        <v>1</v>
      </c>
      <c r="AA750" s="5">
        <v>1</v>
      </c>
      <c r="AB750" s="5">
        <v>1</v>
      </c>
      <c r="AC750" s="6"/>
      <c r="AD750" s="6"/>
      <c r="AE750" s="6"/>
      <c r="AF750" s="6"/>
      <c r="AG750" s="6"/>
      <c r="AH750" s="6"/>
      <c r="AI750" s="5">
        <v>1</v>
      </c>
      <c r="AJ750" s="5">
        <v>1</v>
      </c>
      <c r="AK750" s="6"/>
      <c r="AL750" s="6"/>
      <c r="AM750" s="5">
        <v>1</v>
      </c>
    </row>
    <row r="751" spans="1:39" s="7" customFormat="1" x14ac:dyDescent="0.25">
      <c r="A751" s="5">
        <v>336</v>
      </c>
      <c r="B751" s="6"/>
      <c r="C751" s="6"/>
      <c r="D751" s="6"/>
      <c r="E751" s="5">
        <v>1</v>
      </c>
      <c r="F751" s="6"/>
      <c r="G751" s="6"/>
      <c r="H751" s="6"/>
      <c r="I751" s="5">
        <v>1</v>
      </c>
      <c r="J751" s="6"/>
      <c r="K751" s="6"/>
      <c r="L751" s="6"/>
      <c r="M751" s="6"/>
      <c r="N751" s="5">
        <v>1</v>
      </c>
      <c r="O751" s="6"/>
      <c r="P751" s="5">
        <v>1</v>
      </c>
      <c r="Q751" s="6"/>
      <c r="R751" s="6"/>
      <c r="S751" s="6"/>
      <c r="T751" s="6"/>
      <c r="U751" s="5">
        <v>1</v>
      </c>
      <c r="V751" s="6"/>
      <c r="W751" s="6"/>
      <c r="X751" s="6"/>
      <c r="Y751" s="6"/>
      <c r="Z751" s="6"/>
      <c r="AA751" s="6"/>
      <c r="AB751" s="6"/>
      <c r="AC751" s="5">
        <v>1</v>
      </c>
      <c r="AD751" s="6"/>
      <c r="AE751" s="6"/>
      <c r="AF751" s="6"/>
      <c r="AG751" s="5">
        <v>1</v>
      </c>
      <c r="AH751" s="5">
        <v>1</v>
      </c>
      <c r="AI751" s="6"/>
      <c r="AJ751" s="6"/>
      <c r="AK751" s="6"/>
      <c r="AL751" s="6"/>
      <c r="AM751" s="6"/>
    </row>
    <row r="752" spans="1:39" s="7" customFormat="1" x14ac:dyDescent="0.25">
      <c r="A752" s="5">
        <v>336</v>
      </c>
      <c r="B752" s="6"/>
      <c r="C752" s="6"/>
      <c r="D752" s="6"/>
      <c r="E752" s="6"/>
      <c r="F752" s="6"/>
      <c r="G752" s="6"/>
      <c r="H752" s="5">
        <v>1</v>
      </c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5">
        <v>1</v>
      </c>
      <c r="X752" s="6"/>
      <c r="Y752" s="6"/>
      <c r="Z752" s="6"/>
      <c r="AA752" s="6"/>
      <c r="AB752" s="6"/>
      <c r="AC752" s="6"/>
      <c r="AD752" s="6"/>
      <c r="AE752" s="5">
        <v>1</v>
      </c>
      <c r="AF752" s="6"/>
      <c r="AG752" s="6"/>
      <c r="AH752" s="6"/>
      <c r="AI752" s="6"/>
      <c r="AJ752" s="6"/>
      <c r="AK752" s="5">
        <v>1</v>
      </c>
      <c r="AL752" s="6"/>
      <c r="AM752" s="6"/>
    </row>
    <row r="753" spans="1:39" s="7" customFormat="1" x14ac:dyDescent="0.25">
      <c r="A753" s="5">
        <v>336</v>
      </c>
      <c r="B753" s="6"/>
      <c r="C753" s="6"/>
      <c r="D753" s="6"/>
      <c r="E753" s="6"/>
      <c r="F753" s="6"/>
      <c r="G753" s="6"/>
      <c r="H753" s="6"/>
      <c r="I753" s="6"/>
      <c r="J753" s="5">
        <v>1</v>
      </c>
      <c r="K753" s="6"/>
      <c r="L753" s="6"/>
      <c r="M753" s="6"/>
      <c r="N753" s="6"/>
      <c r="O753" s="5">
        <v>1</v>
      </c>
      <c r="P753" s="6"/>
      <c r="Q753" s="6"/>
      <c r="R753" s="6"/>
      <c r="S753" s="6"/>
      <c r="T753" s="6"/>
      <c r="U753" s="6"/>
      <c r="V753" s="5">
        <v>1</v>
      </c>
      <c r="W753" s="6"/>
      <c r="X753" s="6"/>
      <c r="Y753" s="6"/>
      <c r="Z753" s="5">
        <v>1</v>
      </c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</row>
    <row r="754" spans="1:39" s="7" customFormat="1" x14ac:dyDescent="0.25">
      <c r="A754" s="5">
        <v>336</v>
      </c>
      <c r="B754" s="6"/>
      <c r="C754" s="5">
        <v>1</v>
      </c>
      <c r="D754" s="6"/>
      <c r="E754" s="6"/>
      <c r="F754" s="6"/>
      <c r="G754" s="5">
        <v>1</v>
      </c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5">
        <v>1</v>
      </c>
      <c r="S754" s="5">
        <v>1</v>
      </c>
      <c r="T754" s="6"/>
      <c r="U754" s="6"/>
      <c r="V754" s="6"/>
      <c r="W754" s="6"/>
      <c r="X754" s="6"/>
      <c r="Y754" s="6"/>
      <c r="Z754" s="6"/>
      <c r="AA754" s="6"/>
      <c r="AB754" s="5">
        <v>1</v>
      </c>
      <c r="AC754" s="6"/>
      <c r="AD754" s="6"/>
      <c r="AE754" s="6"/>
      <c r="AF754" s="6"/>
      <c r="AG754" s="6"/>
      <c r="AH754" s="6"/>
      <c r="AI754" s="6"/>
      <c r="AJ754" s="5">
        <v>1</v>
      </c>
      <c r="AK754" s="6"/>
      <c r="AL754" s="6"/>
      <c r="AM754" s="5">
        <v>1</v>
      </c>
    </row>
    <row r="755" spans="1:39" s="7" customFormat="1" x14ac:dyDescent="0.25">
      <c r="A755" s="5">
        <v>337</v>
      </c>
      <c r="B755" s="5">
        <v>1</v>
      </c>
      <c r="C755" s="6"/>
      <c r="D755" s="5">
        <v>1</v>
      </c>
      <c r="E755" s="5">
        <v>1</v>
      </c>
      <c r="F755" s="5">
        <v>1</v>
      </c>
      <c r="G755" s="6"/>
      <c r="H755" s="5">
        <v>1</v>
      </c>
      <c r="I755" s="5">
        <v>1</v>
      </c>
      <c r="J755" s="6"/>
      <c r="K755" s="5">
        <v>1</v>
      </c>
      <c r="L755" s="6"/>
      <c r="M755" s="5">
        <v>1</v>
      </c>
      <c r="N755" s="5">
        <v>1</v>
      </c>
      <c r="O755" s="6"/>
      <c r="P755" s="5">
        <v>1</v>
      </c>
      <c r="Q755" s="6"/>
      <c r="R755" s="6"/>
      <c r="S755" s="6"/>
      <c r="T755" s="6"/>
      <c r="U755" s="5">
        <v>1</v>
      </c>
      <c r="V755" s="6"/>
      <c r="W755" s="5">
        <v>1</v>
      </c>
      <c r="X755" s="6"/>
      <c r="Y755" s="5">
        <v>1</v>
      </c>
      <c r="Z755" s="6"/>
      <c r="AA755" s="6"/>
      <c r="AB755" s="6"/>
      <c r="AC755" s="5">
        <v>1</v>
      </c>
      <c r="AD755" s="5">
        <v>1</v>
      </c>
      <c r="AE755" s="5">
        <v>1</v>
      </c>
      <c r="AF755" s="5">
        <v>1</v>
      </c>
      <c r="AG755" s="5">
        <v>1</v>
      </c>
      <c r="AH755" s="5">
        <v>1</v>
      </c>
      <c r="AI755" s="6"/>
      <c r="AJ755" s="6"/>
      <c r="AK755" s="5">
        <v>1</v>
      </c>
      <c r="AL755" s="5">
        <v>1</v>
      </c>
      <c r="AM755" s="6"/>
    </row>
    <row r="756" spans="1:39" s="7" customFormat="1" x14ac:dyDescent="0.25">
      <c r="A756" s="5">
        <v>338</v>
      </c>
      <c r="B756" s="5">
        <v>1</v>
      </c>
      <c r="C756" s="5">
        <v>1</v>
      </c>
      <c r="D756" s="5">
        <v>1</v>
      </c>
      <c r="E756" s="5">
        <v>1</v>
      </c>
      <c r="F756" s="5">
        <v>1</v>
      </c>
      <c r="G756" s="5">
        <v>1</v>
      </c>
      <c r="H756" s="5">
        <v>1</v>
      </c>
      <c r="I756" s="5">
        <v>1</v>
      </c>
      <c r="J756" s="5">
        <v>1</v>
      </c>
      <c r="K756" s="5">
        <v>1</v>
      </c>
      <c r="L756" s="5">
        <v>1</v>
      </c>
      <c r="M756" s="5">
        <v>1</v>
      </c>
      <c r="N756" s="5">
        <v>1</v>
      </c>
      <c r="O756" s="5">
        <v>1</v>
      </c>
      <c r="P756" s="5">
        <v>1</v>
      </c>
      <c r="Q756" s="5">
        <v>1</v>
      </c>
      <c r="R756" s="5">
        <v>1</v>
      </c>
      <c r="S756" s="5">
        <v>1</v>
      </c>
      <c r="T756" s="5">
        <v>1</v>
      </c>
      <c r="U756" s="5">
        <v>1</v>
      </c>
      <c r="V756" s="5">
        <v>1</v>
      </c>
      <c r="W756" s="5">
        <v>1</v>
      </c>
      <c r="X756" s="5">
        <v>1</v>
      </c>
      <c r="Y756" s="5">
        <v>1</v>
      </c>
      <c r="Z756" s="5">
        <v>1</v>
      </c>
      <c r="AA756" s="5">
        <v>1</v>
      </c>
      <c r="AB756" s="5">
        <v>1</v>
      </c>
      <c r="AC756" s="5">
        <v>1</v>
      </c>
      <c r="AD756" s="5">
        <v>1</v>
      </c>
      <c r="AE756" s="5">
        <v>1</v>
      </c>
      <c r="AF756" s="5">
        <v>1</v>
      </c>
      <c r="AG756" s="5">
        <v>1</v>
      </c>
      <c r="AH756" s="5">
        <v>1</v>
      </c>
      <c r="AI756" s="5">
        <v>1</v>
      </c>
      <c r="AJ756" s="5">
        <v>1</v>
      </c>
      <c r="AK756" s="5">
        <v>1</v>
      </c>
      <c r="AL756" s="5">
        <v>1</v>
      </c>
      <c r="AM756" s="5">
        <v>1</v>
      </c>
    </row>
    <row r="757" spans="1:39" s="7" customFormat="1" x14ac:dyDescent="0.25">
      <c r="A757" s="5">
        <v>339</v>
      </c>
      <c r="B757" s="5">
        <v>1</v>
      </c>
      <c r="C757" s="6"/>
      <c r="D757" s="5">
        <v>1</v>
      </c>
      <c r="E757" s="5">
        <v>1</v>
      </c>
      <c r="F757" s="5">
        <v>1</v>
      </c>
      <c r="G757" s="6"/>
      <c r="H757" s="5">
        <v>1</v>
      </c>
      <c r="I757" s="5">
        <v>1</v>
      </c>
      <c r="J757" s="6"/>
      <c r="K757" s="5">
        <v>1</v>
      </c>
      <c r="L757" s="6"/>
      <c r="M757" s="5">
        <v>1</v>
      </c>
      <c r="N757" s="5">
        <v>1</v>
      </c>
      <c r="O757" s="6"/>
      <c r="P757" s="5">
        <v>1</v>
      </c>
      <c r="Q757" s="6"/>
      <c r="R757" s="6"/>
      <c r="S757" s="6"/>
      <c r="T757" s="6"/>
      <c r="U757" s="5">
        <v>1</v>
      </c>
      <c r="V757" s="6"/>
      <c r="W757" s="5">
        <v>1</v>
      </c>
      <c r="X757" s="6"/>
      <c r="Y757" s="5">
        <v>1</v>
      </c>
      <c r="Z757" s="6"/>
      <c r="AA757" s="6"/>
      <c r="AB757" s="6"/>
      <c r="AC757" s="5">
        <v>1</v>
      </c>
      <c r="AD757" s="5">
        <v>1</v>
      </c>
      <c r="AE757" s="5">
        <v>1</v>
      </c>
      <c r="AF757" s="5">
        <v>1</v>
      </c>
      <c r="AG757" s="5">
        <v>1</v>
      </c>
      <c r="AH757" s="5">
        <v>1</v>
      </c>
      <c r="AI757" s="6"/>
      <c r="AJ757" s="6"/>
      <c r="AK757" s="5">
        <v>1</v>
      </c>
      <c r="AL757" s="5">
        <v>1</v>
      </c>
      <c r="AM757" s="6"/>
    </row>
    <row r="758" spans="1:39" s="7" customFormat="1" x14ac:dyDescent="0.25">
      <c r="A758" s="5">
        <v>339</v>
      </c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5">
        <v>1</v>
      </c>
      <c r="M758" s="6"/>
      <c r="N758" s="6"/>
      <c r="O758" s="6"/>
      <c r="P758" s="6"/>
      <c r="Q758" s="5">
        <v>1</v>
      </c>
      <c r="R758" s="6"/>
      <c r="S758" s="6"/>
      <c r="T758" s="5">
        <v>1</v>
      </c>
      <c r="U758" s="6"/>
      <c r="V758" s="6"/>
      <c r="W758" s="6"/>
      <c r="X758" s="5">
        <v>1</v>
      </c>
      <c r="Y758" s="6"/>
      <c r="Z758" s="6"/>
      <c r="AA758" s="5">
        <v>1</v>
      </c>
      <c r="AB758" s="6"/>
      <c r="AC758" s="6"/>
      <c r="AD758" s="6"/>
      <c r="AE758" s="6"/>
      <c r="AF758" s="6"/>
      <c r="AG758" s="6"/>
      <c r="AH758" s="6"/>
      <c r="AI758" s="5">
        <v>1</v>
      </c>
      <c r="AJ758" s="6"/>
      <c r="AK758" s="6"/>
      <c r="AL758" s="6"/>
      <c r="AM758" s="6"/>
    </row>
    <row r="759" spans="1:39" s="7" customFormat="1" x14ac:dyDescent="0.25">
      <c r="A759" s="5">
        <v>339</v>
      </c>
      <c r="B759" s="6"/>
      <c r="C759" s="5">
        <v>1</v>
      </c>
      <c r="D759" s="6"/>
      <c r="E759" s="6"/>
      <c r="F759" s="6"/>
      <c r="G759" s="5">
        <v>1</v>
      </c>
      <c r="H759" s="6"/>
      <c r="I759" s="6"/>
      <c r="J759" s="5">
        <v>1</v>
      </c>
      <c r="K759" s="6"/>
      <c r="L759" s="6"/>
      <c r="M759" s="6"/>
      <c r="N759" s="6"/>
      <c r="O759" s="5">
        <v>1</v>
      </c>
      <c r="P759" s="6"/>
      <c r="Q759" s="6"/>
      <c r="R759" s="5">
        <v>1</v>
      </c>
      <c r="S759" s="5">
        <v>1</v>
      </c>
      <c r="T759" s="6"/>
      <c r="U759" s="6"/>
      <c r="V759" s="5">
        <v>1</v>
      </c>
      <c r="W759" s="6"/>
      <c r="X759" s="6"/>
      <c r="Y759" s="6"/>
      <c r="Z759" s="5">
        <v>1</v>
      </c>
      <c r="AA759" s="6"/>
      <c r="AB759" s="5">
        <v>1</v>
      </c>
      <c r="AC759" s="6"/>
      <c r="AD759" s="6"/>
      <c r="AE759" s="6"/>
      <c r="AF759" s="6"/>
      <c r="AG759" s="6"/>
      <c r="AH759" s="6"/>
      <c r="AI759" s="6"/>
      <c r="AJ759" s="5">
        <v>1</v>
      </c>
      <c r="AK759" s="6"/>
      <c r="AL759" s="6"/>
      <c r="AM759" s="5">
        <v>1</v>
      </c>
    </row>
    <row r="760" spans="1:39" s="7" customFormat="1" x14ac:dyDescent="0.25">
      <c r="A760" s="5">
        <v>340</v>
      </c>
      <c r="B760" s="5">
        <v>1</v>
      </c>
      <c r="C760" s="6"/>
      <c r="D760" s="5">
        <v>1</v>
      </c>
      <c r="E760" s="6"/>
      <c r="F760" s="5">
        <v>1</v>
      </c>
      <c r="G760" s="6"/>
      <c r="H760" s="6"/>
      <c r="I760" s="6"/>
      <c r="J760" s="6"/>
      <c r="K760" s="5">
        <v>1</v>
      </c>
      <c r="L760" s="5">
        <v>1</v>
      </c>
      <c r="M760" s="5">
        <v>1</v>
      </c>
      <c r="N760" s="6"/>
      <c r="O760" s="6"/>
      <c r="P760" s="6"/>
      <c r="Q760" s="5">
        <v>1</v>
      </c>
      <c r="R760" s="6"/>
      <c r="S760" s="6"/>
      <c r="T760" s="5">
        <v>1</v>
      </c>
      <c r="U760" s="6"/>
      <c r="V760" s="6"/>
      <c r="W760" s="6"/>
      <c r="X760" s="5">
        <v>1</v>
      </c>
      <c r="Y760" s="5">
        <v>1</v>
      </c>
      <c r="Z760" s="6"/>
      <c r="AA760" s="5">
        <v>1</v>
      </c>
      <c r="AB760" s="6"/>
      <c r="AC760" s="6"/>
      <c r="AD760" s="5">
        <v>1</v>
      </c>
      <c r="AE760" s="6"/>
      <c r="AF760" s="5">
        <v>1</v>
      </c>
      <c r="AG760" s="6"/>
      <c r="AH760" s="6"/>
      <c r="AI760" s="5">
        <v>1</v>
      </c>
      <c r="AJ760" s="6"/>
      <c r="AK760" s="6"/>
      <c r="AL760" s="5">
        <v>1</v>
      </c>
      <c r="AM760" s="6"/>
    </row>
    <row r="761" spans="1:39" s="7" customFormat="1" x14ac:dyDescent="0.25">
      <c r="A761" s="5">
        <v>340</v>
      </c>
      <c r="B761" s="6"/>
      <c r="C761" s="6"/>
      <c r="D761" s="6"/>
      <c r="E761" s="5">
        <v>1</v>
      </c>
      <c r="F761" s="6"/>
      <c r="G761" s="6"/>
      <c r="H761" s="6"/>
      <c r="I761" s="5">
        <v>1</v>
      </c>
      <c r="J761" s="6"/>
      <c r="K761" s="6"/>
      <c r="L761" s="6"/>
      <c r="M761" s="6"/>
      <c r="N761" s="5">
        <v>1</v>
      </c>
      <c r="O761" s="6"/>
      <c r="P761" s="5">
        <v>1</v>
      </c>
      <c r="Q761" s="6"/>
      <c r="R761" s="6"/>
      <c r="S761" s="6"/>
      <c r="T761" s="6"/>
      <c r="U761" s="5">
        <v>1</v>
      </c>
      <c r="V761" s="6"/>
      <c r="W761" s="6"/>
      <c r="X761" s="6"/>
      <c r="Y761" s="6"/>
      <c r="Z761" s="6"/>
      <c r="AA761" s="6"/>
      <c r="AB761" s="6"/>
      <c r="AC761" s="5">
        <v>1</v>
      </c>
      <c r="AD761" s="6"/>
      <c r="AE761" s="6"/>
      <c r="AF761" s="6"/>
      <c r="AG761" s="5">
        <v>1</v>
      </c>
      <c r="AH761" s="5">
        <v>1</v>
      </c>
      <c r="AI761" s="6"/>
      <c r="AJ761" s="6"/>
      <c r="AK761" s="6"/>
      <c r="AL761" s="6"/>
      <c r="AM761" s="6"/>
    </row>
    <row r="762" spans="1:39" s="7" customFormat="1" x14ac:dyDescent="0.25">
      <c r="A762" s="5">
        <v>340</v>
      </c>
      <c r="B762" s="6"/>
      <c r="C762" s="6"/>
      <c r="D762" s="6"/>
      <c r="E762" s="6"/>
      <c r="F762" s="6"/>
      <c r="G762" s="6"/>
      <c r="H762" s="5">
        <v>1</v>
      </c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5">
        <v>1</v>
      </c>
      <c r="X762" s="6"/>
      <c r="Y762" s="6"/>
      <c r="Z762" s="6"/>
      <c r="AA762" s="6"/>
      <c r="AB762" s="6"/>
      <c r="AC762" s="6"/>
      <c r="AD762" s="6"/>
      <c r="AE762" s="5">
        <v>1</v>
      </c>
      <c r="AF762" s="6"/>
      <c r="AG762" s="6"/>
      <c r="AH762" s="6"/>
      <c r="AI762" s="6"/>
      <c r="AJ762" s="6"/>
      <c r="AK762" s="5">
        <v>1</v>
      </c>
      <c r="AL762" s="6"/>
      <c r="AM762" s="6"/>
    </row>
    <row r="763" spans="1:39" s="7" customFormat="1" x14ac:dyDescent="0.25">
      <c r="A763" s="5">
        <v>340</v>
      </c>
      <c r="B763" s="6"/>
      <c r="C763" s="6"/>
      <c r="D763" s="6"/>
      <c r="E763" s="6"/>
      <c r="F763" s="6"/>
      <c r="G763" s="6"/>
      <c r="H763" s="6"/>
      <c r="I763" s="6"/>
      <c r="J763" s="5">
        <v>1</v>
      </c>
      <c r="K763" s="6"/>
      <c r="L763" s="6"/>
      <c r="M763" s="6"/>
      <c r="N763" s="6"/>
      <c r="O763" s="5">
        <v>1</v>
      </c>
      <c r="P763" s="6"/>
      <c r="Q763" s="6"/>
      <c r="R763" s="6"/>
      <c r="S763" s="6"/>
      <c r="T763" s="6"/>
      <c r="U763" s="6"/>
      <c r="V763" s="5">
        <v>1</v>
      </c>
      <c r="W763" s="6"/>
      <c r="X763" s="6"/>
      <c r="Y763" s="6"/>
      <c r="Z763" s="5">
        <v>1</v>
      </c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</row>
    <row r="764" spans="1:39" s="7" customFormat="1" x14ac:dyDescent="0.25">
      <c r="A764" s="5">
        <v>340</v>
      </c>
      <c r="B764" s="6"/>
      <c r="C764" s="5">
        <v>1</v>
      </c>
      <c r="D764" s="6"/>
      <c r="E764" s="6"/>
      <c r="F764" s="6"/>
      <c r="G764" s="5">
        <v>1</v>
      </c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5">
        <v>1</v>
      </c>
      <c r="S764" s="5">
        <v>1</v>
      </c>
      <c r="T764" s="6"/>
      <c r="U764" s="6"/>
      <c r="V764" s="6"/>
      <c r="W764" s="6"/>
      <c r="X764" s="6"/>
      <c r="Y764" s="6"/>
      <c r="Z764" s="6"/>
      <c r="AA764" s="6"/>
      <c r="AB764" s="5">
        <v>1</v>
      </c>
      <c r="AC764" s="6"/>
      <c r="AD764" s="6"/>
      <c r="AE764" s="6"/>
      <c r="AF764" s="6"/>
      <c r="AG764" s="6"/>
      <c r="AH764" s="6"/>
      <c r="AI764" s="6"/>
      <c r="AJ764" s="5">
        <v>1</v>
      </c>
      <c r="AK764" s="6"/>
      <c r="AL764" s="6"/>
      <c r="AM764" s="5">
        <v>1</v>
      </c>
    </row>
    <row r="765" spans="1:39" s="7" customFormat="1" x14ac:dyDescent="0.25">
      <c r="A765" s="5">
        <v>341</v>
      </c>
      <c r="B765" s="6"/>
      <c r="C765" s="6"/>
      <c r="D765" s="6"/>
      <c r="E765" s="5">
        <v>1</v>
      </c>
      <c r="F765" s="6"/>
      <c r="G765" s="6"/>
      <c r="H765" s="5">
        <v>1</v>
      </c>
      <c r="I765" s="5">
        <v>1</v>
      </c>
      <c r="J765" s="5">
        <v>1</v>
      </c>
      <c r="K765" s="6"/>
      <c r="L765" s="6"/>
      <c r="M765" s="6"/>
      <c r="N765" s="5">
        <v>1</v>
      </c>
      <c r="O765" s="5">
        <v>1</v>
      </c>
      <c r="P765" s="5">
        <v>1</v>
      </c>
      <c r="Q765" s="6"/>
      <c r="R765" s="5">
        <v>1</v>
      </c>
      <c r="S765" s="5">
        <v>1</v>
      </c>
      <c r="T765" s="6"/>
      <c r="U765" s="6"/>
      <c r="V765" s="6"/>
      <c r="W765" s="5">
        <v>1</v>
      </c>
      <c r="X765" s="6"/>
      <c r="Y765" s="6"/>
      <c r="Z765" s="6"/>
      <c r="AA765" s="6"/>
      <c r="AB765" s="5">
        <v>1</v>
      </c>
      <c r="AC765" s="6"/>
      <c r="AD765" s="6"/>
      <c r="AE765" s="5">
        <v>1</v>
      </c>
      <c r="AF765" s="6"/>
      <c r="AG765" s="5">
        <v>1</v>
      </c>
      <c r="AH765" s="5">
        <v>1</v>
      </c>
      <c r="AI765" s="6"/>
      <c r="AJ765" s="5">
        <v>1</v>
      </c>
      <c r="AK765" s="6"/>
      <c r="AL765" s="6"/>
      <c r="AM765" s="6"/>
    </row>
    <row r="766" spans="1:39" s="7" customFormat="1" x14ac:dyDescent="0.25">
      <c r="A766" s="5">
        <v>342</v>
      </c>
      <c r="B766" s="6"/>
      <c r="C766" s="6"/>
      <c r="D766" s="6"/>
      <c r="E766" s="5">
        <v>1</v>
      </c>
      <c r="F766" s="6"/>
      <c r="G766" s="6"/>
      <c r="H766" s="6"/>
      <c r="I766" s="5">
        <v>1</v>
      </c>
      <c r="J766" s="5">
        <v>1</v>
      </c>
      <c r="K766" s="6"/>
      <c r="L766" s="6"/>
      <c r="M766" s="6"/>
      <c r="N766" s="6"/>
      <c r="O766" s="5">
        <v>1</v>
      </c>
      <c r="P766" s="6"/>
      <c r="Q766" s="6"/>
      <c r="R766" s="5">
        <v>1</v>
      </c>
      <c r="S766" s="6"/>
      <c r="T766" s="6"/>
      <c r="U766" s="6"/>
      <c r="V766" s="6"/>
      <c r="W766" s="5">
        <v>1</v>
      </c>
      <c r="X766" s="6"/>
      <c r="Y766" s="6"/>
      <c r="Z766" s="6"/>
      <c r="AA766" s="6"/>
      <c r="AB766" s="5">
        <v>1</v>
      </c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</row>
    <row r="767" spans="1:39" s="7" customFormat="1" x14ac:dyDescent="0.25">
      <c r="A767" s="5">
        <v>343</v>
      </c>
      <c r="B767" s="6"/>
      <c r="C767" s="6"/>
      <c r="D767" s="6"/>
      <c r="E767" s="5">
        <v>1</v>
      </c>
      <c r="F767" s="6"/>
      <c r="G767" s="6"/>
      <c r="H767" s="6"/>
      <c r="I767" s="5">
        <v>1</v>
      </c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</row>
    <row r="768" spans="1:39" s="7" customFormat="1" x14ac:dyDescent="0.25">
      <c r="A768" s="5">
        <v>343</v>
      </c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5">
        <v>1</v>
      </c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</row>
    <row r="769" spans="1:36" s="7" customFormat="1" x14ac:dyDescent="0.25">
      <c r="A769" s="5">
        <v>343</v>
      </c>
      <c r="B769" s="6"/>
      <c r="C769" s="6"/>
      <c r="D769" s="6"/>
      <c r="E769" s="6"/>
      <c r="F769" s="6"/>
      <c r="G769" s="6"/>
      <c r="H769" s="6"/>
      <c r="I769" s="6"/>
      <c r="J769" s="5">
        <v>1</v>
      </c>
      <c r="K769" s="6"/>
      <c r="L769" s="6"/>
      <c r="M769" s="6"/>
      <c r="N769" s="6"/>
      <c r="O769" s="5">
        <v>1</v>
      </c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</row>
    <row r="770" spans="1:36" s="7" customFormat="1" x14ac:dyDescent="0.25">
      <c r="A770" s="5">
        <v>343</v>
      </c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5">
        <v>1</v>
      </c>
      <c r="S770" s="6"/>
      <c r="T770" s="6"/>
      <c r="U770" s="6"/>
      <c r="V770" s="6"/>
      <c r="W770" s="6"/>
      <c r="X770" s="6"/>
      <c r="Y770" s="6"/>
      <c r="Z770" s="6"/>
      <c r="AA770" s="6"/>
      <c r="AB770" s="5">
        <v>1</v>
      </c>
      <c r="AC770" s="6"/>
      <c r="AD770" s="6"/>
      <c r="AE770" s="6"/>
      <c r="AF770" s="6"/>
      <c r="AG770" s="6"/>
      <c r="AH770" s="6"/>
      <c r="AI770" s="6"/>
      <c r="AJ770" s="6"/>
    </row>
    <row r="771" spans="1:36" s="7" customFormat="1" x14ac:dyDescent="0.25">
      <c r="A771" s="5">
        <v>344</v>
      </c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5">
        <v>1</v>
      </c>
      <c r="O771" s="6"/>
      <c r="P771" s="5">
        <v>1</v>
      </c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5">
        <v>1</v>
      </c>
      <c r="AH771" s="5">
        <v>1</v>
      </c>
      <c r="AI771" s="6"/>
      <c r="AJ771" s="6"/>
    </row>
    <row r="772" spans="1:36" s="7" customFormat="1" x14ac:dyDescent="0.25">
      <c r="A772" s="5">
        <v>344</v>
      </c>
      <c r="B772" s="6"/>
      <c r="C772" s="6"/>
      <c r="D772" s="6"/>
      <c r="E772" s="6"/>
      <c r="F772" s="6"/>
      <c r="G772" s="6"/>
      <c r="H772" s="5">
        <v>1</v>
      </c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5">
        <v>1</v>
      </c>
      <c r="AF772" s="6"/>
      <c r="AG772" s="6"/>
      <c r="AH772" s="6"/>
      <c r="AI772" s="6"/>
      <c r="AJ772" s="6"/>
    </row>
    <row r="773" spans="1:36" s="7" customFormat="1" x14ac:dyDescent="0.25">
      <c r="A773" s="5">
        <v>344</v>
      </c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5">
        <v>1</v>
      </c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5">
        <v>1</v>
      </c>
    </row>
    <row r="774" spans="1:36" s="7" customFormat="1" x14ac:dyDescent="0.25">
      <c r="A774" s="5">
        <v>345</v>
      </c>
      <c r="B774" s="6"/>
      <c r="C774" s="6"/>
      <c r="D774" s="6"/>
      <c r="E774" s="6"/>
      <c r="F774" s="6"/>
      <c r="G774" s="6"/>
      <c r="H774" s="5">
        <v>1</v>
      </c>
      <c r="I774" s="6"/>
      <c r="J774" s="6"/>
      <c r="K774" s="6"/>
      <c r="L774" s="6"/>
      <c r="M774" s="6"/>
      <c r="N774" s="5">
        <v>1</v>
      </c>
      <c r="O774" s="6"/>
      <c r="P774" s="5">
        <v>1</v>
      </c>
      <c r="Q774" s="6"/>
      <c r="R774" s="6"/>
      <c r="S774" s="5">
        <v>1</v>
      </c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5">
        <v>1</v>
      </c>
      <c r="AF774" s="6"/>
      <c r="AG774" s="5">
        <v>1</v>
      </c>
      <c r="AH774" s="5">
        <v>1</v>
      </c>
      <c r="AI774" s="6"/>
      <c r="AJ774" s="5">
        <v>1</v>
      </c>
    </row>
    <row r="775" spans="1:36" s="7" customFormat="1" x14ac:dyDescent="0.25">
      <c r="A775" s="5">
        <v>346</v>
      </c>
      <c r="B775" s="6"/>
      <c r="C775" s="6"/>
      <c r="D775" s="6"/>
      <c r="E775" s="5">
        <v>1</v>
      </c>
      <c r="F775" s="6"/>
      <c r="G775" s="6"/>
      <c r="H775" s="6"/>
      <c r="I775" s="5">
        <v>1</v>
      </c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</row>
    <row r="776" spans="1:36" s="7" customFormat="1" x14ac:dyDescent="0.25">
      <c r="A776" s="5">
        <v>346</v>
      </c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5">
        <v>1</v>
      </c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</row>
    <row r="777" spans="1:36" s="7" customFormat="1" x14ac:dyDescent="0.25">
      <c r="A777" s="5">
        <v>346</v>
      </c>
      <c r="B777" s="6"/>
      <c r="C777" s="6"/>
      <c r="D777" s="6"/>
      <c r="E777" s="6"/>
      <c r="F777" s="6"/>
      <c r="G777" s="6"/>
      <c r="H777" s="6"/>
      <c r="I777" s="6"/>
      <c r="J777" s="5">
        <v>1</v>
      </c>
      <c r="K777" s="6"/>
      <c r="L777" s="6"/>
      <c r="M777" s="6"/>
      <c r="N777" s="6"/>
      <c r="O777" s="5">
        <v>1</v>
      </c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</row>
    <row r="778" spans="1:36" s="7" customFormat="1" x14ac:dyDescent="0.25">
      <c r="A778" s="5">
        <v>346</v>
      </c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5">
        <v>1</v>
      </c>
      <c r="S778" s="6"/>
      <c r="T778" s="6"/>
      <c r="U778" s="6"/>
      <c r="V778" s="6"/>
      <c r="W778" s="6"/>
      <c r="X778" s="6"/>
      <c r="Y778" s="6"/>
      <c r="Z778" s="6"/>
      <c r="AA778" s="6"/>
      <c r="AB778" s="5">
        <v>1</v>
      </c>
      <c r="AC778" s="6"/>
      <c r="AD778" s="6"/>
      <c r="AE778" s="6"/>
      <c r="AF778" s="6"/>
      <c r="AG778" s="6"/>
      <c r="AH778" s="6"/>
      <c r="AI778" s="6"/>
      <c r="AJ778" s="6"/>
    </row>
    <row r="779" spans="1:36" s="7" customFormat="1" x14ac:dyDescent="0.25">
      <c r="A779" s="5">
        <v>346</v>
      </c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5">
        <v>1</v>
      </c>
      <c r="O779" s="6"/>
      <c r="P779" s="5">
        <v>1</v>
      </c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5">
        <v>1</v>
      </c>
      <c r="AH779" s="5">
        <v>1</v>
      </c>
      <c r="AI779" s="6"/>
      <c r="AJ779" s="6"/>
    </row>
    <row r="780" spans="1:36" s="7" customFormat="1" x14ac:dyDescent="0.25">
      <c r="A780" s="5">
        <v>346</v>
      </c>
      <c r="B780" s="6"/>
      <c r="C780" s="6"/>
      <c r="D780" s="6"/>
      <c r="E780" s="6"/>
      <c r="F780" s="6"/>
      <c r="G780" s="6"/>
      <c r="H780" s="5">
        <v>1</v>
      </c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5">
        <v>1</v>
      </c>
      <c r="AF780" s="6"/>
      <c r="AG780" s="6"/>
      <c r="AH780" s="6"/>
      <c r="AI780" s="6"/>
      <c r="AJ780" s="6"/>
    </row>
    <row r="781" spans="1:36" s="7" customFormat="1" x14ac:dyDescent="0.25">
      <c r="A781" s="5">
        <v>346</v>
      </c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5">
        <v>1</v>
      </c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5">
        <v>1</v>
      </c>
    </row>
    <row r="782" spans="1:36" s="7" customFormat="1" x14ac:dyDescent="0.25">
      <c r="A782" s="5">
        <v>347</v>
      </c>
      <c r="B782" s="6"/>
      <c r="C782" s="6"/>
      <c r="D782" s="6"/>
      <c r="E782" s="5">
        <v>1</v>
      </c>
      <c r="F782" s="6"/>
      <c r="G782" s="6"/>
      <c r="H782" s="5">
        <v>1</v>
      </c>
      <c r="I782" s="6"/>
      <c r="J782" s="6"/>
      <c r="K782" s="6"/>
      <c r="L782" s="6"/>
      <c r="M782" s="6"/>
      <c r="N782" s="5">
        <v>1</v>
      </c>
      <c r="O782" s="6"/>
      <c r="P782" s="6"/>
      <c r="Q782" s="6"/>
      <c r="R782" s="5">
        <v>1</v>
      </c>
      <c r="S782" s="5">
        <v>1</v>
      </c>
      <c r="T782" s="6"/>
      <c r="U782" s="6"/>
      <c r="V782" s="6"/>
      <c r="W782" s="5">
        <v>1</v>
      </c>
      <c r="X782" s="6"/>
      <c r="Y782" s="6"/>
      <c r="Z782" s="6"/>
      <c r="AA782" s="6"/>
      <c r="AB782" s="6"/>
      <c r="AC782" s="6"/>
      <c r="AD782" s="6"/>
      <c r="AE782" s="5">
        <v>1</v>
      </c>
      <c r="AF782" s="6"/>
      <c r="AG782" s="5">
        <v>1</v>
      </c>
      <c r="AH782" s="6"/>
      <c r="AI782" s="6"/>
      <c r="AJ782" s="5">
        <v>1</v>
      </c>
    </row>
    <row r="783" spans="1:36" s="7" customFormat="1" x14ac:dyDescent="0.25">
      <c r="A783" s="5">
        <v>347</v>
      </c>
      <c r="B783" s="6"/>
      <c r="C783" s="6"/>
      <c r="D783" s="6"/>
      <c r="E783" s="6"/>
      <c r="F783" s="6"/>
      <c r="G783" s="6"/>
      <c r="H783" s="6"/>
      <c r="I783" s="5">
        <v>1</v>
      </c>
      <c r="J783" s="5">
        <v>1</v>
      </c>
      <c r="K783" s="6"/>
      <c r="L783" s="6"/>
      <c r="M783" s="6"/>
      <c r="N783" s="6"/>
      <c r="O783" s="6"/>
      <c r="P783" s="5">
        <v>1</v>
      </c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5"/>
      <c r="AC783" s="6"/>
      <c r="AD783" s="6"/>
      <c r="AE783" s="6"/>
      <c r="AF783" s="6"/>
      <c r="AG783" s="6"/>
      <c r="AH783" s="5">
        <v>1</v>
      </c>
      <c r="AI783" s="6"/>
      <c r="AJ783" s="6"/>
    </row>
    <row r="784" spans="1:36" s="7" customFormat="1" x14ac:dyDescent="0.25">
      <c r="A784" s="5">
        <v>347</v>
      </c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5">
        <v>1</v>
      </c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</row>
    <row r="785" spans="1:39" s="7" customFormat="1" x14ac:dyDescent="0.25">
      <c r="A785" s="5">
        <v>348</v>
      </c>
      <c r="B785" s="6"/>
      <c r="C785" s="5">
        <v>1</v>
      </c>
      <c r="D785" s="6"/>
      <c r="E785" s="5">
        <v>1</v>
      </c>
      <c r="F785" s="6"/>
      <c r="G785" s="5">
        <v>1</v>
      </c>
      <c r="H785" s="6"/>
      <c r="I785" s="5">
        <v>1</v>
      </c>
      <c r="J785" s="5">
        <v>1</v>
      </c>
      <c r="K785" s="5">
        <v>1</v>
      </c>
      <c r="L785" s="5">
        <v>1</v>
      </c>
      <c r="M785" s="5">
        <v>1</v>
      </c>
      <c r="N785" s="6"/>
      <c r="O785" s="5">
        <v>1</v>
      </c>
      <c r="P785" s="6"/>
      <c r="Q785" s="5">
        <v>1</v>
      </c>
      <c r="R785" s="5">
        <v>1</v>
      </c>
      <c r="S785" s="6"/>
      <c r="T785" s="5">
        <v>1</v>
      </c>
      <c r="U785" s="5">
        <v>1</v>
      </c>
      <c r="V785" s="5">
        <v>1</v>
      </c>
      <c r="W785" s="5">
        <v>1</v>
      </c>
      <c r="X785" s="5">
        <v>1</v>
      </c>
      <c r="Y785" s="5">
        <v>1</v>
      </c>
      <c r="Z785" s="5">
        <v>1</v>
      </c>
      <c r="AA785" s="6"/>
      <c r="AB785" s="5">
        <v>1</v>
      </c>
      <c r="AC785" s="5">
        <v>1</v>
      </c>
      <c r="AD785" s="6"/>
      <c r="AE785" s="6"/>
      <c r="AF785" s="6"/>
      <c r="AG785" s="6"/>
      <c r="AH785" s="6"/>
      <c r="AI785" s="6"/>
      <c r="AJ785" s="6"/>
      <c r="AK785" s="5">
        <v>1</v>
      </c>
      <c r="AL785" s="6"/>
      <c r="AM785" s="5">
        <v>1</v>
      </c>
    </row>
    <row r="786" spans="1:39" s="7" customFormat="1" x14ac:dyDescent="0.25">
      <c r="A786" s="5">
        <v>349</v>
      </c>
      <c r="B786" s="5">
        <v>1</v>
      </c>
      <c r="C786" s="5">
        <v>1</v>
      </c>
      <c r="D786" s="6"/>
      <c r="E786" s="6"/>
      <c r="F786" s="5">
        <v>1</v>
      </c>
      <c r="G786" s="6"/>
      <c r="H786" s="6"/>
      <c r="I786" s="6"/>
      <c r="J786" s="6"/>
      <c r="K786" s="5">
        <v>1</v>
      </c>
      <c r="L786" s="6"/>
      <c r="M786" s="6"/>
      <c r="N786" s="6"/>
      <c r="O786" s="6"/>
      <c r="P786" s="6"/>
      <c r="Q786" s="6"/>
      <c r="R786" s="6"/>
      <c r="S786" s="6"/>
      <c r="T786" s="5">
        <v>1</v>
      </c>
      <c r="U786" s="5">
        <v>1</v>
      </c>
      <c r="V786" s="6"/>
      <c r="W786" s="6"/>
      <c r="X786" s="6"/>
      <c r="Y786" s="5">
        <v>1</v>
      </c>
      <c r="Z786" s="6"/>
      <c r="AA786" s="5">
        <v>1</v>
      </c>
      <c r="AB786" s="6"/>
      <c r="AC786" s="6"/>
      <c r="AD786" s="6"/>
      <c r="AE786" s="6"/>
      <c r="AF786" s="6"/>
      <c r="AG786" s="6"/>
      <c r="AH786" s="6"/>
      <c r="AI786" s="6"/>
      <c r="AJ786" s="6"/>
      <c r="AK786" s="5">
        <v>1</v>
      </c>
      <c r="AL786" s="6"/>
      <c r="AM786" s="5">
        <v>1</v>
      </c>
    </row>
    <row r="787" spans="1:39" s="7" customFormat="1" x14ac:dyDescent="0.25">
      <c r="A787" s="5">
        <v>349</v>
      </c>
      <c r="B787" s="6"/>
      <c r="C787" s="6"/>
      <c r="D787" s="6"/>
      <c r="E787" s="5">
        <v>1</v>
      </c>
      <c r="F787" s="6"/>
      <c r="G787" s="5"/>
      <c r="H787" s="5">
        <v>1</v>
      </c>
      <c r="I787" s="6"/>
      <c r="J787" s="6"/>
      <c r="K787" s="6"/>
      <c r="L787" s="5"/>
      <c r="M787" s="5"/>
      <c r="N787" s="5">
        <v>1</v>
      </c>
      <c r="O787" s="6"/>
      <c r="P787" s="6"/>
      <c r="Q787" s="5"/>
      <c r="R787" s="5">
        <v>1</v>
      </c>
      <c r="S787" s="5">
        <v>1</v>
      </c>
      <c r="T787" s="6"/>
      <c r="U787" s="6"/>
      <c r="V787" s="6"/>
      <c r="W787" s="5">
        <v>1</v>
      </c>
      <c r="X787" s="6"/>
      <c r="Y787" s="6"/>
      <c r="Z787" s="5"/>
      <c r="AA787" s="6"/>
      <c r="AB787" s="6"/>
      <c r="AC787" s="5"/>
      <c r="AD787" s="6"/>
      <c r="AE787" s="5">
        <v>1</v>
      </c>
      <c r="AF787" s="5"/>
      <c r="AG787" s="5">
        <v>1</v>
      </c>
      <c r="AH787" s="6"/>
      <c r="AI787" s="6"/>
      <c r="AJ787" s="5">
        <v>1</v>
      </c>
      <c r="AK787" s="6"/>
      <c r="AL787" s="6"/>
      <c r="AM787" s="6"/>
    </row>
    <row r="788" spans="1:39" s="7" customFormat="1" x14ac:dyDescent="0.25">
      <c r="A788" s="5">
        <v>349</v>
      </c>
      <c r="B788" s="6"/>
      <c r="C788" s="6"/>
      <c r="D788" s="6"/>
      <c r="E788" s="6"/>
      <c r="F788" s="6"/>
      <c r="G788" s="6"/>
      <c r="H788" s="6"/>
      <c r="I788" s="5">
        <v>1</v>
      </c>
      <c r="J788" s="5">
        <v>1</v>
      </c>
      <c r="K788" s="6"/>
      <c r="L788" s="6"/>
      <c r="M788" s="6"/>
      <c r="N788" s="6"/>
      <c r="O788" s="6"/>
      <c r="P788" s="5">
        <v>1</v>
      </c>
      <c r="Q788" s="6"/>
      <c r="R788" s="6"/>
      <c r="S788" s="6"/>
      <c r="T788" s="6"/>
      <c r="U788" s="6"/>
      <c r="V788" s="5"/>
      <c r="W788" s="6"/>
      <c r="X788" s="5"/>
      <c r="Y788" s="6"/>
      <c r="Z788" s="6"/>
      <c r="AA788" s="6"/>
      <c r="AB788" s="5"/>
      <c r="AC788" s="6"/>
      <c r="AD788" s="6"/>
      <c r="AE788" s="6"/>
      <c r="AF788" s="6"/>
      <c r="AG788" s="6"/>
      <c r="AH788" s="5">
        <v>1</v>
      </c>
      <c r="AI788" s="6"/>
      <c r="AJ788" s="6"/>
      <c r="AK788" s="6"/>
      <c r="AL788" s="6"/>
      <c r="AM788" s="6"/>
    </row>
    <row r="789" spans="1:39" s="7" customFormat="1" x14ac:dyDescent="0.25">
      <c r="A789" s="5">
        <v>349</v>
      </c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5">
        <v>1</v>
      </c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</row>
    <row r="790" spans="1:39" s="7" customFormat="1" x14ac:dyDescent="0.25">
      <c r="A790" s="5">
        <v>353</v>
      </c>
      <c r="B790" s="6"/>
      <c r="C790" s="5">
        <v>1</v>
      </c>
      <c r="D790" s="6"/>
      <c r="E790" s="6"/>
      <c r="F790" s="6"/>
      <c r="G790" s="5">
        <v>1</v>
      </c>
      <c r="H790" s="6"/>
      <c r="I790" s="6"/>
      <c r="J790" s="5">
        <v>1</v>
      </c>
      <c r="K790" s="6"/>
      <c r="L790" s="5">
        <v>1</v>
      </c>
      <c r="M790" s="6"/>
      <c r="N790" s="6"/>
      <c r="O790" s="5">
        <v>1</v>
      </c>
      <c r="P790" s="6"/>
      <c r="Q790" s="5">
        <v>1</v>
      </c>
      <c r="R790" s="5">
        <v>1</v>
      </c>
      <c r="S790" s="5">
        <v>1</v>
      </c>
      <c r="T790" s="5">
        <v>1</v>
      </c>
      <c r="U790" s="6"/>
      <c r="V790" s="5">
        <v>1</v>
      </c>
      <c r="W790" s="6"/>
      <c r="X790" s="5">
        <v>1</v>
      </c>
      <c r="Y790" s="6"/>
      <c r="Z790" s="5">
        <v>1</v>
      </c>
      <c r="AA790" s="5">
        <v>1</v>
      </c>
      <c r="AB790" s="5">
        <v>1</v>
      </c>
      <c r="AC790" s="6"/>
      <c r="AD790" s="6"/>
      <c r="AE790" s="6"/>
      <c r="AF790" s="6"/>
      <c r="AG790" s="6"/>
      <c r="AH790" s="6"/>
      <c r="AI790" s="5">
        <v>1</v>
      </c>
      <c r="AJ790" s="5">
        <v>1</v>
      </c>
      <c r="AK790" s="6"/>
      <c r="AL790" s="6"/>
      <c r="AM790" s="5">
        <v>1</v>
      </c>
    </row>
    <row r="791" spans="1:39" s="7" customFormat="1" x14ac:dyDescent="0.25">
      <c r="A791" s="5">
        <v>354</v>
      </c>
      <c r="B791" s="6"/>
      <c r="C791" s="5">
        <v>1</v>
      </c>
      <c r="D791" s="6"/>
      <c r="E791" s="6"/>
      <c r="F791" s="6"/>
      <c r="G791" s="5">
        <v>1</v>
      </c>
      <c r="H791" s="6"/>
      <c r="I791" s="6"/>
      <c r="J791" s="5">
        <v>1</v>
      </c>
      <c r="K791" s="6"/>
      <c r="L791" s="5">
        <v>1</v>
      </c>
      <c r="M791" s="6"/>
      <c r="N791" s="6"/>
      <c r="O791" s="5">
        <v>1</v>
      </c>
      <c r="P791" s="6"/>
      <c r="Q791" s="5">
        <v>1</v>
      </c>
      <c r="R791" s="5">
        <v>1</v>
      </c>
      <c r="S791" s="5">
        <v>1</v>
      </c>
      <c r="T791" s="5">
        <v>1</v>
      </c>
      <c r="U791" s="6"/>
      <c r="V791" s="5">
        <v>1</v>
      </c>
      <c r="W791" s="6"/>
      <c r="X791" s="5">
        <v>1</v>
      </c>
      <c r="Y791" s="6"/>
      <c r="Z791" s="5">
        <v>1</v>
      </c>
      <c r="AA791" s="5">
        <v>1</v>
      </c>
      <c r="AB791" s="5">
        <v>1</v>
      </c>
      <c r="AC791" s="6"/>
      <c r="AD791" s="6"/>
      <c r="AE791" s="6"/>
      <c r="AF791" s="6"/>
      <c r="AG791" s="6"/>
      <c r="AH791" s="6"/>
      <c r="AI791" s="5">
        <v>1</v>
      </c>
      <c r="AJ791" s="5">
        <v>1</v>
      </c>
      <c r="AK791" s="6"/>
      <c r="AL791" s="6"/>
      <c r="AM791" s="5">
        <v>1</v>
      </c>
    </row>
    <row r="792" spans="1:39" s="7" customFormat="1" x14ac:dyDescent="0.25">
      <c r="A792" s="5">
        <v>355</v>
      </c>
      <c r="B792" s="5">
        <v>1</v>
      </c>
      <c r="C792" s="6"/>
      <c r="D792" s="5">
        <v>1</v>
      </c>
      <c r="E792" s="5">
        <v>1</v>
      </c>
      <c r="F792" s="5">
        <v>1</v>
      </c>
      <c r="G792" s="6"/>
      <c r="H792" s="5">
        <v>1</v>
      </c>
      <c r="I792" s="5">
        <v>1</v>
      </c>
      <c r="J792" s="6"/>
      <c r="K792" s="5">
        <v>1</v>
      </c>
      <c r="L792" s="6"/>
      <c r="M792" s="5">
        <v>1</v>
      </c>
      <c r="N792" s="5">
        <v>1</v>
      </c>
      <c r="O792" s="6"/>
      <c r="P792" s="5">
        <v>1</v>
      </c>
      <c r="Q792" s="6"/>
      <c r="R792" s="6"/>
      <c r="S792" s="6"/>
      <c r="T792" s="6"/>
      <c r="U792" s="5">
        <v>1</v>
      </c>
      <c r="V792" s="6"/>
      <c r="W792" s="5">
        <v>1</v>
      </c>
      <c r="X792" s="6"/>
      <c r="Y792" s="5">
        <v>1</v>
      </c>
      <c r="Z792" s="6"/>
      <c r="AA792" s="6"/>
      <c r="AB792" s="6"/>
      <c r="AC792" s="5">
        <v>1</v>
      </c>
      <c r="AD792" s="5">
        <v>1</v>
      </c>
      <c r="AE792" s="5">
        <v>1</v>
      </c>
      <c r="AF792" s="5">
        <v>1</v>
      </c>
      <c r="AG792" s="5">
        <v>1</v>
      </c>
      <c r="AH792" s="5">
        <v>1</v>
      </c>
      <c r="AI792" s="6"/>
      <c r="AJ792" s="6"/>
      <c r="AK792" s="5">
        <v>1</v>
      </c>
      <c r="AL792" s="6"/>
      <c r="AM792" s="6"/>
    </row>
    <row r="793" spans="1:39" s="7" customFormat="1" x14ac:dyDescent="0.25">
      <c r="A793" s="5">
        <v>356</v>
      </c>
      <c r="B793" s="5">
        <v>1</v>
      </c>
      <c r="C793" s="6"/>
      <c r="D793" s="5">
        <v>1</v>
      </c>
      <c r="E793" s="5">
        <v>1</v>
      </c>
      <c r="F793" s="5">
        <v>1</v>
      </c>
      <c r="G793" s="6"/>
      <c r="H793" s="5">
        <v>1</v>
      </c>
      <c r="I793" s="5">
        <v>1</v>
      </c>
      <c r="J793" s="6"/>
      <c r="K793" s="5">
        <v>1</v>
      </c>
      <c r="L793" s="6"/>
      <c r="M793" s="5">
        <v>1</v>
      </c>
      <c r="N793" s="5">
        <v>1</v>
      </c>
      <c r="O793" s="6"/>
      <c r="P793" s="5">
        <v>1</v>
      </c>
      <c r="Q793" s="6"/>
      <c r="R793" s="6"/>
      <c r="S793" s="6"/>
      <c r="T793" s="6"/>
      <c r="U793" s="5">
        <v>1</v>
      </c>
      <c r="V793" s="6"/>
      <c r="W793" s="5">
        <v>1</v>
      </c>
      <c r="X793" s="6"/>
      <c r="Y793" s="5">
        <v>1</v>
      </c>
      <c r="Z793" s="6"/>
      <c r="AA793" s="6"/>
      <c r="AB793" s="6"/>
      <c r="AC793" s="5">
        <v>1</v>
      </c>
      <c r="AD793" s="5">
        <v>1</v>
      </c>
      <c r="AE793" s="5">
        <v>1</v>
      </c>
      <c r="AF793" s="5">
        <v>1</v>
      </c>
      <c r="AG793" s="5">
        <v>1</v>
      </c>
      <c r="AH793" s="5">
        <v>1</v>
      </c>
      <c r="AI793" s="6"/>
      <c r="AJ793" s="6"/>
      <c r="AK793" s="5">
        <v>1</v>
      </c>
      <c r="AL793" s="6"/>
      <c r="AM793" s="6"/>
    </row>
    <row r="794" spans="1:39" s="7" customFormat="1" x14ac:dyDescent="0.25">
      <c r="A794" s="5">
        <v>357</v>
      </c>
      <c r="B794" s="6"/>
      <c r="C794" s="6"/>
      <c r="D794" s="5">
        <v>1</v>
      </c>
      <c r="E794" s="6"/>
      <c r="F794" s="6"/>
      <c r="G794" s="6"/>
      <c r="H794" s="6"/>
      <c r="I794" s="6"/>
      <c r="J794" s="6"/>
      <c r="K794" s="6"/>
      <c r="L794" s="6"/>
      <c r="M794" s="5">
        <v>1</v>
      </c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5">
        <v>1</v>
      </c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</row>
    <row r="795" spans="1:39" s="7" customFormat="1" x14ac:dyDescent="0.25">
      <c r="A795" s="5">
        <v>357</v>
      </c>
      <c r="B795" s="6"/>
      <c r="C795" s="6"/>
      <c r="D795" s="6"/>
      <c r="E795" s="5">
        <v>1</v>
      </c>
      <c r="F795" s="6"/>
      <c r="G795" s="6"/>
      <c r="H795" s="6"/>
      <c r="I795" s="5">
        <v>1</v>
      </c>
      <c r="J795" s="6"/>
      <c r="K795" s="5">
        <v>1</v>
      </c>
      <c r="L795" s="6"/>
      <c r="M795" s="6"/>
      <c r="N795" s="6"/>
      <c r="O795" s="6"/>
      <c r="P795" s="6"/>
      <c r="Q795" s="6"/>
      <c r="R795" s="6"/>
      <c r="S795" s="6"/>
      <c r="T795" s="6"/>
      <c r="U795" s="5">
        <v>1</v>
      </c>
      <c r="V795" s="6"/>
      <c r="W795" s="6"/>
      <c r="X795" s="6"/>
      <c r="Y795" s="6"/>
      <c r="Z795" s="6"/>
      <c r="AA795" s="6"/>
      <c r="AB795" s="6"/>
      <c r="AC795" s="5">
        <v>1</v>
      </c>
      <c r="AD795" s="5">
        <v>1</v>
      </c>
      <c r="AE795" s="6"/>
      <c r="AF795" s="6"/>
      <c r="AG795" s="6"/>
      <c r="AH795" s="6"/>
      <c r="AI795" s="6"/>
      <c r="AJ795" s="6"/>
      <c r="AK795" s="6"/>
      <c r="AL795" s="6"/>
      <c r="AM795" s="6"/>
    </row>
    <row r="796" spans="1:39" s="7" customFormat="1" x14ac:dyDescent="0.25">
      <c r="A796" s="5">
        <v>357</v>
      </c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5">
        <v>1</v>
      </c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5">
        <v>1</v>
      </c>
      <c r="X796" s="5">
        <v>1</v>
      </c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5">
        <v>1</v>
      </c>
      <c r="AL796" s="6"/>
      <c r="AM796" s="6"/>
    </row>
    <row r="797" spans="1:39" s="7" customFormat="1" x14ac:dyDescent="0.25">
      <c r="A797" s="5">
        <v>357</v>
      </c>
      <c r="B797" s="6"/>
      <c r="C797" s="6"/>
      <c r="D797" s="6"/>
      <c r="E797" s="6"/>
      <c r="F797" s="6"/>
      <c r="G797" s="6"/>
      <c r="H797" s="6"/>
      <c r="I797" s="6"/>
      <c r="J797" s="5">
        <v>1</v>
      </c>
      <c r="K797" s="6"/>
      <c r="L797" s="6"/>
      <c r="M797" s="6"/>
      <c r="N797" s="6"/>
      <c r="O797" s="5">
        <v>1</v>
      </c>
      <c r="P797" s="6"/>
      <c r="Q797" s="5">
        <v>1</v>
      </c>
      <c r="R797" s="6"/>
      <c r="S797" s="6"/>
      <c r="T797" s="5">
        <v>1</v>
      </c>
      <c r="U797" s="6"/>
      <c r="V797" s="5">
        <v>1</v>
      </c>
      <c r="W797" s="6"/>
      <c r="X797" s="6"/>
      <c r="Y797" s="6"/>
      <c r="Z797" s="5">
        <v>1</v>
      </c>
      <c r="AA797" s="6"/>
      <c r="AB797" s="6"/>
      <c r="AC797" s="6"/>
      <c r="AD797" s="6"/>
      <c r="AE797" s="6"/>
      <c r="AF797" s="6"/>
      <c r="AG797" s="6"/>
      <c r="AH797" s="6"/>
      <c r="AI797" s="5">
        <v>1</v>
      </c>
      <c r="AJ797" s="6"/>
      <c r="AK797" s="6"/>
      <c r="AL797" s="6"/>
      <c r="AM797" s="6"/>
    </row>
    <row r="798" spans="1:39" s="7" customFormat="1" x14ac:dyDescent="0.25">
      <c r="A798" s="5">
        <v>357</v>
      </c>
      <c r="B798" s="6"/>
      <c r="C798" s="5">
        <v>1</v>
      </c>
      <c r="D798" s="6"/>
      <c r="E798" s="6"/>
      <c r="F798" s="6"/>
      <c r="G798" s="5">
        <v>1</v>
      </c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5">
        <v>1</v>
      </c>
      <c r="S798" s="6"/>
      <c r="T798" s="6"/>
      <c r="U798" s="6"/>
      <c r="V798" s="6"/>
      <c r="W798" s="6"/>
      <c r="X798" s="6"/>
      <c r="Y798" s="6"/>
      <c r="Z798" s="6"/>
      <c r="AA798" s="6"/>
      <c r="AB798" s="5">
        <v>1</v>
      </c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5">
        <v>1</v>
      </c>
    </row>
    <row r="799" spans="1:39" s="7" customFormat="1" x14ac:dyDescent="0.25">
      <c r="A799" s="5">
        <v>357</v>
      </c>
      <c r="B799" s="5">
        <v>1</v>
      </c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5">
        <v>1</v>
      </c>
      <c r="AG799" s="6"/>
      <c r="AH799" s="6"/>
      <c r="AI799" s="6"/>
      <c r="AJ799" s="6"/>
      <c r="AK799" s="6"/>
      <c r="AL799" s="6"/>
      <c r="AM799" s="6"/>
    </row>
    <row r="800" spans="1:39" s="7" customFormat="1" x14ac:dyDescent="0.25">
      <c r="A800" s="5">
        <v>357</v>
      </c>
      <c r="B800" s="6"/>
      <c r="C800" s="6"/>
      <c r="D800" s="6"/>
      <c r="E800" s="6"/>
      <c r="F800" s="5">
        <v>1</v>
      </c>
      <c r="G800" s="6"/>
      <c r="H800" s="6"/>
      <c r="I800" s="6"/>
      <c r="J800" s="6"/>
      <c r="K800" s="6"/>
      <c r="L800" s="6"/>
      <c r="M800" s="6"/>
      <c r="N800" s="5">
        <v>1</v>
      </c>
      <c r="O800" s="6"/>
      <c r="P800" s="5">
        <v>1</v>
      </c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5">
        <v>1</v>
      </c>
      <c r="AH800" s="5">
        <v>1</v>
      </c>
      <c r="AI800" s="6"/>
      <c r="AJ800" s="6"/>
      <c r="AK800" s="6"/>
      <c r="AL800" s="6"/>
      <c r="AM800" s="6"/>
    </row>
    <row r="801" spans="1:39" s="7" customFormat="1" x14ac:dyDescent="0.25">
      <c r="A801" s="5">
        <v>357</v>
      </c>
      <c r="B801" s="6"/>
      <c r="C801" s="6"/>
      <c r="D801" s="6"/>
      <c r="E801" s="6"/>
      <c r="F801" s="6"/>
      <c r="G801" s="6"/>
      <c r="H801" s="5">
        <v>1</v>
      </c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5">
        <v>1</v>
      </c>
      <c r="AF801" s="6"/>
      <c r="AG801" s="6"/>
      <c r="AH801" s="6"/>
      <c r="AI801" s="6"/>
      <c r="AJ801" s="6"/>
      <c r="AK801" s="6"/>
      <c r="AL801" s="6"/>
      <c r="AM801" s="6"/>
    </row>
    <row r="802" spans="1:39" s="7" customFormat="1" x14ac:dyDescent="0.25">
      <c r="A802" s="5">
        <v>357</v>
      </c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5">
        <v>1</v>
      </c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</row>
    <row r="803" spans="1:39" s="7" customFormat="1" x14ac:dyDescent="0.25">
      <c r="A803" s="5">
        <v>357</v>
      </c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5">
        <v>1</v>
      </c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5">
        <v>1</v>
      </c>
      <c r="AK803" s="6"/>
      <c r="AL803" s="6"/>
      <c r="AM803" s="6"/>
    </row>
    <row r="804" spans="1:39" s="7" customFormat="1" x14ac:dyDescent="0.25">
      <c r="A804" s="5">
        <v>358</v>
      </c>
      <c r="B804" s="6"/>
      <c r="C804" s="6"/>
      <c r="D804" s="5">
        <v>1</v>
      </c>
      <c r="E804" s="6"/>
      <c r="F804" s="6"/>
      <c r="G804" s="6"/>
      <c r="H804" s="6"/>
      <c r="I804" s="6"/>
      <c r="J804" s="6"/>
      <c r="K804" s="6"/>
      <c r="L804" s="6"/>
      <c r="M804" s="5">
        <v>1</v>
      </c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5">
        <v>1</v>
      </c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</row>
    <row r="805" spans="1:39" s="7" customFormat="1" x14ac:dyDescent="0.25">
      <c r="A805" s="5">
        <v>358</v>
      </c>
      <c r="B805" s="6"/>
      <c r="C805" s="6"/>
      <c r="D805" s="6"/>
      <c r="E805" s="5">
        <v>1</v>
      </c>
      <c r="F805" s="6"/>
      <c r="G805" s="6"/>
      <c r="H805" s="6"/>
      <c r="I805" s="5">
        <v>1</v>
      </c>
      <c r="J805" s="6"/>
      <c r="K805" s="5">
        <v>1</v>
      </c>
      <c r="L805" s="6"/>
      <c r="M805" s="6"/>
      <c r="N805" s="6"/>
      <c r="O805" s="6"/>
      <c r="P805" s="6"/>
      <c r="Q805" s="6"/>
      <c r="R805" s="6"/>
      <c r="S805" s="6"/>
      <c r="T805" s="6"/>
      <c r="U805" s="5">
        <v>1</v>
      </c>
      <c r="V805" s="6"/>
      <c r="W805" s="6"/>
      <c r="X805" s="6"/>
      <c r="Y805" s="6"/>
      <c r="Z805" s="6"/>
      <c r="AA805" s="6"/>
      <c r="AB805" s="6"/>
      <c r="AC805" s="5">
        <v>1</v>
      </c>
      <c r="AD805" s="5">
        <v>1</v>
      </c>
      <c r="AE805" s="6"/>
      <c r="AF805" s="6"/>
      <c r="AG805" s="6"/>
      <c r="AH805" s="6"/>
      <c r="AI805" s="6"/>
      <c r="AJ805" s="6"/>
      <c r="AK805" s="6"/>
      <c r="AL805" s="6"/>
      <c r="AM805" s="6"/>
    </row>
    <row r="806" spans="1:39" s="7" customFormat="1" x14ac:dyDescent="0.25">
      <c r="A806" s="5">
        <v>358</v>
      </c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5">
        <v>1</v>
      </c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5">
        <v>1</v>
      </c>
      <c r="X806" s="5">
        <v>1</v>
      </c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5">
        <v>1</v>
      </c>
      <c r="AL806" s="6"/>
      <c r="AM806" s="6"/>
    </row>
    <row r="807" spans="1:39" s="7" customFormat="1" x14ac:dyDescent="0.25">
      <c r="A807" s="5">
        <v>358</v>
      </c>
      <c r="B807" s="6"/>
      <c r="C807" s="6"/>
      <c r="D807" s="6"/>
      <c r="E807" s="6"/>
      <c r="F807" s="6"/>
      <c r="G807" s="6"/>
      <c r="H807" s="6"/>
      <c r="I807" s="6"/>
      <c r="J807" s="5">
        <v>1</v>
      </c>
      <c r="K807" s="6"/>
      <c r="L807" s="6"/>
      <c r="M807" s="6"/>
      <c r="N807" s="6"/>
      <c r="O807" s="5">
        <v>1</v>
      </c>
      <c r="P807" s="6"/>
      <c r="Q807" s="5">
        <v>1</v>
      </c>
      <c r="R807" s="6"/>
      <c r="S807" s="6"/>
      <c r="T807" s="5">
        <v>1</v>
      </c>
      <c r="U807" s="6"/>
      <c r="V807" s="5">
        <v>1</v>
      </c>
      <c r="W807" s="6"/>
      <c r="X807" s="6"/>
      <c r="Y807" s="6"/>
      <c r="Z807" s="5">
        <v>1</v>
      </c>
      <c r="AA807" s="6"/>
      <c r="AB807" s="6"/>
      <c r="AC807" s="6"/>
      <c r="AD807" s="6"/>
      <c r="AE807" s="6"/>
      <c r="AF807" s="6"/>
      <c r="AG807" s="6"/>
      <c r="AH807" s="6"/>
      <c r="AI807" s="5">
        <v>1</v>
      </c>
      <c r="AJ807" s="6"/>
      <c r="AK807" s="6"/>
      <c r="AL807" s="6"/>
      <c r="AM807" s="6"/>
    </row>
    <row r="808" spans="1:39" s="7" customFormat="1" x14ac:dyDescent="0.25">
      <c r="A808" s="5">
        <v>358</v>
      </c>
      <c r="B808" s="6"/>
      <c r="C808" s="5">
        <v>1</v>
      </c>
      <c r="D808" s="6"/>
      <c r="E808" s="6"/>
      <c r="F808" s="6"/>
      <c r="G808" s="5">
        <v>1</v>
      </c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5">
        <v>1</v>
      </c>
      <c r="S808" s="6"/>
      <c r="T808" s="6"/>
      <c r="U808" s="6"/>
      <c r="V808" s="6"/>
      <c r="W808" s="6"/>
      <c r="X808" s="6"/>
      <c r="Y808" s="6"/>
      <c r="Z808" s="6"/>
      <c r="AA808" s="6"/>
      <c r="AB808" s="5">
        <v>1</v>
      </c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5">
        <v>1</v>
      </c>
    </row>
    <row r="809" spans="1:39" s="7" customFormat="1" x14ac:dyDescent="0.25">
      <c r="A809" s="5">
        <v>358</v>
      </c>
      <c r="B809" s="5">
        <v>1</v>
      </c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5">
        <v>1</v>
      </c>
      <c r="AG809" s="6"/>
      <c r="AH809" s="6"/>
      <c r="AI809" s="6"/>
      <c r="AJ809" s="6"/>
      <c r="AK809" s="6"/>
      <c r="AL809" s="6"/>
      <c r="AM809" s="6"/>
    </row>
    <row r="810" spans="1:39" s="7" customFormat="1" x14ac:dyDescent="0.25">
      <c r="A810" s="5">
        <v>358</v>
      </c>
      <c r="B810" s="6"/>
      <c r="C810" s="6"/>
      <c r="D810" s="6"/>
      <c r="E810" s="6"/>
      <c r="F810" s="5">
        <v>1</v>
      </c>
      <c r="G810" s="6"/>
      <c r="H810" s="6"/>
      <c r="I810" s="6"/>
      <c r="J810" s="6"/>
      <c r="K810" s="6"/>
      <c r="L810" s="6"/>
      <c r="M810" s="6"/>
      <c r="N810" s="5">
        <v>1</v>
      </c>
      <c r="O810" s="6"/>
      <c r="P810" s="5">
        <v>1</v>
      </c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5">
        <v>1</v>
      </c>
      <c r="AH810" s="5">
        <v>1</v>
      </c>
      <c r="AI810" s="6"/>
      <c r="AJ810" s="6"/>
      <c r="AK810" s="6"/>
      <c r="AL810" s="6"/>
      <c r="AM810" s="6"/>
    </row>
    <row r="811" spans="1:39" s="7" customFormat="1" x14ac:dyDescent="0.25">
      <c r="A811" s="5">
        <v>358</v>
      </c>
      <c r="B811" s="6"/>
      <c r="C811" s="6"/>
      <c r="D811" s="6"/>
      <c r="E811" s="6"/>
      <c r="F811" s="6"/>
      <c r="G811" s="6"/>
      <c r="H811" s="5">
        <v>1</v>
      </c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5">
        <v>1</v>
      </c>
      <c r="AF811" s="6"/>
      <c r="AG811" s="6"/>
      <c r="AH811" s="6"/>
      <c r="AI811" s="6"/>
      <c r="AJ811" s="6"/>
      <c r="AK811" s="6"/>
      <c r="AL811" s="6"/>
      <c r="AM811" s="6"/>
    </row>
    <row r="812" spans="1:39" s="7" customFormat="1" x14ac:dyDescent="0.25">
      <c r="A812" s="5">
        <v>358</v>
      </c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5">
        <v>1</v>
      </c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</row>
    <row r="813" spans="1:39" s="7" customFormat="1" x14ac:dyDescent="0.25">
      <c r="A813" s="5">
        <v>358</v>
      </c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5">
        <v>1</v>
      </c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5">
        <v>1</v>
      </c>
      <c r="AK813" s="6"/>
      <c r="AL813" s="6"/>
      <c r="AM813" s="6"/>
    </row>
    <row r="814" spans="1:39" s="7" customFormat="1" x14ac:dyDescent="0.25">
      <c r="A814" s="5">
        <v>359</v>
      </c>
      <c r="B814" s="5">
        <v>1</v>
      </c>
      <c r="C814" s="5"/>
      <c r="D814" s="5">
        <v>1</v>
      </c>
      <c r="E814" s="5">
        <v>1</v>
      </c>
      <c r="F814" s="5">
        <v>1</v>
      </c>
      <c r="G814" s="5"/>
      <c r="H814" s="5">
        <v>1</v>
      </c>
      <c r="I814" s="5">
        <v>1</v>
      </c>
      <c r="J814" s="5"/>
      <c r="K814" s="5">
        <v>1</v>
      </c>
      <c r="L814" s="5"/>
      <c r="M814" s="5">
        <v>1</v>
      </c>
      <c r="N814" s="5">
        <v>1</v>
      </c>
      <c r="O814" s="5"/>
      <c r="P814" s="5">
        <v>1</v>
      </c>
      <c r="Q814" s="5"/>
      <c r="R814" s="5"/>
      <c r="S814" s="5"/>
      <c r="T814" s="5"/>
      <c r="U814" s="5">
        <v>1</v>
      </c>
      <c r="V814" s="5"/>
      <c r="W814" s="5">
        <v>1</v>
      </c>
      <c r="X814" s="5"/>
      <c r="Y814" s="5">
        <v>1</v>
      </c>
      <c r="Z814" s="5"/>
      <c r="AA814" s="5"/>
      <c r="AB814" s="5"/>
      <c r="AC814" s="5">
        <v>1</v>
      </c>
      <c r="AD814" s="5">
        <v>1</v>
      </c>
      <c r="AE814" s="5">
        <v>1</v>
      </c>
      <c r="AF814" s="5">
        <v>1</v>
      </c>
      <c r="AG814" s="5">
        <v>1</v>
      </c>
      <c r="AH814" s="5">
        <v>1</v>
      </c>
      <c r="AI814" s="5"/>
      <c r="AJ814" s="5"/>
      <c r="AK814" s="5">
        <v>1</v>
      </c>
      <c r="AL814" s="6"/>
      <c r="AM814" s="5"/>
    </row>
    <row r="815" spans="1:39" s="7" customFormat="1" x14ac:dyDescent="0.25">
      <c r="A815" s="5">
        <v>360</v>
      </c>
      <c r="B815" s="5"/>
      <c r="C815" s="6"/>
      <c r="D815" s="6"/>
      <c r="E815" s="5">
        <v>1</v>
      </c>
      <c r="F815" s="5"/>
      <c r="G815" s="6"/>
      <c r="H815" s="5">
        <v>1</v>
      </c>
      <c r="I815" s="5">
        <v>1</v>
      </c>
      <c r="J815" s="6"/>
      <c r="K815" s="6"/>
      <c r="L815" s="6"/>
      <c r="M815" s="6"/>
      <c r="N815" s="5">
        <v>1</v>
      </c>
      <c r="O815" s="6"/>
      <c r="P815" s="5">
        <v>1</v>
      </c>
      <c r="Q815" s="6"/>
      <c r="R815" s="6"/>
      <c r="S815" s="6"/>
      <c r="T815" s="6"/>
      <c r="U815" s="5">
        <v>1</v>
      </c>
      <c r="V815" s="6"/>
      <c r="W815" s="5">
        <v>1</v>
      </c>
      <c r="X815" s="6"/>
      <c r="Y815" s="6"/>
      <c r="Z815" s="6"/>
      <c r="AA815" s="6"/>
      <c r="AB815" s="6"/>
      <c r="AC815" s="5">
        <v>1</v>
      </c>
      <c r="AD815" s="6"/>
      <c r="AE815" s="5">
        <v>1</v>
      </c>
      <c r="AF815" s="5"/>
      <c r="AG815" s="5">
        <v>1</v>
      </c>
      <c r="AH815" s="5">
        <v>1</v>
      </c>
      <c r="AI815" s="6"/>
      <c r="AJ815" s="6"/>
      <c r="AK815" s="5">
        <v>1</v>
      </c>
      <c r="AL815" s="6"/>
      <c r="AM815" s="6"/>
    </row>
    <row r="816" spans="1:39" s="7" customFormat="1" x14ac:dyDescent="0.25">
      <c r="A816" s="5">
        <v>360</v>
      </c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5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</row>
    <row r="817" spans="1:39" s="7" customFormat="1" x14ac:dyDescent="0.25">
      <c r="A817" s="5">
        <v>360</v>
      </c>
      <c r="B817" s="6"/>
      <c r="C817" s="5">
        <v>1</v>
      </c>
      <c r="D817" s="6"/>
      <c r="E817" s="6"/>
      <c r="F817" s="6"/>
      <c r="G817" s="5">
        <v>1</v>
      </c>
      <c r="H817" s="6"/>
      <c r="I817" s="6"/>
      <c r="J817" s="5">
        <v>1</v>
      </c>
      <c r="K817" s="6"/>
      <c r="L817" s="6"/>
      <c r="M817" s="6"/>
      <c r="N817" s="6"/>
      <c r="O817" s="5">
        <v>1</v>
      </c>
      <c r="P817" s="6"/>
      <c r="Q817" s="6"/>
      <c r="R817" s="5">
        <v>1</v>
      </c>
      <c r="S817" s="5">
        <v>1</v>
      </c>
      <c r="T817" s="6"/>
      <c r="U817" s="6"/>
      <c r="V817" s="5">
        <v>1</v>
      </c>
      <c r="W817" s="6"/>
      <c r="X817" s="6"/>
      <c r="Y817" s="6"/>
      <c r="Z817" s="5">
        <v>1</v>
      </c>
      <c r="AA817" s="6"/>
      <c r="AB817" s="5">
        <v>1</v>
      </c>
      <c r="AC817" s="6"/>
      <c r="AD817" s="6"/>
      <c r="AE817" s="6"/>
      <c r="AF817" s="6"/>
      <c r="AG817" s="6"/>
      <c r="AH817" s="6"/>
      <c r="AI817" s="6"/>
      <c r="AJ817" s="5">
        <v>1</v>
      </c>
      <c r="AK817" s="6"/>
      <c r="AL817" s="6"/>
      <c r="AM817" s="6"/>
    </row>
    <row r="818" spans="1:39" s="7" customFormat="1" x14ac:dyDescent="0.25">
      <c r="A818" s="5">
        <v>361</v>
      </c>
      <c r="B818" s="6"/>
      <c r="C818" s="5">
        <v>1</v>
      </c>
      <c r="D818" s="6"/>
      <c r="E818" s="6"/>
      <c r="F818" s="6"/>
      <c r="G818" s="5">
        <v>1</v>
      </c>
      <c r="H818" s="5">
        <v>1</v>
      </c>
      <c r="I818" s="5">
        <v>1</v>
      </c>
      <c r="J818" s="5">
        <v>1</v>
      </c>
      <c r="K818" s="6"/>
      <c r="L818" s="6"/>
      <c r="M818" s="6"/>
      <c r="N818" s="6"/>
      <c r="O818" s="5">
        <v>1</v>
      </c>
      <c r="P818" s="5">
        <v>1</v>
      </c>
      <c r="Q818" s="6"/>
      <c r="R818" s="5">
        <v>1</v>
      </c>
      <c r="S818" s="5">
        <v>1</v>
      </c>
      <c r="T818" s="6"/>
      <c r="U818" s="6"/>
      <c r="V818" s="5">
        <v>1</v>
      </c>
      <c r="W818" s="5">
        <v>1</v>
      </c>
      <c r="X818" s="6"/>
      <c r="Y818" s="6"/>
      <c r="Z818" s="5">
        <v>1</v>
      </c>
      <c r="AA818" s="6"/>
      <c r="AB818" s="5">
        <v>1</v>
      </c>
      <c r="AC818" s="5">
        <v>1</v>
      </c>
      <c r="AD818" s="6"/>
      <c r="AE818" s="5">
        <v>1</v>
      </c>
      <c r="AF818" s="6"/>
      <c r="AG818" s="6"/>
      <c r="AH818" s="5">
        <v>1</v>
      </c>
      <c r="AI818" s="6"/>
      <c r="AJ818" s="5">
        <v>1</v>
      </c>
      <c r="AK818" s="5">
        <v>1</v>
      </c>
      <c r="AL818" s="6"/>
      <c r="AM818" s="5">
        <v>1</v>
      </c>
    </row>
    <row r="819" spans="1:39" s="7" customFormat="1" x14ac:dyDescent="0.25">
      <c r="A819" s="5">
        <v>361</v>
      </c>
      <c r="B819" s="6"/>
      <c r="C819" s="6"/>
      <c r="D819" s="6"/>
      <c r="E819" s="5">
        <v>1</v>
      </c>
      <c r="F819" s="6"/>
      <c r="G819" s="6"/>
      <c r="H819" s="6"/>
      <c r="I819" s="6"/>
      <c r="J819" s="6"/>
      <c r="K819" s="6"/>
      <c r="L819" s="6"/>
      <c r="M819" s="6"/>
      <c r="N819" s="5">
        <v>1</v>
      </c>
      <c r="O819" s="6"/>
      <c r="P819" s="6"/>
      <c r="Q819" s="6"/>
      <c r="R819" s="6"/>
      <c r="S819" s="6"/>
      <c r="T819" s="6"/>
      <c r="U819" s="5">
        <v>1</v>
      </c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5">
        <v>1</v>
      </c>
      <c r="AH819" s="6"/>
      <c r="AI819" s="6"/>
      <c r="AJ819" s="6"/>
      <c r="AK819" s="6"/>
      <c r="AL819" s="6"/>
      <c r="AM819" s="6"/>
    </row>
    <row r="820" spans="1:39" s="7" customFormat="1" x14ac:dyDescent="0.25">
      <c r="A820" s="5">
        <v>362</v>
      </c>
      <c r="B820" s="9"/>
      <c r="C820" s="11">
        <v>1</v>
      </c>
      <c r="D820" s="9"/>
      <c r="E820" s="9"/>
      <c r="F820" s="11">
        <v>1</v>
      </c>
      <c r="G820" s="11">
        <v>1</v>
      </c>
      <c r="H820" s="11">
        <v>1</v>
      </c>
      <c r="I820" s="9">
        <v>1</v>
      </c>
      <c r="J820" s="11">
        <v>1</v>
      </c>
      <c r="K820" s="11">
        <v>1</v>
      </c>
      <c r="L820" s="11">
        <v>1</v>
      </c>
      <c r="M820" s="9">
        <v>1</v>
      </c>
      <c r="N820" s="9"/>
      <c r="O820" s="11">
        <v>1</v>
      </c>
      <c r="P820" s="9">
        <v>1</v>
      </c>
      <c r="Q820" s="11">
        <v>1</v>
      </c>
      <c r="R820" s="9">
        <v>1</v>
      </c>
      <c r="S820" s="9">
        <v>1</v>
      </c>
      <c r="T820" s="9">
        <v>1</v>
      </c>
      <c r="U820" s="9"/>
      <c r="V820" s="11">
        <v>1</v>
      </c>
      <c r="W820" s="11">
        <v>1</v>
      </c>
      <c r="X820" s="11">
        <v>1</v>
      </c>
      <c r="Y820" s="11"/>
      <c r="Z820" s="11">
        <v>1</v>
      </c>
      <c r="AA820" s="11">
        <v>1</v>
      </c>
      <c r="AB820" s="11">
        <v>1</v>
      </c>
      <c r="AC820" s="9">
        <v>1</v>
      </c>
      <c r="AD820" s="9">
        <v>1</v>
      </c>
      <c r="AE820" s="9">
        <v>1</v>
      </c>
      <c r="AF820" s="9">
        <v>1</v>
      </c>
      <c r="AG820" s="9"/>
      <c r="AH820" s="9">
        <v>1</v>
      </c>
      <c r="AI820" s="9">
        <v>1</v>
      </c>
      <c r="AJ820" s="9">
        <v>1</v>
      </c>
      <c r="AK820" s="9">
        <v>1</v>
      </c>
      <c r="AL820" s="9"/>
      <c r="AM820" s="9"/>
    </row>
    <row r="821" spans="1:39" s="7" customFormat="1" x14ac:dyDescent="0.25">
      <c r="A821" s="5">
        <v>365</v>
      </c>
      <c r="B821" s="5">
        <v>1</v>
      </c>
      <c r="C821" s="6"/>
      <c r="D821" s="6"/>
      <c r="E821" s="5">
        <v>1</v>
      </c>
      <c r="F821" s="5">
        <v>1</v>
      </c>
      <c r="G821" s="6"/>
      <c r="H821" s="5">
        <v>1</v>
      </c>
      <c r="I821" s="5">
        <v>1</v>
      </c>
      <c r="J821" s="6"/>
      <c r="K821" s="5">
        <v>1</v>
      </c>
      <c r="L821" s="6"/>
      <c r="M821" s="5">
        <v>1</v>
      </c>
      <c r="N821" s="5">
        <v>1</v>
      </c>
      <c r="O821" s="6"/>
      <c r="P821" s="5">
        <v>1</v>
      </c>
      <c r="Q821" s="6"/>
      <c r="R821" s="6"/>
      <c r="S821" s="6"/>
      <c r="T821" s="6"/>
      <c r="U821" s="5">
        <v>1</v>
      </c>
      <c r="V821" s="6"/>
      <c r="W821" s="5">
        <v>1</v>
      </c>
      <c r="X821" s="6"/>
      <c r="Y821" s="5">
        <v>1</v>
      </c>
      <c r="Z821" s="6"/>
      <c r="AA821" s="6"/>
      <c r="AB821" s="6"/>
      <c r="AC821" s="5">
        <v>1</v>
      </c>
      <c r="AD821" s="6"/>
      <c r="AE821" s="5">
        <v>1</v>
      </c>
      <c r="AF821" s="5">
        <v>1</v>
      </c>
      <c r="AG821" s="5">
        <v>1</v>
      </c>
      <c r="AH821" s="5">
        <v>1</v>
      </c>
      <c r="AI821" s="6"/>
      <c r="AJ821" s="6"/>
      <c r="AK821" s="5">
        <v>1</v>
      </c>
      <c r="AL821" s="6"/>
      <c r="AM821" s="6"/>
    </row>
    <row r="822" spans="1:39" s="7" customFormat="1" x14ac:dyDescent="0.25">
      <c r="A822" s="5">
        <v>365</v>
      </c>
      <c r="B822" s="6"/>
      <c r="C822" s="6"/>
      <c r="D822" s="5">
        <v>1</v>
      </c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5">
        <v>1</v>
      </c>
      <c r="AE822" s="6"/>
      <c r="AF822" s="6"/>
      <c r="AG822" s="6"/>
      <c r="AH822" s="6"/>
      <c r="AI822" s="6"/>
      <c r="AJ822" s="6"/>
      <c r="AK822" s="6"/>
      <c r="AL822" s="5">
        <v>1</v>
      </c>
      <c r="AM822" s="6"/>
    </row>
    <row r="823" spans="1:39" s="7" customFormat="1" x14ac:dyDescent="0.25">
      <c r="A823" s="5">
        <v>366</v>
      </c>
      <c r="B823" s="5">
        <v>1</v>
      </c>
      <c r="C823" s="6"/>
      <c r="D823" s="5">
        <v>1</v>
      </c>
      <c r="E823" s="5">
        <v>1</v>
      </c>
      <c r="F823" s="5">
        <v>1</v>
      </c>
      <c r="G823" s="6"/>
      <c r="H823" s="5"/>
      <c r="I823" s="5">
        <v>1</v>
      </c>
      <c r="J823" s="6"/>
      <c r="K823" s="5">
        <v>1</v>
      </c>
      <c r="L823" s="6"/>
      <c r="M823" s="5">
        <v>1</v>
      </c>
      <c r="N823" s="5"/>
      <c r="O823" s="6"/>
      <c r="P823" s="5">
        <v>1</v>
      </c>
      <c r="Q823" s="6"/>
      <c r="R823" s="6"/>
      <c r="S823" s="6"/>
      <c r="T823" s="6"/>
      <c r="U823" s="5">
        <v>1</v>
      </c>
      <c r="V823" s="6"/>
      <c r="W823" s="5">
        <v>1</v>
      </c>
      <c r="X823" s="6"/>
      <c r="Y823" s="5">
        <v>1</v>
      </c>
      <c r="Z823" s="6"/>
      <c r="AA823" s="6"/>
      <c r="AB823" s="6"/>
      <c r="AC823" s="5">
        <v>1</v>
      </c>
      <c r="AD823" s="5">
        <v>1</v>
      </c>
      <c r="AE823" s="5"/>
      <c r="AF823" s="5">
        <v>1</v>
      </c>
      <c r="AG823" s="5"/>
      <c r="AH823" s="5"/>
      <c r="AI823" s="6"/>
      <c r="AJ823" s="6"/>
      <c r="AK823" s="5">
        <v>1</v>
      </c>
      <c r="AL823" s="5">
        <v>1</v>
      </c>
      <c r="AM823" s="6"/>
    </row>
    <row r="824" spans="1:39" s="7" customFormat="1" x14ac:dyDescent="0.25">
      <c r="A824" s="5">
        <v>367</v>
      </c>
      <c r="B824" s="6"/>
      <c r="C824" s="6"/>
      <c r="D824" s="5">
        <v>1</v>
      </c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5">
        <v>1</v>
      </c>
      <c r="AE824" s="6"/>
      <c r="AF824" s="6"/>
      <c r="AG824" s="6"/>
      <c r="AH824" s="6"/>
      <c r="AI824" s="5">
        <v>1</v>
      </c>
      <c r="AJ824" s="6"/>
      <c r="AK824" s="6"/>
      <c r="AL824" s="5">
        <v>1</v>
      </c>
      <c r="AM824" s="6"/>
    </row>
    <row r="825" spans="1:39" s="7" customFormat="1" x14ac:dyDescent="0.25">
      <c r="A825" s="5">
        <v>368</v>
      </c>
      <c r="B825" s="5">
        <v>1</v>
      </c>
      <c r="C825" s="5">
        <v>1</v>
      </c>
      <c r="D825" s="5">
        <v>1</v>
      </c>
      <c r="E825" s="5">
        <v>1</v>
      </c>
      <c r="F825" s="5">
        <v>1</v>
      </c>
      <c r="G825" s="5">
        <v>1</v>
      </c>
      <c r="H825" s="5">
        <v>1</v>
      </c>
      <c r="I825" s="5">
        <v>1</v>
      </c>
      <c r="J825" s="5">
        <v>1</v>
      </c>
      <c r="K825" s="5">
        <v>1</v>
      </c>
      <c r="L825" s="5">
        <v>1</v>
      </c>
      <c r="M825" s="5">
        <v>1</v>
      </c>
      <c r="N825" s="5">
        <v>1</v>
      </c>
      <c r="O825" s="5">
        <v>1</v>
      </c>
      <c r="P825" s="5">
        <v>1</v>
      </c>
      <c r="Q825" s="5">
        <v>1</v>
      </c>
      <c r="R825" s="5">
        <v>1</v>
      </c>
      <c r="S825" s="5">
        <v>1</v>
      </c>
      <c r="T825" s="5">
        <v>1</v>
      </c>
      <c r="U825" s="5">
        <v>1</v>
      </c>
      <c r="V825" s="5">
        <v>1</v>
      </c>
      <c r="W825" s="5">
        <v>1</v>
      </c>
      <c r="X825" s="5">
        <v>1</v>
      </c>
      <c r="Y825" s="5">
        <v>1</v>
      </c>
      <c r="Z825" s="5">
        <v>1</v>
      </c>
      <c r="AA825" s="5">
        <v>1</v>
      </c>
      <c r="AB825" s="5">
        <v>1</v>
      </c>
      <c r="AC825" s="5">
        <v>1</v>
      </c>
      <c r="AD825" s="5">
        <v>1</v>
      </c>
      <c r="AE825" s="5">
        <v>1</v>
      </c>
      <c r="AF825" s="5">
        <v>1</v>
      </c>
      <c r="AG825" s="5">
        <v>1</v>
      </c>
      <c r="AH825" s="5">
        <v>1</v>
      </c>
      <c r="AI825" s="5">
        <v>1</v>
      </c>
      <c r="AJ825" s="5">
        <v>1</v>
      </c>
      <c r="AK825" s="5">
        <v>1</v>
      </c>
      <c r="AL825" s="5">
        <v>1</v>
      </c>
      <c r="AM825" s="5">
        <v>1</v>
      </c>
    </row>
    <row r="826" spans="1:39" s="7" customFormat="1" x14ac:dyDescent="0.25">
      <c r="A826" s="5">
        <v>369</v>
      </c>
      <c r="B826" s="6"/>
      <c r="C826" s="6"/>
      <c r="D826" s="5">
        <v>1</v>
      </c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5">
        <v>1</v>
      </c>
      <c r="AM826" s="6"/>
    </row>
    <row r="827" spans="1:39" s="7" customFormat="1" x14ac:dyDescent="0.25">
      <c r="A827" s="5">
        <v>369</v>
      </c>
      <c r="B827" s="5">
        <v>1</v>
      </c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5">
        <v>1</v>
      </c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5">
        <v>1</v>
      </c>
      <c r="Z827" s="6"/>
      <c r="AA827" s="6"/>
      <c r="AB827" s="6"/>
      <c r="AC827" s="6"/>
      <c r="AD827" s="5">
        <v>1</v>
      </c>
      <c r="AE827" s="6"/>
      <c r="AF827" s="5">
        <v>1</v>
      </c>
      <c r="AG827" s="6"/>
      <c r="AH827" s="6"/>
      <c r="AI827" s="6"/>
      <c r="AJ827" s="6"/>
      <c r="AK827" s="6"/>
      <c r="AL827" s="6"/>
      <c r="AM827" s="6"/>
    </row>
    <row r="828" spans="1:39" s="7" customFormat="1" x14ac:dyDescent="0.25">
      <c r="A828" s="5">
        <v>369</v>
      </c>
      <c r="B828" s="6"/>
      <c r="C828" s="6"/>
      <c r="D828" s="6"/>
      <c r="E828" s="6"/>
      <c r="F828" s="5">
        <v>1</v>
      </c>
      <c r="G828" s="6"/>
      <c r="H828" s="6"/>
      <c r="I828" s="6"/>
      <c r="J828" s="6"/>
      <c r="K828" s="5">
        <v>1</v>
      </c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</row>
    <row r="829" spans="1:39" s="7" customFormat="1" x14ac:dyDescent="0.25">
      <c r="A829" s="5">
        <v>369</v>
      </c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5">
        <v>1</v>
      </c>
      <c r="M829" s="6"/>
      <c r="N829" s="6"/>
      <c r="O829" s="6"/>
      <c r="P829" s="6"/>
      <c r="Q829" s="6"/>
      <c r="R829" s="6"/>
      <c r="S829" s="6"/>
      <c r="T829" s="6"/>
      <c r="U829" s="5">
        <v>1</v>
      </c>
      <c r="V829" s="6"/>
      <c r="W829" s="6"/>
      <c r="X829" s="5">
        <v>1</v>
      </c>
      <c r="Y829" s="6"/>
      <c r="Z829" s="6"/>
      <c r="AA829" s="6"/>
      <c r="AB829" s="6"/>
      <c r="AC829" s="5">
        <v>1</v>
      </c>
      <c r="AD829" s="6"/>
      <c r="AE829" s="6"/>
      <c r="AF829" s="6"/>
      <c r="AG829" s="6"/>
      <c r="AH829" s="6"/>
      <c r="AI829" s="5">
        <v>1</v>
      </c>
      <c r="AJ829" s="6"/>
      <c r="AK829" s="6"/>
      <c r="AL829" s="6"/>
      <c r="AM829" s="6"/>
    </row>
    <row r="830" spans="1:39" s="7" customFormat="1" x14ac:dyDescent="0.25">
      <c r="A830" s="5">
        <v>369</v>
      </c>
      <c r="B830" s="6"/>
      <c r="C830" s="6"/>
      <c r="D830" s="6"/>
      <c r="E830" s="5">
        <v>1</v>
      </c>
      <c r="F830" s="6"/>
      <c r="G830" s="6"/>
      <c r="H830" s="6"/>
      <c r="I830" s="5">
        <v>1</v>
      </c>
      <c r="J830" s="6"/>
      <c r="K830" s="6"/>
      <c r="L830" s="6"/>
      <c r="M830" s="6"/>
      <c r="N830" s="5">
        <v>1</v>
      </c>
      <c r="O830" s="6"/>
      <c r="P830" s="5">
        <v>1</v>
      </c>
      <c r="Q830" s="5">
        <v>1</v>
      </c>
      <c r="R830" s="6"/>
      <c r="S830" s="6"/>
      <c r="T830" s="5">
        <v>1</v>
      </c>
      <c r="U830" s="6"/>
      <c r="V830" s="6"/>
      <c r="W830" s="6"/>
      <c r="X830" s="6"/>
      <c r="Y830" s="6"/>
      <c r="Z830" s="6"/>
      <c r="AA830" s="5">
        <v>1</v>
      </c>
      <c r="AB830" s="6"/>
      <c r="AC830" s="6"/>
      <c r="AD830" s="6"/>
      <c r="AE830" s="6"/>
      <c r="AF830" s="6"/>
      <c r="AG830" s="5">
        <v>1</v>
      </c>
      <c r="AH830" s="5">
        <v>1</v>
      </c>
      <c r="AI830" s="6"/>
      <c r="AJ830" s="6"/>
      <c r="AK830" s="5">
        <v>1</v>
      </c>
      <c r="AL830" s="6"/>
      <c r="AM830" s="6"/>
    </row>
    <row r="831" spans="1:39" s="7" customFormat="1" x14ac:dyDescent="0.25">
      <c r="A831" s="5">
        <v>369</v>
      </c>
      <c r="B831" s="6"/>
      <c r="C831" s="6"/>
      <c r="D831" s="6"/>
      <c r="E831" s="6"/>
      <c r="F831" s="6"/>
      <c r="G831" s="6"/>
      <c r="H831" s="5">
        <v>1</v>
      </c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5">
        <v>1</v>
      </c>
      <c r="W831" s="5">
        <v>1</v>
      </c>
      <c r="X831" s="6"/>
      <c r="Y831" s="6"/>
      <c r="Z831" s="5">
        <v>1</v>
      </c>
      <c r="AA831" s="6"/>
      <c r="AB831" s="6"/>
      <c r="AC831" s="6"/>
      <c r="AD831" s="6"/>
      <c r="AE831" s="5">
        <v>1</v>
      </c>
      <c r="AF831" s="6"/>
      <c r="AG831" s="6"/>
      <c r="AH831" s="6"/>
      <c r="AI831" s="6"/>
      <c r="AJ831" s="6"/>
      <c r="AK831" s="6"/>
      <c r="AL831" s="6"/>
      <c r="AM831" s="6"/>
    </row>
    <row r="832" spans="1:39" s="7" customFormat="1" x14ac:dyDescent="0.25">
      <c r="A832" s="5">
        <v>369</v>
      </c>
      <c r="B832" s="6"/>
      <c r="C832" s="5">
        <v>1</v>
      </c>
      <c r="D832" s="6"/>
      <c r="E832" s="6"/>
      <c r="F832" s="6"/>
      <c r="G832" s="5">
        <v>1</v>
      </c>
      <c r="H832" s="6"/>
      <c r="I832" s="6"/>
      <c r="J832" s="5">
        <v>1</v>
      </c>
      <c r="K832" s="6"/>
      <c r="L832" s="6"/>
      <c r="M832" s="6"/>
      <c r="N832" s="6"/>
      <c r="O832" s="5">
        <v>1</v>
      </c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5">
        <v>1</v>
      </c>
    </row>
    <row r="833" spans="1:39" s="7" customFormat="1" x14ac:dyDescent="0.25">
      <c r="A833" s="5">
        <v>369</v>
      </c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5">
        <v>1</v>
      </c>
      <c r="S833" s="5">
        <v>1</v>
      </c>
      <c r="T833" s="6"/>
      <c r="U833" s="6"/>
      <c r="V833" s="6"/>
      <c r="W833" s="6"/>
      <c r="X833" s="6"/>
      <c r="Y833" s="6"/>
      <c r="Z833" s="6"/>
      <c r="AA833" s="6"/>
      <c r="AB833" s="5">
        <v>1</v>
      </c>
      <c r="AC833" s="6"/>
      <c r="AD833" s="6"/>
      <c r="AE833" s="6"/>
      <c r="AF833" s="6"/>
      <c r="AG833" s="6"/>
      <c r="AH833" s="6"/>
      <c r="AI833" s="6"/>
      <c r="AJ833" s="5">
        <v>1</v>
      </c>
      <c r="AK833" s="6"/>
      <c r="AL833" s="6"/>
      <c r="AM833" s="6"/>
    </row>
    <row r="834" spans="1:39" s="7" customFormat="1" x14ac:dyDescent="0.25">
      <c r="A834" s="5">
        <v>370</v>
      </c>
      <c r="B834" s="5">
        <v>1</v>
      </c>
      <c r="C834" s="5">
        <v>1</v>
      </c>
      <c r="D834" s="5">
        <v>1</v>
      </c>
      <c r="E834" s="5">
        <v>1</v>
      </c>
      <c r="F834" s="5">
        <v>1</v>
      </c>
      <c r="G834" s="5">
        <v>1</v>
      </c>
      <c r="H834" s="5">
        <v>1</v>
      </c>
      <c r="I834" s="5">
        <v>1</v>
      </c>
      <c r="J834" s="5">
        <v>1</v>
      </c>
      <c r="K834" s="5">
        <v>1</v>
      </c>
      <c r="L834" s="5">
        <v>1</v>
      </c>
      <c r="M834" s="5">
        <v>1</v>
      </c>
      <c r="N834" s="5">
        <v>1</v>
      </c>
      <c r="O834" s="5">
        <v>1</v>
      </c>
      <c r="P834" s="5">
        <v>1</v>
      </c>
      <c r="Q834" s="5">
        <v>1</v>
      </c>
      <c r="R834" s="5">
        <v>1</v>
      </c>
      <c r="S834" s="5">
        <v>1</v>
      </c>
      <c r="T834" s="5">
        <v>1</v>
      </c>
      <c r="U834" s="5">
        <v>1</v>
      </c>
      <c r="V834" s="5">
        <v>1</v>
      </c>
      <c r="W834" s="5">
        <v>1</v>
      </c>
      <c r="X834" s="5">
        <v>1</v>
      </c>
      <c r="Y834" s="5">
        <v>1</v>
      </c>
      <c r="Z834" s="5">
        <v>1</v>
      </c>
      <c r="AA834" s="5">
        <v>1</v>
      </c>
      <c r="AB834" s="5">
        <v>1</v>
      </c>
      <c r="AC834" s="5">
        <v>1</v>
      </c>
      <c r="AD834" s="5">
        <v>1</v>
      </c>
      <c r="AE834" s="5">
        <v>1</v>
      </c>
      <c r="AF834" s="5">
        <v>1</v>
      </c>
      <c r="AG834" s="5">
        <v>1</v>
      </c>
      <c r="AH834" s="5">
        <v>1</v>
      </c>
      <c r="AI834" s="5">
        <v>1</v>
      </c>
      <c r="AJ834" s="5">
        <v>1</v>
      </c>
      <c r="AK834" s="5">
        <v>1</v>
      </c>
      <c r="AL834" s="5">
        <v>1</v>
      </c>
      <c r="AM834" s="5">
        <v>1</v>
      </c>
    </row>
    <row r="835" spans="1:39" s="7" customFormat="1" x14ac:dyDescent="0.25">
      <c r="A835" s="5">
        <v>371</v>
      </c>
      <c r="B835" s="6"/>
      <c r="C835" s="6"/>
      <c r="D835" s="5">
        <v>1</v>
      </c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5">
        <v>1</v>
      </c>
      <c r="AM835" s="6"/>
    </row>
    <row r="836" spans="1:39" s="7" customFormat="1" x14ac:dyDescent="0.25">
      <c r="A836" s="5">
        <v>371</v>
      </c>
      <c r="B836" s="5">
        <v>1</v>
      </c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5">
        <v>1</v>
      </c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5">
        <v>1</v>
      </c>
      <c r="Z836" s="6"/>
      <c r="AA836" s="6"/>
      <c r="AB836" s="6"/>
      <c r="AC836" s="6"/>
      <c r="AD836" s="5">
        <v>1</v>
      </c>
      <c r="AE836" s="6"/>
      <c r="AF836" s="5">
        <v>1</v>
      </c>
      <c r="AG836" s="6"/>
      <c r="AH836" s="6"/>
      <c r="AI836" s="6"/>
      <c r="AJ836" s="6"/>
      <c r="AK836" s="6"/>
      <c r="AL836" s="6"/>
      <c r="AM836" s="6"/>
    </row>
    <row r="837" spans="1:39" s="7" customFormat="1" x14ac:dyDescent="0.25">
      <c r="A837" s="5">
        <v>371</v>
      </c>
      <c r="B837" s="6"/>
      <c r="C837" s="6"/>
      <c r="D837" s="6"/>
      <c r="E837" s="6"/>
      <c r="F837" s="5">
        <v>1</v>
      </c>
      <c r="G837" s="6"/>
      <c r="H837" s="6"/>
      <c r="I837" s="6"/>
      <c r="J837" s="6"/>
      <c r="K837" s="5">
        <v>1</v>
      </c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</row>
    <row r="838" spans="1:39" s="7" customFormat="1" x14ac:dyDescent="0.25">
      <c r="A838" s="5">
        <v>371</v>
      </c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5">
        <v>1</v>
      </c>
      <c r="M838" s="6"/>
      <c r="N838" s="6"/>
      <c r="O838" s="6"/>
      <c r="P838" s="6"/>
      <c r="Q838" s="6"/>
      <c r="R838" s="6"/>
      <c r="S838" s="6"/>
      <c r="T838" s="6"/>
      <c r="U838" s="5">
        <v>1</v>
      </c>
      <c r="V838" s="6"/>
      <c r="W838" s="6"/>
      <c r="X838" s="5">
        <v>1</v>
      </c>
      <c r="Y838" s="6"/>
      <c r="Z838" s="6"/>
      <c r="AA838" s="6"/>
      <c r="AB838" s="6"/>
      <c r="AC838" s="5">
        <v>1</v>
      </c>
      <c r="AD838" s="6"/>
      <c r="AE838" s="6"/>
      <c r="AF838" s="6"/>
      <c r="AG838" s="6"/>
      <c r="AH838" s="6"/>
      <c r="AI838" s="5">
        <v>1</v>
      </c>
      <c r="AJ838" s="6"/>
      <c r="AK838" s="6"/>
      <c r="AL838" s="6"/>
      <c r="AM838" s="6"/>
    </row>
    <row r="839" spans="1:39" s="7" customFormat="1" x14ac:dyDescent="0.25">
      <c r="A839" s="5">
        <v>371</v>
      </c>
      <c r="B839" s="6"/>
      <c r="C839" s="6"/>
      <c r="D839" s="6"/>
      <c r="E839" s="5">
        <v>1</v>
      </c>
      <c r="F839" s="6"/>
      <c r="G839" s="6"/>
      <c r="H839" s="6"/>
      <c r="I839" s="5">
        <v>1</v>
      </c>
      <c r="J839" s="6"/>
      <c r="K839" s="6"/>
      <c r="L839" s="6"/>
      <c r="M839" s="6"/>
      <c r="N839" s="5">
        <v>1</v>
      </c>
      <c r="O839" s="6"/>
      <c r="P839" s="5">
        <v>1</v>
      </c>
      <c r="Q839" s="5">
        <v>1</v>
      </c>
      <c r="R839" s="6"/>
      <c r="S839" s="6"/>
      <c r="T839" s="5">
        <v>1</v>
      </c>
      <c r="U839" s="6"/>
      <c r="V839" s="6"/>
      <c r="W839" s="6"/>
      <c r="X839" s="6"/>
      <c r="Y839" s="6"/>
      <c r="Z839" s="6"/>
      <c r="AA839" s="5">
        <v>1</v>
      </c>
      <c r="AB839" s="6"/>
      <c r="AC839" s="6"/>
      <c r="AD839" s="6"/>
      <c r="AE839" s="6"/>
      <c r="AF839" s="6"/>
      <c r="AG839" s="5">
        <v>1</v>
      </c>
      <c r="AH839" s="5">
        <v>1</v>
      </c>
      <c r="AI839" s="6"/>
      <c r="AJ839" s="6"/>
      <c r="AK839" s="5">
        <v>1</v>
      </c>
      <c r="AL839" s="6"/>
      <c r="AM839" s="6"/>
    </row>
    <row r="840" spans="1:39" s="7" customFormat="1" x14ac:dyDescent="0.25">
      <c r="A840" s="5">
        <v>371</v>
      </c>
      <c r="B840" s="6"/>
      <c r="C840" s="6"/>
      <c r="D840" s="6"/>
      <c r="E840" s="6"/>
      <c r="F840" s="6"/>
      <c r="G840" s="6"/>
      <c r="H840" s="5">
        <v>1</v>
      </c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5">
        <v>1</v>
      </c>
      <c r="W840" s="5">
        <v>1</v>
      </c>
      <c r="X840" s="6"/>
      <c r="Y840" s="6"/>
      <c r="Z840" s="5">
        <v>1</v>
      </c>
      <c r="AA840" s="6"/>
      <c r="AB840" s="6"/>
      <c r="AC840" s="6"/>
      <c r="AD840" s="6"/>
      <c r="AE840" s="5">
        <v>1</v>
      </c>
      <c r="AF840" s="6"/>
      <c r="AG840" s="6"/>
      <c r="AH840" s="6"/>
      <c r="AI840" s="6"/>
      <c r="AJ840" s="6"/>
      <c r="AK840" s="6"/>
      <c r="AL840" s="6"/>
      <c r="AM840" s="6"/>
    </row>
    <row r="841" spans="1:39" s="7" customFormat="1" x14ac:dyDescent="0.25">
      <c r="A841" s="5">
        <v>371</v>
      </c>
      <c r="B841" s="6"/>
      <c r="C841" s="5">
        <v>1</v>
      </c>
      <c r="D841" s="6"/>
      <c r="E841" s="6"/>
      <c r="F841" s="6"/>
      <c r="G841" s="5">
        <v>1</v>
      </c>
      <c r="H841" s="6"/>
      <c r="I841" s="6"/>
      <c r="J841" s="5">
        <v>1</v>
      </c>
      <c r="K841" s="6"/>
      <c r="L841" s="6"/>
      <c r="M841" s="6"/>
      <c r="N841" s="6"/>
      <c r="O841" s="5">
        <v>1</v>
      </c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5">
        <v>1</v>
      </c>
    </row>
    <row r="842" spans="1:39" s="7" customFormat="1" x14ac:dyDescent="0.25">
      <c r="A842" s="5">
        <v>371</v>
      </c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5">
        <v>1</v>
      </c>
      <c r="S842" s="5">
        <v>1</v>
      </c>
      <c r="T842" s="6"/>
      <c r="U842" s="6"/>
      <c r="V842" s="6"/>
      <c r="W842" s="6"/>
      <c r="X842" s="6"/>
      <c r="Y842" s="6"/>
      <c r="Z842" s="6"/>
      <c r="AA842" s="6"/>
      <c r="AB842" s="5">
        <v>1</v>
      </c>
      <c r="AC842" s="6"/>
      <c r="AD842" s="6"/>
      <c r="AE842" s="6"/>
      <c r="AF842" s="6"/>
      <c r="AG842" s="6"/>
      <c r="AH842" s="6"/>
      <c r="AI842" s="6"/>
      <c r="AJ842" s="5">
        <v>1</v>
      </c>
      <c r="AK842" s="6"/>
      <c r="AL842" s="6"/>
      <c r="AM842" s="6"/>
    </row>
    <row r="843" spans="1:39" s="7" customFormat="1" x14ac:dyDescent="0.25">
      <c r="A843" s="5">
        <v>372</v>
      </c>
      <c r="B843" s="5">
        <v>1</v>
      </c>
      <c r="C843" s="5">
        <v>1</v>
      </c>
      <c r="D843" s="5">
        <v>1</v>
      </c>
      <c r="E843" s="5">
        <v>1</v>
      </c>
      <c r="F843" s="5">
        <v>1</v>
      </c>
      <c r="G843" s="5">
        <v>1</v>
      </c>
      <c r="H843" s="5">
        <v>1</v>
      </c>
      <c r="I843" s="5">
        <v>1</v>
      </c>
      <c r="J843" s="5">
        <v>1</v>
      </c>
      <c r="K843" s="5">
        <v>1</v>
      </c>
      <c r="L843" s="5">
        <v>1</v>
      </c>
      <c r="M843" s="5">
        <v>1</v>
      </c>
      <c r="N843" s="5">
        <v>1</v>
      </c>
      <c r="O843" s="5">
        <v>1</v>
      </c>
      <c r="P843" s="5">
        <v>1</v>
      </c>
      <c r="Q843" s="5">
        <v>1</v>
      </c>
      <c r="R843" s="5">
        <v>1</v>
      </c>
      <c r="S843" s="5">
        <v>1</v>
      </c>
      <c r="T843" s="5">
        <v>1</v>
      </c>
      <c r="U843" s="5">
        <v>1</v>
      </c>
      <c r="V843" s="5">
        <v>1</v>
      </c>
      <c r="W843" s="5">
        <v>1</v>
      </c>
      <c r="X843" s="5">
        <v>1</v>
      </c>
      <c r="Y843" s="5">
        <v>1</v>
      </c>
      <c r="Z843" s="5">
        <v>1</v>
      </c>
      <c r="AA843" s="5">
        <v>1</v>
      </c>
      <c r="AB843" s="5">
        <v>1</v>
      </c>
      <c r="AC843" s="5">
        <v>1</v>
      </c>
      <c r="AD843" s="5">
        <v>1</v>
      </c>
      <c r="AE843" s="5">
        <v>1</v>
      </c>
      <c r="AF843" s="5">
        <v>1</v>
      </c>
      <c r="AG843" s="5">
        <v>1</v>
      </c>
      <c r="AH843" s="5">
        <v>1</v>
      </c>
      <c r="AI843" s="5">
        <v>1</v>
      </c>
      <c r="AJ843" s="5">
        <v>1</v>
      </c>
      <c r="AK843" s="5">
        <v>1</v>
      </c>
      <c r="AL843" s="5">
        <v>1</v>
      </c>
      <c r="AM843" s="5">
        <v>1</v>
      </c>
    </row>
    <row r="844" spans="1:39" s="7" customFormat="1" x14ac:dyDescent="0.25">
      <c r="A844" s="5">
        <v>373</v>
      </c>
      <c r="B844" s="5">
        <v>1</v>
      </c>
      <c r="C844" s="5">
        <v>1</v>
      </c>
      <c r="D844" s="6"/>
      <c r="E844" s="5">
        <v>1</v>
      </c>
      <c r="F844" s="5">
        <v>1</v>
      </c>
      <c r="G844" s="5">
        <v>1</v>
      </c>
      <c r="H844" s="5">
        <v>1</v>
      </c>
      <c r="I844" s="5">
        <v>1</v>
      </c>
      <c r="J844" s="5">
        <v>1</v>
      </c>
      <c r="K844" s="5">
        <v>1</v>
      </c>
      <c r="L844" s="5">
        <v>1</v>
      </c>
      <c r="M844" s="5">
        <v>1</v>
      </c>
      <c r="N844" s="5">
        <v>1</v>
      </c>
      <c r="O844" s="5">
        <v>1</v>
      </c>
      <c r="P844" s="5">
        <v>1</v>
      </c>
      <c r="Q844" s="5">
        <v>1</v>
      </c>
      <c r="R844" s="5">
        <v>1</v>
      </c>
      <c r="S844" s="5">
        <v>1</v>
      </c>
      <c r="T844" s="5">
        <v>1</v>
      </c>
      <c r="U844" s="5">
        <v>1</v>
      </c>
      <c r="V844" s="5">
        <v>1</v>
      </c>
      <c r="W844" s="5">
        <v>1</v>
      </c>
      <c r="X844" s="5">
        <v>1</v>
      </c>
      <c r="Y844" s="5">
        <v>1</v>
      </c>
      <c r="Z844" s="5">
        <v>1</v>
      </c>
      <c r="AA844" s="5">
        <v>1</v>
      </c>
      <c r="AB844" s="5">
        <v>1</v>
      </c>
      <c r="AC844" s="5">
        <v>1</v>
      </c>
      <c r="AD844" s="6"/>
      <c r="AE844" s="5">
        <v>1</v>
      </c>
      <c r="AF844" s="5">
        <v>1</v>
      </c>
      <c r="AG844" s="5">
        <v>1</v>
      </c>
      <c r="AH844" s="5">
        <v>1</v>
      </c>
      <c r="AI844" s="6"/>
      <c r="AJ844" s="5">
        <v>1</v>
      </c>
      <c r="AK844" s="5">
        <v>1</v>
      </c>
      <c r="AL844" s="6"/>
      <c r="AM844" s="5">
        <v>1</v>
      </c>
    </row>
    <row r="845" spans="1:39" s="7" customFormat="1" x14ac:dyDescent="0.25">
      <c r="A845" s="5">
        <v>374</v>
      </c>
      <c r="B845" s="5">
        <v>1</v>
      </c>
      <c r="C845" s="5">
        <v>1</v>
      </c>
      <c r="D845" s="6"/>
      <c r="E845" s="5">
        <v>1</v>
      </c>
      <c r="F845" s="5">
        <v>1</v>
      </c>
      <c r="G845" s="5">
        <v>1</v>
      </c>
      <c r="H845" s="5">
        <v>1</v>
      </c>
      <c r="I845" s="5">
        <v>1</v>
      </c>
      <c r="J845" s="5">
        <v>1</v>
      </c>
      <c r="K845" s="5">
        <v>1</v>
      </c>
      <c r="L845" s="5">
        <v>1</v>
      </c>
      <c r="M845" s="5">
        <v>1</v>
      </c>
      <c r="N845" s="5">
        <v>1</v>
      </c>
      <c r="O845" s="5">
        <v>1</v>
      </c>
      <c r="P845" s="5">
        <v>1</v>
      </c>
      <c r="Q845" s="5">
        <v>1</v>
      </c>
      <c r="R845" s="5">
        <v>1</v>
      </c>
      <c r="S845" s="5">
        <v>1</v>
      </c>
      <c r="T845" s="5">
        <v>1</v>
      </c>
      <c r="U845" s="5">
        <v>1</v>
      </c>
      <c r="V845" s="5">
        <v>1</v>
      </c>
      <c r="W845" s="5">
        <v>1</v>
      </c>
      <c r="X845" s="5">
        <v>1</v>
      </c>
      <c r="Y845" s="5">
        <v>1</v>
      </c>
      <c r="Z845" s="5">
        <v>1</v>
      </c>
      <c r="AA845" s="5">
        <v>1</v>
      </c>
      <c r="AB845" s="5">
        <v>1</v>
      </c>
      <c r="AC845" s="5">
        <v>1</v>
      </c>
      <c r="AD845" s="6"/>
      <c r="AE845" s="5">
        <v>1</v>
      </c>
      <c r="AF845" s="5">
        <v>1</v>
      </c>
      <c r="AG845" s="5">
        <v>1</v>
      </c>
      <c r="AH845" s="5">
        <v>1</v>
      </c>
      <c r="AI845" s="6"/>
      <c r="AJ845" s="5">
        <v>1</v>
      </c>
      <c r="AK845" s="5">
        <v>1</v>
      </c>
      <c r="AL845" s="6"/>
      <c r="AM845" s="5">
        <v>1</v>
      </c>
    </row>
    <row r="846" spans="1:39" s="7" customFormat="1" x14ac:dyDescent="0.25">
      <c r="A846" s="5">
        <v>375</v>
      </c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5">
        <v>1</v>
      </c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5">
        <v>1</v>
      </c>
      <c r="AH846" s="6"/>
      <c r="AI846" s="6"/>
      <c r="AJ846" s="6"/>
      <c r="AK846" s="6"/>
      <c r="AL846" s="6"/>
      <c r="AM846" s="6"/>
    </row>
    <row r="847" spans="1:39" s="7" customFormat="1" x14ac:dyDescent="0.25">
      <c r="A847" s="5">
        <v>375</v>
      </c>
      <c r="B847" s="6"/>
      <c r="C847" s="6"/>
      <c r="D847" s="6"/>
      <c r="E847" s="6"/>
      <c r="F847" s="6"/>
      <c r="G847" s="6"/>
      <c r="H847" s="5">
        <v>1</v>
      </c>
      <c r="I847" s="6"/>
      <c r="J847" s="6"/>
      <c r="K847" s="6"/>
      <c r="L847" s="6"/>
      <c r="M847" s="6"/>
      <c r="N847" s="6"/>
      <c r="O847" s="6"/>
      <c r="P847" s="5">
        <v>1</v>
      </c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5">
        <v>1</v>
      </c>
      <c r="AF847" s="6"/>
      <c r="AG847" s="6"/>
      <c r="AH847" s="5">
        <v>1</v>
      </c>
      <c r="AI847" s="6"/>
      <c r="AJ847" s="6"/>
      <c r="AK847" s="6"/>
      <c r="AL847" s="6"/>
      <c r="AM847" s="6"/>
    </row>
    <row r="848" spans="1:39" s="7" customFormat="1" x14ac:dyDescent="0.25">
      <c r="A848" s="5">
        <v>375</v>
      </c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5">
        <v>1</v>
      </c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5">
        <v>1</v>
      </c>
      <c r="AK848" s="6"/>
      <c r="AL848" s="6"/>
      <c r="AM848" s="6"/>
    </row>
    <row r="849" spans="1:36" s="7" customFormat="1" x14ac:dyDescent="0.25">
      <c r="A849" s="5">
        <v>375</v>
      </c>
      <c r="B849" s="5">
        <v>1</v>
      </c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5">
        <v>1</v>
      </c>
      <c r="AG849" s="6"/>
      <c r="AH849" s="6"/>
      <c r="AI849" s="6"/>
      <c r="AJ849" s="6"/>
    </row>
    <row r="850" spans="1:36" s="7" customFormat="1" x14ac:dyDescent="0.25">
      <c r="A850" s="5">
        <v>375</v>
      </c>
      <c r="B850" s="6"/>
      <c r="C850" s="6"/>
      <c r="D850" s="6"/>
      <c r="E850" s="6"/>
      <c r="F850" s="5">
        <v>1</v>
      </c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</row>
    <row r="851" spans="1:36" s="7" customFormat="1" x14ac:dyDescent="0.25">
      <c r="A851" s="5">
        <v>375</v>
      </c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5">
        <v>1</v>
      </c>
      <c r="AB851" s="6"/>
      <c r="AC851" s="6"/>
      <c r="AD851" s="6"/>
      <c r="AE851" s="6"/>
      <c r="AF851" s="6"/>
      <c r="AG851" s="6"/>
      <c r="AH851" s="6"/>
      <c r="AI851" s="6"/>
      <c r="AJ851" s="6"/>
    </row>
    <row r="852" spans="1:36" s="7" customFormat="1" x14ac:dyDescent="0.25">
      <c r="A852" s="5">
        <v>376</v>
      </c>
      <c r="B852" s="5">
        <v>1</v>
      </c>
      <c r="C852" s="6"/>
      <c r="D852" s="6"/>
      <c r="E852" s="6"/>
      <c r="F852" s="5">
        <v>1</v>
      </c>
      <c r="G852" s="6"/>
      <c r="H852" s="5">
        <v>1</v>
      </c>
      <c r="I852" s="6"/>
      <c r="J852" s="6"/>
      <c r="K852" s="6"/>
      <c r="L852" s="6"/>
      <c r="M852" s="6"/>
      <c r="N852" s="5">
        <v>1</v>
      </c>
      <c r="O852" s="6"/>
      <c r="P852" s="5">
        <v>1</v>
      </c>
      <c r="Q852" s="6"/>
      <c r="R852" s="6"/>
      <c r="S852" s="5">
        <v>1</v>
      </c>
      <c r="T852" s="6"/>
      <c r="U852" s="6"/>
      <c r="V852" s="6"/>
      <c r="W852" s="6"/>
      <c r="X852" s="6"/>
      <c r="Y852" s="6"/>
      <c r="Z852" s="6"/>
      <c r="AA852" s="5">
        <v>1</v>
      </c>
      <c r="AB852" s="6"/>
      <c r="AC852" s="6"/>
      <c r="AD852" s="6"/>
      <c r="AE852" s="5">
        <v>1</v>
      </c>
      <c r="AF852" s="5">
        <v>1</v>
      </c>
      <c r="AG852" s="5">
        <v>1</v>
      </c>
      <c r="AH852" s="5">
        <v>1</v>
      </c>
      <c r="AI852" s="6"/>
      <c r="AJ852" s="5">
        <v>1</v>
      </c>
    </row>
    <row r="853" spans="1:36" s="7" customFormat="1" x14ac:dyDescent="0.25">
      <c r="A853" s="5">
        <v>377</v>
      </c>
      <c r="B853" s="5">
        <v>1</v>
      </c>
      <c r="C853" s="6"/>
      <c r="D853" s="6"/>
      <c r="E853" s="6"/>
      <c r="F853" s="5">
        <v>1</v>
      </c>
      <c r="G853" s="6"/>
      <c r="H853" s="5">
        <v>1</v>
      </c>
      <c r="I853" s="6"/>
      <c r="J853" s="6"/>
      <c r="K853" s="6"/>
      <c r="L853" s="6"/>
      <c r="M853" s="6"/>
      <c r="N853" s="5">
        <v>1</v>
      </c>
      <c r="O853" s="6"/>
      <c r="P853" s="5">
        <v>1</v>
      </c>
      <c r="Q853" s="6"/>
      <c r="R853" s="6"/>
      <c r="S853" s="5">
        <v>1</v>
      </c>
      <c r="T853" s="6"/>
      <c r="U853" s="6"/>
      <c r="V853" s="6"/>
      <c r="W853" s="6"/>
      <c r="X853" s="6"/>
      <c r="Y853" s="6"/>
      <c r="Z853" s="6"/>
      <c r="AA853" s="5">
        <v>1</v>
      </c>
      <c r="AB853" s="6"/>
      <c r="AC853" s="6"/>
      <c r="AD853" s="6"/>
      <c r="AE853" s="5">
        <v>1</v>
      </c>
      <c r="AF853" s="5">
        <v>1</v>
      </c>
      <c r="AG853" s="5">
        <v>1</v>
      </c>
      <c r="AH853" s="5">
        <v>1</v>
      </c>
      <c r="AI853" s="6"/>
      <c r="AJ853" s="5">
        <v>1</v>
      </c>
    </row>
    <row r="854" spans="1:36" s="7" customFormat="1" x14ac:dyDescent="0.25">
      <c r="A854" s="5">
        <v>378</v>
      </c>
      <c r="B854" s="5">
        <v>1</v>
      </c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5">
        <v>1</v>
      </c>
      <c r="AG854" s="6"/>
      <c r="AH854" s="6"/>
      <c r="AI854" s="6"/>
      <c r="AJ854" s="6"/>
    </row>
    <row r="855" spans="1:36" s="7" customFormat="1" x14ac:dyDescent="0.25">
      <c r="A855" s="5">
        <v>378</v>
      </c>
      <c r="B855" s="6"/>
      <c r="C855" s="6"/>
      <c r="D855" s="6"/>
      <c r="E855" s="6"/>
      <c r="F855" s="5">
        <v>1</v>
      </c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</row>
    <row r="856" spans="1:36" s="7" customFormat="1" x14ac:dyDescent="0.25">
      <c r="A856" s="5">
        <v>378</v>
      </c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5">
        <v>1</v>
      </c>
      <c r="O856" s="6"/>
      <c r="P856" s="5">
        <v>1</v>
      </c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5">
        <v>1</v>
      </c>
      <c r="AB856" s="6"/>
      <c r="AC856" s="6"/>
      <c r="AD856" s="6"/>
      <c r="AE856" s="6"/>
      <c r="AF856" s="6"/>
      <c r="AG856" s="5">
        <v>1</v>
      </c>
      <c r="AH856" s="5">
        <v>1</v>
      </c>
      <c r="AI856" s="6"/>
      <c r="AJ856" s="6"/>
    </row>
    <row r="857" spans="1:36" s="7" customFormat="1" x14ac:dyDescent="0.25">
      <c r="A857" s="5">
        <v>378</v>
      </c>
      <c r="B857" s="6"/>
      <c r="C857" s="6"/>
      <c r="D857" s="6"/>
      <c r="E857" s="6"/>
      <c r="F857" s="6"/>
      <c r="G857" s="6"/>
      <c r="H857" s="5">
        <v>1</v>
      </c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5">
        <v>1</v>
      </c>
      <c r="AF857" s="6"/>
      <c r="AG857" s="6"/>
      <c r="AH857" s="6"/>
      <c r="AI857" s="6"/>
      <c r="AJ857" s="6"/>
    </row>
    <row r="858" spans="1:36" s="7" customFormat="1" x14ac:dyDescent="0.25">
      <c r="A858" s="5">
        <v>378</v>
      </c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5">
        <v>1</v>
      </c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5">
        <v>1</v>
      </c>
    </row>
    <row r="859" spans="1:36" s="7" customFormat="1" x14ac:dyDescent="0.25">
      <c r="A859" s="5">
        <v>379</v>
      </c>
      <c r="B859" s="5">
        <v>1</v>
      </c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5">
        <v>1</v>
      </c>
      <c r="AG859" s="6"/>
      <c r="AH859" s="6"/>
      <c r="AI859" s="6"/>
      <c r="AJ859" s="6"/>
    </row>
    <row r="860" spans="1:36" s="7" customFormat="1" x14ac:dyDescent="0.25">
      <c r="A860" s="5">
        <v>379</v>
      </c>
      <c r="B860" s="6"/>
      <c r="C860" s="6"/>
      <c r="D860" s="6"/>
      <c r="E860" s="6"/>
      <c r="F860" s="5">
        <v>1</v>
      </c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</row>
    <row r="861" spans="1:36" s="7" customFormat="1" x14ac:dyDescent="0.25">
      <c r="A861" s="5">
        <v>379</v>
      </c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5">
        <v>1</v>
      </c>
      <c r="O861" s="6"/>
      <c r="P861" s="5">
        <v>1</v>
      </c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5">
        <v>1</v>
      </c>
      <c r="AB861" s="6"/>
      <c r="AC861" s="6"/>
      <c r="AD861" s="6"/>
      <c r="AE861" s="6"/>
      <c r="AF861" s="6"/>
      <c r="AG861" s="5">
        <v>1</v>
      </c>
      <c r="AH861" s="5">
        <v>1</v>
      </c>
      <c r="AI861" s="6"/>
      <c r="AJ861" s="6"/>
    </row>
    <row r="862" spans="1:36" s="7" customFormat="1" x14ac:dyDescent="0.25">
      <c r="A862" s="5">
        <v>379</v>
      </c>
      <c r="B862" s="6"/>
      <c r="C862" s="6"/>
      <c r="D862" s="6"/>
      <c r="E862" s="6"/>
      <c r="F862" s="6"/>
      <c r="G862" s="6"/>
      <c r="H862" s="5">
        <v>1</v>
      </c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5">
        <v>1</v>
      </c>
      <c r="AF862" s="6"/>
      <c r="AG862" s="6"/>
      <c r="AH862" s="6"/>
      <c r="AI862" s="6"/>
      <c r="AJ862" s="6"/>
    </row>
    <row r="863" spans="1:36" s="7" customFormat="1" x14ac:dyDescent="0.25">
      <c r="A863" s="5">
        <v>379</v>
      </c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5">
        <v>1</v>
      </c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5">
        <v>1</v>
      </c>
    </row>
    <row r="864" spans="1:36" s="7" customFormat="1" x14ac:dyDescent="0.25">
      <c r="A864" s="5">
        <v>380</v>
      </c>
      <c r="B864" s="5">
        <v>1</v>
      </c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5">
        <v>1</v>
      </c>
      <c r="AG864" s="6"/>
      <c r="AH864" s="6"/>
      <c r="AI864" s="6"/>
      <c r="AJ864" s="6"/>
    </row>
    <row r="865" spans="1:36" s="7" customFormat="1" x14ac:dyDescent="0.25">
      <c r="A865" s="5">
        <v>380</v>
      </c>
      <c r="B865" s="6"/>
      <c r="C865" s="6"/>
      <c r="D865" s="6"/>
      <c r="E865" s="6"/>
      <c r="F865" s="5">
        <v>1</v>
      </c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</row>
    <row r="866" spans="1:36" s="7" customFormat="1" x14ac:dyDescent="0.25">
      <c r="A866" s="5">
        <v>380</v>
      </c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5">
        <v>1</v>
      </c>
      <c r="O866" s="6"/>
      <c r="P866" s="5">
        <v>1</v>
      </c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5">
        <v>1</v>
      </c>
      <c r="AB866" s="6"/>
      <c r="AC866" s="6"/>
      <c r="AD866" s="6"/>
      <c r="AE866" s="6"/>
      <c r="AF866" s="6"/>
      <c r="AG866" s="5">
        <v>1</v>
      </c>
      <c r="AH866" s="5">
        <v>1</v>
      </c>
      <c r="AI866" s="6"/>
      <c r="AJ866" s="6"/>
    </row>
    <row r="867" spans="1:36" s="7" customFormat="1" x14ac:dyDescent="0.25">
      <c r="A867" s="5">
        <v>380</v>
      </c>
      <c r="B867" s="6"/>
      <c r="C867" s="6"/>
      <c r="D867" s="6"/>
      <c r="E867" s="6"/>
      <c r="F867" s="6"/>
      <c r="G867" s="6"/>
      <c r="H867" s="5">
        <v>1</v>
      </c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5">
        <v>1</v>
      </c>
      <c r="AF867" s="6"/>
      <c r="AG867" s="6"/>
      <c r="AH867" s="6"/>
      <c r="AI867" s="6"/>
      <c r="AJ867" s="6"/>
    </row>
    <row r="868" spans="1:36" s="7" customFormat="1" x14ac:dyDescent="0.25">
      <c r="A868" s="5">
        <v>380</v>
      </c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5">
        <v>1</v>
      </c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5">
        <v>1</v>
      </c>
    </row>
    <row r="869" spans="1:36" s="7" customFormat="1" x14ac:dyDescent="0.25">
      <c r="A869" s="5">
        <v>381</v>
      </c>
      <c r="B869" s="5">
        <v>1</v>
      </c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5">
        <v>1</v>
      </c>
      <c r="AG869" s="6"/>
      <c r="AH869" s="6"/>
      <c r="AI869" s="6"/>
      <c r="AJ869" s="6"/>
    </row>
    <row r="870" spans="1:36" s="7" customFormat="1" x14ac:dyDescent="0.25">
      <c r="A870" s="5">
        <v>381</v>
      </c>
      <c r="B870" s="6"/>
      <c r="C870" s="6"/>
      <c r="D870" s="6"/>
      <c r="E870" s="6"/>
      <c r="F870" s="5">
        <v>1</v>
      </c>
      <c r="G870" s="6"/>
      <c r="H870" s="6"/>
      <c r="I870" s="6"/>
      <c r="J870" s="6"/>
      <c r="K870" s="6"/>
      <c r="L870" s="6"/>
      <c r="M870" s="6"/>
      <c r="N870" s="5">
        <v>1</v>
      </c>
      <c r="O870" s="6"/>
      <c r="P870" s="5">
        <v>1</v>
      </c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5">
        <v>1</v>
      </c>
      <c r="AH870" s="5">
        <v>1</v>
      </c>
      <c r="AI870" s="6"/>
      <c r="AJ870" s="6"/>
    </row>
    <row r="871" spans="1:36" s="7" customFormat="1" x14ac:dyDescent="0.25">
      <c r="A871" s="5">
        <v>381</v>
      </c>
      <c r="B871" s="6"/>
      <c r="C871" s="6"/>
      <c r="D871" s="6"/>
      <c r="E871" s="6"/>
      <c r="F871" s="6"/>
      <c r="G871" s="6"/>
      <c r="H871" s="5">
        <v>1</v>
      </c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5">
        <v>1</v>
      </c>
      <c r="AF871" s="6"/>
      <c r="AG871" s="6"/>
      <c r="AH871" s="6"/>
      <c r="AI871" s="6"/>
      <c r="AJ871" s="6"/>
    </row>
    <row r="872" spans="1:36" s="7" customFormat="1" x14ac:dyDescent="0.25">
      <c r="A872" s="5">
        <v>381</v>
      </c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5">
        <v>1</v>
      </c>
      <c r="AB872" s="6"/>
      <c r="AC872" s="6"/>
      <c r="AD872" s="6"/>
      <c r="AE872" s="6"/>
      <c r="AF872" s="6"/>
      <c r="AG872" s="6"/>
      <c r="AH872" s="6"/>
      <c r="AI872" s="6"/>
      <c r="AJ872" s="6"/>
    </row>
    <row r="873" spans="1:36" s="7" customFormat="1" x14ac:dyDescent="0.25">
      <c r="A873" s="5">
        <v>381</v>
      </c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5">
        <v>1</v>
      </c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5">
        <v>1</v>
      </c>
    </row>
    <row r="874" spans="1:36" s="7" customFormat="1" x14ac:dyDescent="0.25">
      <c r="A874" s="5">
        <v>382</v>
      </c>
      <c r="B874" s="5">
        <v>1</v>
      </c>
      <c r="C874" s="6"/>
      <c r="D874" s="6"/>
      <c r="E874" s="6"/>
      <c r="F874" s="5">
        <v>1</v>
      </c>
      <c r="G874" s="6"/>
      <c r="H874" s="5">
        <v>1</v>
      </c>
      <c r="I874" s="6"/>
      <c r="J874" s="6"/>
      <c r="K874" s="6"/>
      <c r="L874" s="6"/>
      <c r="M874" s="6"/>
      <c r="N874" s="5">
        <v>1</v>
      </c>
      <c r="O874" s="6"/>
      <c r="P874" s="5">
        <v>1</v>
      </c>
      <c r="Q874" s="6"/>
      <c r="R874" s="6"/>
      <c r="S874" s="5">
        <v>1</v>
      </c>
      <c r="T874" s="6"/>
      <c r="U874" s="6"/>
      <c r="V874" s="6"/>
      <c r="W874" s="6"/>
      <c r="X874" s="6"/>
      <c r="Y874" s="6"/>
      <c r="Z874" s="6"/>
      <c r="AA874" s="5">
        <v>1</v>
      </c>
      <c r="AB874" s="6"/>
      <c r="AC874" s="6"/>
      <c r="AD874" s="6"/>
      <c r="AE874" s="5">
        <v>1</v>
      </c>
      <c r="AF874" s="5">
        <v>1</v>
      </c>
      <c r="AG874" s="5">
        <v>1</v>
      </c>
      <c r="AH874" s="5">
        <v>1</v>
      </c>
      <c r="AI874" s="6"/>
      <c r="AJ874" s="5">
        <v>1</v>
      </c>
    </row>
    <row r="875" spans="1:36" s="7" customFormat="1" x14ac:dyDescent="0.25">
      <c r="A875" s="5">
        <v>383</v>
      </c>
      <c r="B875" s="5">
        <v>1</v>
      </c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5">
        <v>1</v>
      </c>
      <c r="AG875" s="6"/>
      <c r="AH875" s="6"/>
      <c r="AI875" s="6"/>
      <c r="AJ875" s="6"/>
    </row>
    <row r="876" spans="1:36" s="7" customFormat="1" x14ac:dyDescent="0.25">
      <c r="A876" s="5">
        <v>383</v>
      </c>
      <c r="B876" s="6"/>
      <c r="C876" s="6"/>
      <c r="D876" s="6"/>
      <c r="E876" s="6"/>
      <c r="F876" s="5">
        <v>1</v>
      </c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</row>
    <row r="877" spans="1:36" s="7" customFormat="1" x14ac:dyDescent="0.25">
      <c r="A877" s="5">
        <v>383</v>
      </c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5">
        <v>1</v>
      </c>
      <c r="O877" s="6"/>
      <c r="P877" s="5">
        <v>1</v>
      </c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5">
        <v>1</v>
      </c>
      <c r="AB877" s="6"/>
      <c r="AC877" s="6"/>
      <c r="AD877" s="6"/>
      <c r="AE877" s="6"/>
      <c r="AF877" s="6"/>
      <c r="AG877" s="5">
        <v>1</v>
      </c>
      <c r="AH877" s="5">
        <v>1</v>
      </c>
      <c r="AI877" s="6"/>
      <c r="AJ877" s="6"/>
    </row>
    <row r="878" spans="1:36" s="7" customFormat="1" x14ac:dyDescent="0.25">
      <c r="A878" s="5">
        <v>383</v>
      </c>
      <c r="B878" s="6"/>
      <c r="C878" s="6"/>
      <c r="D878" s="6"/>
      <c r="E878" s="6"/>
      <c r="F878" s="6"/>
      <c r="G878" s="6"/>
      <c r="H878" s="5">
        <v>1</v>
      </c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5">
        <v>1</v>
      </c>
      <c r="AF878" s="6"/>
      <c r="AG878" s="6"/>
      <c r="AH878" s="6"/>
      <c r="AI878" s="6"/>
      <c r="AJ878" s="6"/>
    </row>
    <row r="879" spans="1:36" s="7" customFormat="1" x14ac:dyDescent="0.25">
      <c r="A879" s="5">
        <v>383</v>
      </c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5">
        <v>1</v>
      </c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5">
        <v>1</v>
      </c>
    </row>
    <row r="880" spans="1:36" s="7" customFormat="1" x14ac:dyDescent="0.25">
      <c r="A880" s="5">
        <v>384</v>
      </c>
      <c r="B880" s="5">
        <v>1</v>
      </c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5">
        <v>1</v>
      </c>
      <c r="AG880" s="6"/>
      <c r="AH880" s="6"/>
      <c r="AI880" s="6"/>
      <c r="AJ880" s="6"/>
    </row>
    <row r="881" spans="1:39" s="7" customFormat="1" x14ac:dyDescent="0.25">
      <c r="A881" s="5">
        <v>384</v>
      </c>
      <c r="B881" s="6"/>
      <c r="C881" s="6"/>
      <c r="D881" s="6"/>
      <c r="E881" s="6"/>
      <c r="F881" s="5">
        <v>1</v>
      </c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</row>
    <row r="882" spans="1:39" s="7" customFormat="1" x14ac:dyDescent="0.25">
      <c r="A882" s="5">
        <v>384</v>
      </c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5">
        <v>1</v>
      </c>
      <c r="O882" s="6"/>
      <c r="P882" s="5">
        <v>1</v>
      </c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5">
        <v>1</v>
      </c>
      <c r="AB882" s="6"/>
      <c r="AC882" s="6"/>
      <c r="AD882" s="6"/>
      <c r="AE882" s="6"/>
      <c r="AF882" s="6"/>
      <c r="AG882" s="5">
        <v>1</v>
      </c>
      <c r="AH882" s="5">
        <v>1</v>
      </c>
      <c r="AI882" s="6"/>
      <c r="AJ882" s="6"/>
      <c r="AK882" s="6"/>
      <c r="AL882" s="6"/>
      <c r="AM882" s="6"/>
    </row>
    <row r="883" spans="1:39" s="7" customFormat="1" x14ac:dyDescent="0.25">
      <c r="A883" s="5">
        <v>384</v>
      </c>
      <c r="B883" s="6"/>
      <c r="C883" s="6"/>
      <c r="D883" s="6"/>
      <c r="E883" s="6"/>
      <c r="F883" s="6"/>
      <c r="G883" s="6"/>
      <c r="H883" s="5">
        <v>1</v>
      </c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5">
        <v>1</v>
      </c>
      <c r="AF883" s="6"/>
      <c r="AG883" s="6"/>
      <c r="AH883" s="6"/>
      <c r="AI883" s="6"/>
      <c r="AJ883" s="6"/>
      <c r="AK883" s="6"/>
      <c r="AL883" s="6"/>
      <c r="AM883" s="6"/>
    </row>
    <row r="884" spans="1:39" s="7" customFormat="1" x14ac:dyDescent="0.25">
      <c r="A884" s="5">
        <v>384</v>
      </c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5">
        <v>1</v>
      </c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5">
        <v>1</v>
      </c>
      <c r="AK884" s="6"/>
      <c r="AL884" s="6"/>
      <c r="AM884" s="6"/>
    </row>
    <row r="885" spans="1:39" s="7" customFormat="1" x14ac:dyDescent="0.25">
      <c r="A885" s="5">
        <v>385</v>
      </c>
      <c r="B885" s="6"/>
      <c r="C885" s="6"/>
      <c r="D885" s="6"/>
      <c r="E885" s="5">
        <v>1</v>
      </c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</row>
    <row r="886" spans="1:39" s="7" customFormat="1" x14ac:dyDescent="0.25">
      <c r="A886" s="5">
        <v>385</v>
      </c>
      <c r="B886" s="6"/>
      <c r="C886" s="6"/>
      <c r="D886" s="6"/>
      <c r="E886" s="6"/>
      <c r="F886" s="6"/>
      <c r="G886" s="6"/>
      <c r="H886" s="6"/>
      <c r="I886" s="5">
        <v>1</v>
      </c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5">
        <v>1</v>
      </c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</row>
    <row r="887" spans="1:39" s="7" customFormat="1" x14ac:dyDescent="0.25">
      <c r="A887" s="5">
        <v>385</v>
      </c>
      <c r="B887" s="6"/>
      <c r="C887" s="6"/>
      <c r="D887" s="6"/>
      <c r="E887" s="6"/>
      <c r="F887" s="6"/>
      <c r="G887" s="6"/>
      <c r="H887" s="6"/>
      <c r="I887" s="6"/>
      <c r="J887" s="5">
        <v>1</v>
      </c>
      <c r="K887" s="6"/>
      <c r="L887" s="6"/>
      <c r="M887" s="6"/>
      <c r="N887" s="6"/>
      <c r="O887" s="5">
        <v>1</v>
      </c>
      <c r="P887" s="6"/>
      <c r="Q887" s="6"/>
      <c r="R887" s="5">
        <v>1</v>
      </c>
      <c r="S887" s="6"/>
      <c r="T887" s="6"/>
      <c r="U887" s="6"/>
      <c r="V887" s="6"/>
      <c r="W887" s="6"/>
      <c r="X887" s="6"/>
      <c r="Y887" s="6"/>
      <c r="Z887" s="6"/>
      <c r="AA887" s="6"/>
      <c r="AB887" s="5">
        <v>1</v>
      </c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</row>
    <row r="888" spans="1:39" s="7" customFormat="1" x14ac:dyDescent="0.25">
      <c r="A888" s="5">
        <v>385</v>
      </c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5">
        <v>1</v>
      </c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</row>
    <row r="889" spans="1:39" s="7" customFormat="1" x14ac:dyDescent="0.25">
      <c r="A889" s="5">
        <v>385</v>
      </c>
      <c r="B889" s="6"/>
      <c r="C889" s="6"/>
      <c r="D889" s="6"/>
      <c r="E889" s="6"/>
      <c r="F889" s="6"/>
      <c r="G889" s="6"/>
      <c r="H889" s="6"/>
      <c r="I889" s="6"/>
      <c r="J889" s="6"/>
      <c r="K889" s="5">
        <v>1</v>
      </c>
      <c r="L889" s="6"/>
      <c r="M889" s="5">
        <v>1</v>
      </c>
      <c r="N889" s="6"/>
      <c r="O889" s="6"/>
      <c r="P889" s="6"/>
      <c r="Q889" s="6"/>
      <c r="R889" s="6"/>
      <c r="S889" s="6"/>
      <c r="T889" s="6"/>
      <c r="U889" s="5">
        <v>1</v>
      </c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</row>
    <row r="890" spans="1:39" s="7" customFormat="1" x14ac:dyDescent="0.25">
      <c r="A890" s="5">
        <v>385</v>
      </c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5">
        <v>1</v>
      </c>
      <c r="AD890" s="6"/>
      <c r="AE890" s="6"/>
      <c r="AF890" s="6"/>
      <c r="AG890" s="6"/>
      <c r="AH890" s="6"/>
      <c r="AI890" s="6"/>
      <c r="AJ890" s="6"/>
      <c r="AK890" s="5">
        <v>1</v>
      </c>
      <c r="AL890" s="6"/>
      <c r="AM890" s="6"/>
    </row>
    <row r="891" spans="1:39" s="7" customFormat="1" x14ac:dyDescent="0.25">
      <c r="A891" s="5">
        <v>385</v>
      </c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5">
        <v>1</v>
      </c>
      <c r="M891" s="6"/>
      <c r="N891" s="6"/>
      <c r="O891" s="6"/>
      <c r="P891" s="6"/>
      <c r="Q891" s="5">
        <v>1</v>
      </c>
      <c r="R891" s="6"/>
      <c r="S891" s="6"/>
      <c r="T891" s="5">
        <v>1</v>
      </c>
      <c r="U891" s="6"/>
      <c r="V891" s="6"/>
      <c r="W891" s="6"/>
      <c r="X891" s="5">
        <v>1</v>
      </c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</row>
    <row r="892" spans="1:39" s="7" customFormat="1" x14ac:dyDescent="0.25">
      <c r="A892" s="5">
        <v>385</v>
      </c>
      <c r="B892" s="6"/>
      <c r="C892" s="5">
        <v>1</v>
      </c>
      <c r="D892" s="6"/>
      <c r="E892" s="6"/>
      <c r="F892" s="6"/>
      <c r="G892" s="5">
        <v>1</v>
      </c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5">
        <v>1</v>
      </c>
      <c r="W892" s="6"/>
      <c r="X892" s="6"/>
      <c r="Y892" s="6"/>
      <c r="Z892" s="5">
        <v>1</v>
      </c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5">
        <v>1</v>
      </c>
    </row>
    <row r="893" spans="1:39" s="7" customFormat="1" x14ac:dyDescent="0.25">
      <c r="A893" s="5">
        <v>385</v>
      </c>
      <c r="B893" s="6"/>
      <c r="C893" s="6"/>
      <c r="D893" s="5">
        <v>1</v>
      </c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5">
        <v>1</v>
      </c>
      <c r="AM893" s="6"/>
    </row>
    <row r="894" spans="1:39" s="7" customFormat="1" x14ac:dyDescent="0.25">
      <c r="A894" s="5">
        <v>385</v>
      </c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5">
        <v>1</v>
      </c>
      <c r="AE894" s="6"/>
      <c r="AF894" s="6"/>
      <c r="AG894" s="6"/>
      <c r="AH894" s="6"/>
      <c r="AI894" s="6"/>
      <c r="AJ894" s="6"/>
      <c r="AK894" s="6"/>
      <c r="AL894" s="6"/>
      <c r="AM894" s="6"/>
    </row>
    <row r="895" spans="1:39" s="7" customFormat="1" x14ac:dyDescent="0.25">
      <c r="A895" s="5">
        <v>385</v>
      </c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5">
        <v>1</v>
      </c>
      <c r="AJ895" s="6"/>
      <c r="AK895" s="6"/>
      <c r="AL895" s="6"/>
      <c r="AM895" s="6"/>
    </row>
    <row r="896" spans="1:39" s="7" customFormat="1" x14ac:dyDescent="0.25">
      <c r="A896" s="5">
        <v>386</v>
      </c>
      <c r="B896" s="6"/>
      <c r="C896" s="5">
        <v>1</v>
      </c>
      <c r="D896" s="5">
        <v>1</v>
      </c>
      <c r="E896" s="5">
        <v>1</v>
      </c>
      <c r="F896" s="6"/>
      <c r="G896" s="5">
        <v>1</v>
      </c>
      <c r="H896" s="6"/>
      <c r="I896" s="5">
        <v>1</v>
      </c>
      <c r="J896" s="5">
        <v>1</v>
      </c>
      <c r="K896" s="5">
        <v>1</v>
      </c>
      <c r="L896" s="5">
        <v>1</v>
      </c>
      <c r="M896" s="5">
        <v>1</v>
      </c>
      <c r="N896" s="6"/>
      <c r="O896" s="5">
        <v>1</v>
      </c>
      <c r="P896" s="6"/>
      <c r="Q896" s="5">
        <v>1</v>
      </c>
      <c r="R896" s="5">
        <v>1</v>
      </c>
      <c r="S896" s="6"/>
      <c r="T896" s="5">
        <v>1</v>
      </c>
      <c r="U896" s="5">
        <v>1</v>
      </c>
      <c r="V896" s="5">
        <v>1</v>
      </c>
      <c r="W896" s="5">
        <v>1</v>
      </c>
      <c r="X896" s="5">
        <v>1</v>
      </c>
      <c r="Y896" s="5">
        <v>1</v>
      </c>
      <c r="Z896" s="5">
        <v>1</v>
      </c>
      <c r="AA896" s="6"/>
      <c r="AB896" s="5">
        <v>1</v>
      </c>
      <c r="AC896" s="5">
        <v>1</v>
      </c>
      <c r="AD896" s="5">
        <v>1</v>
      </c>
      <c r="AE896" s="6"/>
      <c r="AF896" s="6"/>
      <c r="AG896" s="6"/>
      <c r="AH896" s="6"/>
      <c r="AI896" s="5">
        <v>1</v>
      </c>
      <c r="AJ896" s="6"/>
      <c r="AK896" s="5">
        <v>1</v>
      </c>
      <c r="AL896" s="5">
        <v>1</v>
      </c>
      <c r="AM896" s="5">
        <v>1</v>
      </c>
    </row>
    <row r="897" spans="1:39" s="7" customFormat="1" x14ac:dyDescent="0.25">
      <c r="A897" s="5">
        <v>387</v>
      </c>
      <c r="B897" s="6"/>
      <c r="C897" s="5">
        <v>1</v>
      </c>
      <c r="D897" s="5">
        <v>1</v>
      </c>
      <c r="E897" s="5">
        <v>1</v>
      </c>
      <c r="F897" s="6"/>
      <c r="G897" s="5">
        <v>1</v>
      </c>
      <c r="H897" s="6"/>
      <c r="I897" s="5">
        <v>1</v>
      </c>
      <c r="J897" s="5">
        <v>1</v>
      </c>
      <c r="K897" s="5">
        <v>1</v>
      </c>
      <c r="L897" s="5">
        <v>1</v>
      </c>
      <c r="M897" s="5">
        <v>1</v>
      </c>
      <c r="N897" s="6"/>
      <c r="O897" s="5">
        <v>1</v>
      </c>
      <c r="P897" s="6"/>
      <c r="Q897" s="5">
        <v>1</v>
      </c>
      <c r="R897" s="5">
        <v>1</v>
      </c>
      <c r="S897" s="6"/>
      <c r="T897" s="5">
        <v>1</v>
      </c>
      <c r="U897" s="5">
        <v>1</v>
      </c>
      <c r="V897" s="5">
        <v>1</v>
      </c>
      <c r="W897" s="5">
        <v>1</v>
      </c>
      <c r="X897" s="5">
        <v>1</v>
      </c>
      <c r="Y897" s="5">
        <v>1</v>
      </c>
      <c r="Z897" s="5">
        <v>1</v>
      </c>
      <c r="AA897" s="6"/>
      <c r="AB897" s="5">
        <v>1</v>
      </c>
      <c r="AC897" s="5">
        <v>1</v>
      </c>
      <c r="AD897" s="5">
        <v>1</v>
      </c>
      <c r="AE897" s="6"/>
      <c r="AF897" s="6"/>
      <c r="AG897" s="6"/>
      <c r="AH897" s="6"/>
      <c r="AI897" s="5">
        <v>1</v>
      </c>
      <c r="AJ897" s="6"/>
      <c r="AK897" s="5">
        <v>1</v>
      </c>
      <c r="AL897" s="5">
        <v>1</v>
      </c>
      <c r="AM897" s="5">
        <v>1</v>
      </c>
    </row>
    <row r="898" spans="1:39" s="7" customFormat="1" x14ac:dyDescent="0.25">
      <c r="A898" s="5">
        <v>388</v>
      </c>
      <c r="B898" s="6"/>
      <c r="C898" s="6"/>
      <c r="D898" s="5">
        <v>1</v>
      </c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5">
        <v>1</v>
      </c>
      <c r="AM898" s="6"/>
    </row>
    <row r="899" spans="1:39" s="7" customFormat="1" x14ac:dyDescent="0.25">
      <c r="A899" s="5">
        <v>388</v>
      </c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5">
        <v>1</v>
      </c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5">
        <v>1</v>
      </c>
      <c r="Z899" s="6"/>
      <c r="AA899" s="6"/>
      <c r="AB899" s="6"/>
      <c r="AC899" s="6"/>
      <c r="AD899" s="5">
        <v>1</v>
      </c>
      <c r="AE899" s="6"/>
      <c r="AF899" s="6"/>
      <c r="AG899" s="6"/>
      <c r="AH899" s="6"/>
      <c r="AI899" s="6"/>
      <c r="AJ899" s="6"/>
      <c r="AK899" s="6"/>
      <c r="AL899" s="6"/>
      <c r="AM899" s="6"/>
    </row>
    <row r="900" spans="1:39" s="7" customFormat="1" x14ac:dyDescent="0.25">
      <c r="A900" s="5">
        <v>388</v>
      </c>
      <c r="B900" s="6"/>
      <c r="C900" s="6"/>
      <c r="D900" s="6"/>
      <c r="E900" s="6"/>
      <c r="F900" s="6"/>
      <c r="G900" s="6"/>
      <c r="H900" s="6"/>
      <c r="I900" s="6"/>
      <c r="J900" s="6"/>
      <c r="K900" s="5">
        <v>1</v>
      </c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</row>
    <row r="901" spans="1:39" s="7" customFormat="1" x14ac:dyDescent="0.25">
      <c r="A901" s="5">
        <v>388</v>
      </c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5">
        <v>1</v>
      </c>
      <c r="M901" s="6"/>
      <c r="N901" s="6"/>
      <c r="O901" s="6"/>
      <c r="P901" s="6"/>
      <c r="Q901" s="6"/>
      <c r="R901" s="6"/>
      <c r="S901" s="6"/>
      <c r="T901" s="6"/>
      <c r="U901" s="5">
        <v>1</v>
      </c>
      <c r="V901" s="6"/>
      <c r="W901" s="6"/>
      <c r="X901" s="5">
        <v>1</v>
      </c>
      <c r="Y901" s="6"/>
      <c r="Z901" s="6"/>
      <c r="AA901" s="6"/>
      <c r="AB901" s="6"/>
      <c r="AC901" s="5">
        <v>1</v>
      </c>
      <c r="AD901" s="6"/>
      <c r="AE901" s="6"/>
      <c r="AF901" s="6"/>
      <c r="AG901" s="6"/>
      <c r="AH901" s="6"/>
      <c r="AI901" s="5">
        <v>1</v>
      </c>
      <c r="AJ901" s="6"/>
      <c r="AK901" s="6"/>
      <c r="AL901" s="6"/>
      <c r="AM901" s="6"/>
    </row>
    <row r="902" spans="1:39" s="7" customFormat="1" x14ac:dyDescent="0.25">
      <c r="A902" s="5">
        <v>388</v>
      </c>
      <c r="B902" s="6"/>
      <c r="C902" s="6"/>
      <c r="D902" s="6"/>
      <c r="E902" s="5">
        <v>1</v>
      </c>
      <c r="F902" s="6"/>
      <c r="G902" s="6"/>
      <c r="H902" s="6"/>
      <c r="I902" s="5">
        <v>1</v>
      </c>
      <c r="J902" s="6"/>
      <c r="K902" s="6"/>
      <c r="L902" s="6"/>
      <c r="M902" s="6"/>
      <c r="N902" s="6"/>
      <c r="O902" s="6"/>
      <c r="P902" s="6"/>
      <c r="Q902" s="5">
        <v>1</v>
      </c>
      <c r="R902" s="6"/>
      <c r="S902" s="6"/>
      <c r="T902" s="5">
        <v>1</v>
      </c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5">
        <v>1</v>
      </c>
      <c r="AL902" s="6"/>
      <c r="AM902" s="6"/>
    </row>
    <row r="903" spans="1:39" s="7" customFormat="1" x14ac:dyDescent="0.25">
      <c r="A903" s="5">
        <v>388</v>
      </c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5">
        <v>1</v>
      </c>
      <c r="W903" s="5">
        <v>1</v>
      </c>
      <c r="X903" s="6"/>
      <c r="Y903" s="6"/>
      <c r="Z903" s="5">
        <v>1</v>
      </c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</row>
    <row r="904" spans="1:39" s="7" customFormat="1" x14ac:dyDescent="0.25">
      <c r="A904" s="5">
        <v>388</v>
      </c>
      <c r="B904" s="6"/>
      <c r="C904" s="5">
        <v>1</v>
      </c>
      <c r="D904" s="6"/>
      <c r="E904" s="6"/>
      <c r="F904" s="6"/>
      <c r="G904" s="5">
        <v>1</v>
      </c>
      <c r="H904" s="6"/>
      <c r="I904" s="6"/>
      <c r="J904" s="5">
        <v>1</v>
      </c>
      <c r="K904" s="6"/>
      <c r="L904" s="6"/>
      <c r="M904" s="6"/>
      <c r="N904" s="6"/>
      <c r="O904" s="5">
        <v>1</v>
      </c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5">
        <v>1</v>
      </c>
    </row>
    <row r="905" spans="1:39" s="7" customFormat="1" x14ac:dyDescent="0.25">
      <c r="A905" s="5">
        <v>388</v>
      </c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5">
        <v>1</v>
      </c>
      <c r="S905" s="6"/>
      <c r="T905" s="6"/>
      <c r="U905" s="6"/>
      <c r="V905" s="6"/>
      <c r="W905" s="6"/>
      <c r="X905" s="6"/>
      <c r="Y905" s="6"/>
      <c r="Z905" s="6"/>
      <c r="AA905" s="6"/>
      <c r="AB905" s="5">
        <v>1</v>
      </c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</row>
    <row r="906" spans="1:39" s="7" customFormat="1" x14ac:dyDescent="0.25">
      <c r="A906" s="5">
        <v>389</v>
      </c>
      <c r="B906" s="6"/>
      <c r="C906" s="6"/>
      <c r="D906" s="5">
        <v>1</v>
      </c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5">
        <v>1</v>
      </c>
      <c r="AM906" s="6"/>
    </row>
    <row r="907" spans="1:39" s="7" customFormat="1" x14ac:dyDescent="0.25">
      <c r="A907" s="5">
        <v>389</v>
      </c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5">
        <v>1</v>
      </c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5">
        <v>1</v>
      </c>
      <c r="Z907" s="6"/>
      <c r="AA907" s="6"/>
      <c r="AB907" s="6"/>
      <c r="AC907" s="6"/>
      <c r="AD907" s="5">
        <v>1</v>
      </c>
      <c r="AE907" s="6"/>
      <c r="AF907" s="6"/>
      <c r="AG907" s="6"/>
      <c r="AH907" s="6"/>
      <c r="AI907" s="6"/>
      <c r="AJ907" s="6"/>
      <c r="AK907" s="6"/>
      <c r="AL907" s="6"/>
      <c r="AM907" s="6"/>
    </row>
    <row r="908" spans="1:39" s="7" customFormat="1" x14ac:dyDescent="0.25">
      <c r="A908" s="5">
        <v>389</v>
      </c>
      <c r="B908" s="6"/>
      <c r="C908" s="6"/>
      <c r="D908" s="6"/>
      <c r="E908" s="6"/>
      <c r="F908" s="6"/>
      <c r="G908" s="6"/>
      <c r="H908" s="6"/>
      <c r="I908" s="6"/>
      <c r="J908" s="6"/>
      <c r="K908" s="5">
        <v>1</v>
      </c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</row>
    <row r="909" spans="1:39" s="7" customFormat="1" x14ac:dyDescent="0.25">
      <c r="A909" s="5">
        <v>389</v>
      </c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5">
        <v>1</v>
      </c>
      <c r="M909" s="6"/>
      <c r="N909" s="6"/>
      <c r="O909" s="6"/>
      <c r="P909" s="6"/>
      <c r="Q909" s="6"/>
      <c r="R909" s="6"/>
      <c r="S909" s="6"/>
      <c r="T909" s="6"/>
      <c r="U909" s="5">
        <v>1</v>
      </c>
      <c r="V909" s="6"/>
      <c r="W909" s="6"/>
      <c r="X909" s="5">
        <v>1</v>
      </c>
      <c r="Y909" s="6"/>
      <c r="Z909" s="6"/>
      <c r="AA909" s="6"/>
      <c r="AB909" s="6"/>
      <c r="AC909" s="5">
        <v>1</v>
      </c>
      <c r="AD909" s="6"/>
      <c r="AE909" s="6"/>
      <c r="AF909" s="6"/>
      <c r="AG909" s="6"/>
      <c r="AH909" s="6"/>
      <c r="AI909" s="5">
        <v>1</v>
      </c>
      <c r="AJ909" s="6"/>
      <c r="AK909" s="6"/>
      <c r="AL909" s="6"/>
      <c r="AM909" s="6"/>
    </row>
    <row r="910" spans="1:39" s="7" customFormat="1" x14ac:dyDescent="0.25">
      <c r="A910" s="5">
        <v>389</v>
      </c>
      <c r="B910" s="6"/>
      <c r="C910" s="6"/>
      <c r="D910" s="6"/>
      <c r="E910" s="5">
        <v>1</v>
      </c>
      <c r="F910" s="6"/>
      <c r="G910" s="6"/>
      <c r="H910" s="6"/>
      <c r="I910" s="5">
        <v>1</v>
      </c>
      <c r="J910" s="6"/>
      <c r="K910" s="6"/>
      <c r="L910" s="6"/>
      <c r="M910" s="6"/>
      <c r="N910" s="6"/>
      <c r="O910" s="6"/>
      <c r="P910" s="6"/>
      <c r="Q910" s="5">
        <v>1</v>
      </c>
      <c r="R910" s="6"/>
      <c r="S910" s="6"/>
      <c r="T910" s="5">
        <v>1</v>
      </c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5">
        <v>1</v>
      </c>
      <c r="AL910" s="6"/>
      <c r="AM910" s="6"/>
    </row>
    <row r="911" spans="1:39" s="7" customFormat="1" x14ac:dyDescent="0.25">
      <c r="A911" s="5">
        <v>389</v>
      </c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5">
        <v>1</v>
      </c>
      <c r="W911" s="5">
        <v>1</v>
      </c>
      <c r="X911" s="6"/>
      <c r="Y911" s="6"/>
      <c r="Z911" s="5">
        <v>1</v>
      </c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</row>
    <row r="912" spans="1:39" s="7" customFormat="1" x14ac:dyDescent="0.25">
      <c r="A912" s="5">
        <v>389</v>
      </c>
      <c r="B912" s="6"/>
      <c r="C912" s="5">
        <v>1</v>
      </c>
      <c r="D912" s="6"/>
      <c r="E912" s="6"/>
      <c r="F912" s="6"/>
      <c r="G912" s="5">
        <v>1</v>
      </c>
      <c r="H912" s="6"/>
      <c r="I912" s="6"/>
      <c r="J912" s="5">
        <v>1</v>
      </c>
      <c r="K912" s="6"/>
      <c r="L912" s="6"/>
      <c r="M912" s="6"/>
      <c r="N912" s="6"/>
      <c r="O912" s="5">
        <v>1</v>
      </c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5">
        <v>1</v>
      </c>
    </row>
    <row r="913" spans="1:39" s="7" customFormat="1" x14ac:dyDescent="0.25">
      <c r="A913" s="5">
        <v>389</v>
      </c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5">
        <v>1</v>
      </c>
      <c r="S913" s="6"/>
      <c r="T913" s="6"/>
      <c r="U913" s="6"/>
      <c r="V913" s="6"/>
      <c r="W913" s="6"/>
      <c r="X913" s="6"/>
      <c r="Y913" s="6"/>
      <c r="Z913" s="6"/>
      <c r="AA913" s="6"/>
      <c r="AB913" s="5">
        <v>1</v>
      </c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</row>
    <row r="914" spans="1:39" s="7" customFormat="1" x14ac:dyDescent="0.25">
      <c r="A914" s="5">
        <v>390</v>
      </c>
      <c r="B914" s="6"/>
      <c r="C914" s="6"/>
      <c r="D914" s="5">
        <v>1</v>
      </c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5">
        <v>1</v>
      </c>
      <c r="AM914" s="6"/>
    </row>
    <row r="915" spans="1:39" s="7" customFormat="1" x14ac:dyDescent="0.25">
      <c r="A915" s="5">
        <v>390</v>
      </c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5">
        <v>1</v>
      </c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5">
        <v>1</v>
      </c>
      <c r="Z915" s="6"/>
      <c r="AA915" s="6"/>
      <c r="AB915" s="6"/>
      <c r="AC915" s="6"/>
      <c r="AD915" s="5">
        <v>1</v>
      </c>
      <c r="AE915" s="6"/>
      <c r="AF915" s="6"/>
      <c r="AG915" s="6"/>
      <c r="AH915" s="6"/>
      <c r="AI915" s="6"/>
      <c r="AJ915" s="6"/>
      <c r="AK915" s="6"/>
      <c r="AL915" s="6"/>
      <c r="AM915" s="6"/>
    </row>
    <row r="916" spans="1:39" s="7" customFormat="1" x14ac:dyDescent="0.25">
      <c r="A916" s="5">
        <v>390</v>
      </c>
      <c r="B916" s="6"/>
      <c r="C916" s="6"/>
      <c r="D916" s="6"/>
      <c r="E916" s="6"/>
      <c r="F916" s="6"/>
      <c r="G916" s="6"/>
      <c r="H916" s="6"/>
      <c r="I916" s="6"/>
      <c r="J916" s="6"/>
      <c r="K916" s="5">
        <v>1</v>
      </c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</row>
    <row r="917" spans="1:39" s="7" customFormat="1" x14ac:dyDescent="0.25">
      <c r="A917" s="5">
        <v>390</v>
      </c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5">
        <v>1</v>
      </c>
      <c r="M917" s="6"/>
      <c r="N917" s="6"/>
      <c r="O917" s="6"/>
      <c r="P917" s="6"/>
      <c r="Q917" s="6"/>
      <c r="R917" s="6"/>
      <c r="S917" s="6"/>
      <c r="T917" s="6"/>
      <c r="U917" s="5">
        <v>1</v>
      </c>
      <c r="V917" s="6"/>
      <c r="W917" s="6"/>
      <c r="X917" s="5">
        <v>1</v>
      </c>
      <c r="Y917" s="6"/>
      <c r="Z917" s="6"/>
      <c r="AA917" s="6"/>
      <c r="AB917" s="6"/>
      <c r="AC917" s="5">
        <v>1</v>
      </c>
      <c r="AD917" s="6"/>
      <c r="AE917" s="6"/>
      <c r="AF917" s="6"/>
      <c r="AG917" s="6"/>
      <c r="AH917" s="6"/>
      <c r="AI917" s="5">
        <v>1</v>
      </c>
      <c r="AJ917" s="6"/>
      <c r="AK917" s="6"/>
      <c r="AL917" s="6"/>
      <c r="AM917" s="6"/>
    </row>
    <row r="918" spans="1:39" s="7" customFormat="1" x14ac:dyDescent="0.25">
      <c r="A918" s="5">
        <v>390</v>
      </c>
      <c r="B918" s="6"/>
      <c r="C918" s="6"/>
      <c r="D918" s="6"/>
      <c r="E918" s="5">
        <v>1</v>
      </c>
      <c r="F918" s="6"/>
      <c r="G918" s="6"/>
      <c r="H918" s="6"/>
      <c r="I918" s="5">
        <v>1</v>
      </c>
      <c r="J918" s="6"/>
      <c r="K918" s="6"/>
      <c r="L918" s="6"/>
      <c r="M918" s="6"/>
      <c r="N918" s="6"/>
      <c r="O918" s="6"/>
      <c r="P918" s="6"/>
      <c r="Q918" s="5">
        <v>1</v>
      </c>
      <c r="R918" s="6"/>
      <c r="S918" s="6"/>
      <c r="T918" s="5">
        <v>1</v>
      </c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5">
        <v>1</v>
      </c>
      <c r="AL918" s="6"/>
      <c r="AM918" s="6"/>
    </row>
    <row r="919" spans="1:39" s="7" customFormat="1" x14ac:dyDescent="0.25">
      <c r="A919" s="5">
        <v>390</v>
      </c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5">
        <v>1</v>
      </c>
      <c r="W919" s="5">
        <v>1</v>
      </c>
      <c r="X919" s="6"/>
      <c r="Y919" s="6"/>
      <c r="Z919" s="5">
        <v>1</v>
      </c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</row>
    <row r="920" spans="1:39" s="7" customFormat="1" x14ac:dyDescent="0.25">
      <c r="A920" s="5">
        <v>390</v>
      </c>
      <c r="B920" s="6"/>
      <c r="C920" s="5">
        <v>1</v>
      </c>
      <c r="D920" s="6"/>
      <c r="E920" s="6"/>
      <c r="F920" s="6"/>
      <c r="G920" s="5">
        <v>1</v>
      </c>
      <c r="H920" s="6"/>
      <c r="I920" s="6"/>
      <c r="J920" s="5">
        <v>1</v>
      </c>
      <c r="K920" s="6"/>
      <c r="L920" s="6"/>
      <c r="M920" s="6"/>
      <c r="N920" s="6"/>
      <c r="O920" s="5">
        <v>1</v>
      </c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5">
        <v>1</v>
      </c>
    </row>
    <row r="921" spans="1:39" s="7" customFormat="1" x14ac:dyDescent="0.25">
      <c r="A921" s="5">
        <v>390</v>
      </c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5">
        <v>1</v>
      </c>
      <c r="S921" s="6"/>
      <c r="T921" s="6"/>
      <c r="U921" s="6"/>
      <c r="V921" s="6"/>
      <c r="W921" s="6"/>
      <c r="X921" s="6"/>
      <c r="Y921" s="6"/>
      <c r="Z921" s="6"/>
      <c r="AA921" s="6"/>
      <c r="AB921" s="5">
        <v>1</v>
      </c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</row>
    <row r="922" spans="1:39" s="7" customFormat="1" x14ac:dyDescent="0.25">
      <c r="A922" s="5">
        <v>391</v>
      </c>
      <c r="B922" s="6"/>
      <c r="C922" s="6"/>
      <c r="D922" s="5">
        <v>1</v>
      </c>
      <c r="E922" s="6"/>
      <c r="F922" s="6"/>
      <c r="G922" s="6"/>
      <c r="H922" s="6"/>
      <c r="I922" s="6"/>
      <c r="J922" s="6"/>
      <c r="K922" s="6"/>
      <c r="L922" s="6"/>
      <c r="M922" s="5">
        <v>1</v>
      </c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5">
        <v>1</v>
      </c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5">
        <v>1</v>
      </c>
      <c r="AM922" s="6"/>
    </row>
    <row r="923" spans="1:39" s="7" customFormat="1" x14ac:dyDescent="0.25">
      <c r="A923" s="5">
        <v>391</v>
      </c>
      <c r="B923" s="6"/>
      <c r="C923" s="6"/>
      <c r="D923" s="6"/>
      <c r="E923" s="5">
        <v>1</v>
      </c>
      <c r="F923" s="6"/>
      <c r="G923" s="6"/>
      <c r="H923" s="6"/>
      <c r="I923" s="5">
        <v>1</v>
      </c>
      <c r="J923" s="6"/>
      <c r="K923" s="5">
        <v>1</v>
      </c>
      <c r="L923" s="6"/>
      <c r="M923" s="6"/>
      <c r="N923" s="6"/>
      <c r="O923" s="6"/>
      <c r="P923" s="6"/>
      <c r="Q923" s="6"/>
      <c r="R923" s="6"/>
      <c r="S923" s="6"/>
      <c r="T923" s="6"/>
      <c r="U923" s="5">
        <v>1</v>
      </c>
      <c r="V923" s="6"/>
      <c r="W923" s="6"/>
      <c r="X923" s="6"/>
      <c r="Y923" s="6"/>
      <c r="Z923" s="6"/>
      <c r="AA923" s="6"/>
      <c r="AB923" s="6"/>
      <c r="AC923" s="5">
        <v>1</v>
      </c>
      <c r="AD923" s="5">
        <v>1</v>
      </c>
      <c r="AE923" s="6"/>
      <c r="AF923" s="6"/>
      <c r="AG923" s="6"/>
      <c r="AH923" s="6"/>
      <c r="AI923" s="6"/>
      <c r="AJ923" s="6"/>
      <c r="AK923" s="6"/>
      <c r="AL923" s="6"/>
      <c r="AM923" s="6"/>
    </row>
    <row r="924" spans="1:39" s="7" customFormat="1" x14ac:dyDescent="0.25">
      <c r="A924" s="5">
        <v>391</v>
      </c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5">
        <v>1</v>
      </c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5">
        <v>1</v>
      </c>
      <c r="X924" s="5">
        <v>1</v>
      </c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5">
        <v>1</v>
      </c>
      <c r="AL924" s="6"/>
      <c r="AM924" s="6"/>
    </row>
    <row r="925" spans="1:39" s="7" customFormat="1" x14ac:dyDescent="0.25">
      <c r="A925" s="5">
        <v>391</v>
      </c>
      <c r="B925" s="6"/>
      <c r="C925" s="6"/>
      <c r="D925" s="6"/>
      <c r="E925" s="6"/>
      <c r="F925" s="6"/>
      <c r="G925" s="6"/>
      <c r="H925" s="6"/>
      <c r="I925" s="6"/>
      <c r="J925" s="5">
        <v>1</v>
      </c>
      <c r="K925" s="6"/>
      <c r="L925" s="6"/>
      <c r="M925" s="6"/>
      <c r="N925" s="6"/>
      <c r="O925" s="5">
        <v>1</v>
      </c>
      <c r="P925" s="6"/>
      <c r="Q925" s="5">
        <v>1</v>
      </c>
      <c r="R925" s="6"/>
      <c r="S925" s="6"/>
      <c r="T925" s="5">
        <v>1</v>
      </c>
      <c r="U925" s="6"/>
      <c r="V925" s="5">
        <v>1</v>
      </c>
      <c r="W925" s="6"/>
      <c r="X925" s="6"/>
      <c r="Y925" s="6"/>
      <c r="Z925" s="5">
        <v>1</v>
      </c>
      <c r="AA925" s="6"/>
      <c r="AB925" s="6"/>
      <c r="AC925" s="6"/>
      <c r="AD925" s="6"/>
      <c r="AE925" s="6"/>
      <c r="AF925" s="6"/>
      <c r="AG925" s="6"/>
      <c r="AH925" s="6"/>
      <c r="AI925" s="5">
        <v>1</v>
      </c>
      <c r="AJ925" s="6"/>
      <c r="AK925" s="6"/>
      <c r="AL925" s="6"/>
      <c r="AM925" s="6"/>
    </row>
    <row r="926" spans="1:39" s="7" customFormat="1" x14ac:dyDescent="0.25">
      <c r="A926" s="5">
        <v>391</v>
      </c>
      <c r="B926" s="6"/>
      <c r="C926" s="5">
        <v>1</v>
      </c>
      <c r="D926" s="6"/>
      <c r="E926" s="6"/>
      <c r="F926" s="6"/>
      <c r="G926" s="5">
        <v>1</v>
      </c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5">
        <v>1</v>
      </c>
      <c r="S926" s="6"/>
      <c r="T926" s="6"/>
      <c r="U926" s="6"/>
      <c r="V926" s="6"/>
      <c r="W926" s="6"/>
      <c r="X926" s="6"/>
      <c r="Y926" s="6"/>
      <c r="Z926" s="6"/>
      <c r="AA926" s="6"/>
      <c r="AB926" s="5">
        <v>1</v>
      </c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5">
        <v>1</v>
      </c>
    </row>
    <row r="927" spans="1:39" s="7" customFormat="1" x14ac:dyDescent="0.25">
      <c r="A927" s="5">
        <v>392</v>
      </c>
      <c r="B927" s="6"/>
      <c r="C927" s="5">
        <v>1</v>
      </c>
      <c r="D927" s="5">
        <v>1</v>
      </c>
      <c r="E927" s="5">
        <v>1</v>
      </c>
      <c r="F927" s="6"/>
      <c r="G927" s="5">
        <v>1</v>
      </c>
      <c r="H927" s="6"/>
      <c r="I927" s="5">
        <v>1</v>
      </c>
      <c r="J927" s="5">
        <v>1</v>
      </c>
      <c r="K927" s="5">
        <v>1</v>
      </c>
      <c r="L927" s="5">
        <v>1</v>
      </c>
      <c r="M927" s="5">
        <v>1</v>
      </c>
      <c r="N927" s="6"/>
      <c r="O927" s="5">
        <v>1</v>
      </c>
      <c r="P927" s="6"/>
      <c r="Q927" s="5">
        <v>1</v>
      </c>
      <c r="R927" s="5">
        <v>1</v>
      </c>
      <c r="S927" s="6"/>
      <c r="T927" s="5">
        <v>1</v>
      </c>
      <c r="U927" s="5">
        <v>1</v>
      </c>
      <c r="V927" s="5">
        <v>1</v>
      </c>
      <c r="W927" s="5">
        <v>1</v>
      </c>
      <c r="X927" s="5">
        <v>1</v>
      </c>
      <c r="Y927" s="5">
        <v>1</v>
      </c>
      <c r="Z927" s="5">
        <v>1</v>
      </c>
      <c r="AA927" s="6"/>
      <c r="AB927" s="5">
        <v>1</v>
      </c>
      <c r="AC927" s="5">
        <v>1</v>
      </c>
      <c r="AD927" s="5">
        <v>1</v>
      </c>
      <c r="AE927" s="6"/>
      <c r="AF927" s="6"/>
      <c r="AG927" s="6"/>
      <c r="AH927" s="6"/>
      <c r="AI927" s="5">
        <v>1</v>
      </c>
      <c r="AJ927" s="6"/>
      <c r="AK927" s="5">
        <v>1</v>
      </c>
      <c r="AL927" s="5">
        <v>1</v>
      </c>
      <c r="AM927" s="5">
        <v>1</v>
      </c>
    </row>
    <row r="928" spans="1:39" s="7" customFormat="1" x14ac:dyDescent="0.25">
      <c r="A928" s="5">
        <v>393</v>
      </c>
      <c r="B928" s="6"/>
      <c r="C928" s="6"/>
      <c r="D928" s="5">
        <v>1</v>
      </c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5">
        <v>1</v>
      </c>
      <c r="AM928" s="6"/>
    </row>
    <row r="929" spans="1:39" s="7" customFormat="1" x14ac:dyDescent="0.25">
      <c r="A929" s="5">
        <v>393</v>
      </c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5">
        <v>1</v>
      </c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5">
        <v>1</v>
      </c>
      <c r="Z929" s="6"/>
      <c r="AA929" s="6"/>
      <c r="AB929" s="6"/>
      <c r="AC929" s="6"/>
      <c r="AD929" s="5">
        <v>1</v>
      </c>
      <c r="AE929" s="6"/>
      <c r="AF929" s="6"/>
      <c r="AG929" s="6"/>
      <c r="AH929" s="6"/>
      <c r="AI929" s="6"/>
      <c r="AJ929" s="6"/>
      <c r="AK929" s="6"/>
      <c r="AL929" s="6"/>
      <c r="AM929" s="6"/>
    </row>
    <row r="930" spans="1:39" s="7" customFormat="1" x14ac:dyDescent="0.25">
      <c r="A930" s="5">
        <v>393</v>
      </c>
      <c r="B930" s="6"/>
      <c r="C930" s="6"/>
      <c r="D930" s="6"/>
      <c r="E930" s="6"/>
      <c r="F930" s="6"/>
      <c r="G930" s="6"/>
      <c r="H930" s="6"/>
      <c r="I930" s="6"/>
      <c r="J930" s="6"/>
      <c r="K930" s="5">
        <v>1</v>
      </c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</row>
    <row r="931" spans="1:39" s="7" customFormat="1" x14ac:dyDescent="0.25">
      <c r="A931" s="5">
        <v>393</v>
      </c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5">
        <v>1</v>
      </c>
      <c r="M931" s="6"/>
      <c r="N931" s="6"/>
      <c r="O931" s="6"/>
      <c r="P931" s="6"/>
      <c r="Q931" s="6"/>
      <c r="R931" s="6"/>
      <c r="S931" s="6"/>
      <c r="T931" s="6"/>
      <c r="U931" s="5">
        <v>1</v>
      </c>
      <c r="V931" s="6"/>
      <c r="W931" s="6"/>
      <c r="X931" s="5">
        <v>1</v>
      </c>
      <c r="Y931" s="6"/>
      <c r="Z931" s="6"/>
      <c r="AA931" s="6"/>
      <c r="AB931" s="6"/>
      <c r="AC931" s="5">
        <v>1</v>
      </c>
      <c r="AD931" s="6"/>
      <c r="AE931" s="6"/>
      <c r="AF931" s="6"/>
      <c r="AG931" s="6"/>
      <c r="AH931" s="6"/>
      <c r="AI931" s="5">
        <v>1</v>
      </c>
      <c r="AJ931" s="6"/>
      <c r="AK931" s="6"/>
      <c r="AL931" s="6"/>
      <c r="AM931" s="6"/>
    </row>
    <row r="932" spans="1:39" s="7" customFormat="1" x14ac:dyDescent="0.25">
      <c r="A932" s="5">
        <v>393</v>
      </c>
      <c r="B932" s="6"/>
      <c r="C932" s="6"/>
      <c r="D932" s="6"/>
      <c r="E932" s="5">
        <v>1</v>
      </c>
      <c r="F932" s="6"/>
      <c r="G932" s="6"/>
      <c r="H932" s="6"/>
      <c r="I932" s="5">
        <v>1</v>
      </c>
      <c r="J932" s="6"/>
      <c r="K932" s="6"/>
      <c r="L932" s="6"/>
      <c r="M932" s="6"/>
      <c r="N932" s="6"/>
      <c r="O932" s="6"/>
      <c r="P932" s="6"/>
      <c r="Q932" s="5">
        <v>1</v>
      </c>
      <c r="R932" s="6"/>
      <c r="S932" s="6"/>
      <c r="T932" s="5">
        <v>1</v>
      </c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5">
        <v>1</v>
      </c>
      <c r="AL932" s="6"/>
      <c r="AM932" s="6"/>
    </row>
    <row r="933" spans="1:39" s="7" customFormat="1" x14ac:dyDescent="0.25">
      <c r="A933" s="5">
        <v>393</v>
      </c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5">
        <v>1</v>
      </c>
      <c r="W933" s="5">
        <v>1</v>
      </c>
      <c r="X933" s="6"/>
      <c r="Y933" s="6"/>
      <c r="Z933" s="5">
        <v>1</v>
      </c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</row>
    <row r="934" spans="1:39" s="7" customFormat="1" x14ac:dyDescent="0.25">
      <c r="A934" s="5">
        <v>393</v>
      </c>
      <c r="B934" s="6"/>
      <c r="C934" s="5">
        <v>1</v>
      </c>
      <c r="D934" s="6"/>
      <c r="E934" s="6"/>
      <c r="F934" s="6"/>
      <c r="G934" s="5">
        <v>1</v>
      </c>
      <c r="H934" s="6"/>
      <c r="I934" s="6"/>
      <c r="J934" s="5">
        <v>1</v>
      </c>
      <c r="K934" s="6"/>
      <c r="L934" s="6"/>
      <c r="M934" s="6"/>
      <c r="N934" s="6"/>
      <c r="O934" s="5">
        <v>1</v>
      </c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5">
        <v>1</v>
      </c>
    </row>
    <row r="935" spans="1:39" s="7" customFormat="1" x14ac:dyDescent="0.25">
      <c r="A935" s="5">
        <v>393</v>
      </c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5">
        <v>1</v>
      </c>
      <c r="S935" s="6"/>
      <c r="T935" s="6"/>
      <c r="U935" s="6"/>
      <c r="V935" s="6"/>
      <c r="W935" s="6"/>
      <c r="X935" s="6"/>
      <c r="Y935" s="6"/>
      <c r="Z935" s="6"/>
      <c r="AA935" s="6"/>
      <c r="AB935" s="5">
        <v>1</v>
      </c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</row>
    <row r="936" spans="1:39" s="7" customFormat="1" x14ac:dyDescent="0.25">
      <c r="A936" s="5">
        <v>394</v>
      </c>
      <c r="B936" s="6"/>
      <c r="C936" s="6"/>
      <c r="D936" s="5">
        <v>1</v>
      </c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5">
        <v>1</v>
      </c>
      <c r="AM936" s="6"/>
    </row>
    <row r="937" spans="1:39" s="7" customFormat="1" x14ac:dyDescent="0.25">
      <c r="A937" s="5">
        <v>394</v>
      </c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5">
        <v>1</v>
      </c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5">
        <v>1</v>
      </c>
      <c r="Z937" s="6"/>
      <c r="AA937" s="6"/>
      <c r="AB937" s="6"/>
      <c r="AC937" s="6"/>
      <c r="AD937" s="5">
        <v>1</v>
      </c>
      <c r="AE937" s="6"/>
      <c r="AF937" s="6"/>
      <c r="AG937" s="6"/>
      <c r="AH937" s="6"/>
      <c r="AI937" s="6"/>
      <c r="AJ937" s="6"/>
      <c r="AK937" s="6"/>
      <c r="AL937" s="6"/>
      <c r="AM937" s="6"/>
    </row>
    <row r="938" spans="1:39" s="7" customFormat="1" x14ac:dyDescent="0.25">
      <c r="A938" s="5">
        <v>394</v>
      </c>
      <c r="B938" s="6"/>
      <c r="C938" s="6"/>
      <c r="D938" s="6"/>
      <c r="E938" s="6"/>
      <c r="F938" s="6"/>
      <c r="G938" s="6"/>
      <c r="H938" s="6"/>
      <c r="I938" s="6"/>
      <c r="J938" s="6"/>
      <c r="K938" s="5">
        <v>1</v>
      </c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</row>
    <row r="939" spans="1:39" s="7" customFormat="1" x14ac:dyDescent="0.25">
      <c r="A939" s="5">
        <v>394</v>
      </c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5">
        <v>1</v>
      </c>
      <c r="M939" s="6"/>
      <c r="N939" s="6"/>
      <c r="O939" s="6"/>
      <c r="P939" s="6"/>
      <c r="Q939" s="6"/>
      <c r="R939" s="6"/>
      <c r="S939" s="6"/>
      <c r="T939" s="6"/>
      <c r="U939" s="5">
        <v>1</v>
      </c>
      <c r="V939" s="6"/>
      <c r="W939" s="6"/>
      <c r="X939" s="5">
        <v>1</v>
      </c>
      <c r="Y939" s="6"/>
      <c r="Z939" s="6"/>
      <c r="AA939" s="6"/>
      <c r="AB939" s="6"/>
      <c r="AC939" s="5">
        <v>1</v>
      </c>
      <c r="AD939" s="6"/>
      <c r="AE939" s="6"/>
      <c r="AF939" s="6"/>
      <c r="AG939" s="6"/>
      <c r="AH939" s="6"/>
      <c r="AI939" s="5">
        <v>1</v>
      </c>
      <c r="AJ939" s="6"/>
      <c r="AK939" s="6"/>
      <c r="AL939" s="6"/>
      <c r="AM939" s="6"/>
    </row>
    <row r="940" spans="1:39" s="7" customFormat="1" x14ac:dyDescent="0.25">
      <c r="A940" s="5">
        <v>394</v>
      </c>
      <c r="B940" s="6"/>
      <c r="C940" s="6"/>
      <c r="D940" s="6"/>
      <c r="E940" s="5">
        <v>1</v>
      </c>
      <c r="F940" s="6"/>
      <c r="G940" s="6"/>
      <c r="H940" s="6"/>
      <c r="I940" s="5">
        <v>1</v>
      </c>
      <c r="J940" s="6"/>
      <c r="K940" s="6"/>
      <c r="L940" s="6"/>
      <c r="M940" s="6"/>
      <c r="N940" s="6"/>
      <c r="O940" s="6"/>
      <c r="P940" s="6"/>
      <c r="Q940" s="5">
        <v>1</v>
      </c>
      <c r="R940" s="6"/>
      <c r="S940" s="6"/>
      <c r="T940" s="5">
        <v>1</v>
      </c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5">
        <v>1</v>
      </c>
      <c r="AL940" s="6"/>
      <c r="AM940" s="6"/>
    </row>
    <row r="941" spans="1:39" s="7" customFormat="1" x14ac:dyDescent="0.25">
      <c r="A941" s="5">
        <v>394</v>
      </c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5">
        <v>1</v>
      </c>
      <c r="W941" s="5">
        <v>1</v>
      </c>
      <c r="X941" s="6"/>
      <c r="Y941" s="6"/>
      <c r="Z941" s="5">
        <v>1</v>
      </c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</row>
    <row r="942" spans="1:39" s="7" customFormat="1" x14ac:dyDescent="0.25">
      <c r="A942" s="5">
        <v>394</v>
      </c>
      <c r="B942" s="6"/>
      <c r="C942" s="5">
        <v>1</v>
      </c>
      <c r="D942" s="6"/>
      <c r="E942" s="6"/>
      <c r="F942" s="6"/>
      <c r="G942" s="5">
        <v>1</v>
      </c>
      <c r="H942" s="6"/>
      <c r="I942" s="6"/>
      <c r="J942" s="5">
        <v>1</v>
      </c>
      <c r="K942" s="6"/>
      <c r="L942" s="6"/>
      <c r="M942" s="6"/>
      <c r="N942" s="6"/>
      <c r="O942" s="5">
        <v>1</v>
      </c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5">
        <v>1</v>
      </c>
    </row>
    <row r="943" spans="1:39" s="7" customFormat="1" x14ac:dyDescent="0.25">
      <c r="A943" s="5">
        <v>394</v>
      </c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5">
        <v>1</v>
      </c>
      <c r="S943" s="6"/>
      <c r="T943" s="6"/>
      <c r="U943" s="6"/>
      <c r="V943" s="6"/>
      <c r="W943" s="6"/>
      <c r="X943" s="6"/>
      <c r="Y943" s="6"/>
      <c r="Z943" s="6"/>
      <c r="AA943" s="6"/>
      <c r="AB943" s="5">
        <v>1</v>
      </c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</row>
    <row r="944" spans="1:39" s="7" customFormat="1" x14ac:dyDescent="0.25">
      <c r="A944" s="5">
        <v>395</v>
      </c>
      <c r="B944" s="5">
        <v>1</v>
      </c>
      <c r="C944" s="5">
        <v>1</v>
      </c>
      <c r="D944" s="5">
        <v>1</v>
      </c>
      <c r="E944" s="5">
        <v>1</v>
      </c>
      <c r="F944" s="5">
        <v>1</v>
      </c>
      <c r="G944" s="5">
        <v>1</v>
      </c>
      <c r="H944" s="5">
        <v>1</v>
      </c>
      <c r="I944" s="5">
        <v>1</v>
      </c>
      <c r="J944" s="5">
        <v>1</v>
      </c>
      <c r="K944" s="5">
        <v>1</v>
      </c>
      <c r="L944" s="5">
        <v>1</v>
      </c>
      <c r="M944" s="5">
        <v>1</v>
      </c>
      <c r="N944" s="5">
        <v>1</v>
      </c>
      <c r="O944" s="5">
        <v>1</v>
      </c>
      <c r="P944" s="5">
        <v>1</v>
      </c>
      <c r="Q944" s="5">
        <v>1</v>
      </c>
      <c r="R944" s="5">
        <v>1</v>
      </c>
      <c r="S944" s="5">
        <v>1</v>
      </c>
      <c r="T944" s="5">
        <v>1</v>
      </c>
      <c r="U944" s="5">
        <v>1</v>
      </c>
      <c r="V944" s="5">
        <v>1</v>
      </c>
      <c r="W944" s="5">
        <v>1</v>
      </c>
      <c r="X944" s="5">
        <v>1</v>
      </c>
      <c r="Y944" s="5">
        <v>1</v>
      </c>
      <c r="Z944" s="5">
        <v>1</v>
      </c>
      <c r="AA944" s="5">
        <v>1</v>
      </c>
      <c r="AB944" s="5">
        <v>1</v>
      </c>
      <c r="AC944" s="5">
        <v>1</v>
      </c>
      <c r="AD944" s="5">
        <v>1</v>
      </c>
      <c r="AE944" s="5">
        <v>1</v>
      </c>
      <c r="AF944" s="5">
        <v>1</v>
      </c>
      <c r="AG944" s="5">
        <v>1</v>
      </c>
      <c r="AH944" s="5">
        <v>1</v>
      </c>
      <c r="AI944" s="5">
        <v>1</v>
      </c>
      <c r="AJ944" s="5">
        <v>1</v>
      </c>
      <c r="AK944" s="5">
        <v>1</v>
      </c>
      <c r="AL944" s="5">
        <v>1</v>
      </c>
      <c r="AM944" s="5">
        <v>1</v>
      </c>
    </row>
    <row r="945" spans="1:39" s="7" customFormat="1" x14ac:dyDescent="0.25">
      <c r="A945" s="5">
        <v>396</v>
      </c>
      <c r="B945" s="5">
        <v>1</v>
      </c>
      <c r="C945" s="5">
        <v>1</v>
      </c>
      <c r="D945" s="5">
        <v>1</v>
      </c>
      <c r="E945" s="5">
        <v>1</v>
      </c>
      <c r="F945" s="5">
        <v>1</v>
      </c>
      <c r="G945" s="5">
        <v>1</v>
      </c>
      <c r="H945" s="5">
        <v>1</v>
      </c>
      <c r="I945" s="5">
        <v>1</v>
      </c>
      <c r="J945" s="5">
        <v>1</v>
      </c>
      <c r="K945" s="5">
        <v>1</v>
      </c>
      <c r="L945" s="5">
        <v>1</v>
      </c>
      <c r="M945" s="5">
        <v>1</v>
      </c>
      <c r="N945" s="5">
        <v>1</v>
      </c>
      <c r="O945" s="5">
        <v>1</v>
      </c>
      <c r="P945" s="5">
        <v>1</v>
      </c>
      <c r="Q945" s="5">
        <v>1</v>
      </c>
      <c r="R945" s="5">
        <v>1</v>
      </c>
      <c r="S945" s="5">
        <v>1</v>
      </c>
      <c r="T945" s="5">
        <v>1</v>
      </c>
      <c r="U945" s="5">
        <v>1</v>
      </c>
      <c r="V945" s="5">
        <v>1</v>
      </c>
      <c r="W945" s="5">
        <v>1</v>
      </c>
      <c r="X945" s="5">
        <v>1</v>
      </c>
      <c r="Y945" s="5">
        <v>1</v>
      </c>
      <c r="Z945" s="5">
        <v>1</v>
      </c>
      <c r="AA945" s="5">
        <v>1</v>
      </c>
      <c r="AB945" s="5">
        <v>1</v>
      </c>
      <c r="AC945" s="5">
        <v>1</v>
      </c>
      <c r="AD945" s="5">
        <v>1</v>
      </c>
      <c r="AE945" s="5">
        <v>1</v>
      </c>
      <c r="AF945" s="5">
        <v>1</v>
      </c>
      <c r="AG945" s="5">
        <v>1</v>
      </c>
      <c r="AH945" s="5">
        <v>1</v>
      </c>
      <c r="AI945" s="5">
        <v>1</v>
      </c>
      <c r="AJ945" s="5">
        <v>1</v>
      </c>
      <c r="AK945" s="5">
        <v>1</v>
      </c>
      <c r="AL945" s="5">
        <v>1</v>
      </c>
      <c r="AM945" s="5">
        <v>1</v>
      </c>
    </row>
    <row r="946" spans="1:39" s="7" customFormat="1" x14ac:dyDescent="0.25">
      <c r="A946" s="5">
        <v>397</v>
      </c>
      <c r="B946" s="5">
        <v>1</v>
      </c>
      <c r="C946" s="5">
        <v>1</v>
      </c>
      <c r="D946" s="5">
        <v>1</v>
      </c>
      <c r="E946" s="5">
        <v>1</v>
      </c>
      <c r="F946" s="5">
        <v>1</v>
      </c>
      <c r="G946" s="5">
        <v>1</v>
      </c>
      <c r="H946" s="5">
        <v>1</v>
      </c>
      <c r="I946" s="5">
        <v>1</v>
      </c>
      <c r="J946" s="5">
        <v>1</v>
      </c>
      <c r="K946" s="5">
        <v>1</v>
      </c>
      <c r="L946" s="5">
        <v>1</v>
      </c>
      <c r="M946" s="5">
        <v>1</v>
      </c>
      <c r="N946" s="5">
        <v>1</v>
      </c>
      <c r="O946" s="5">
        <v>1</v>
      </c>
      <c r="P946" s="5">
        <v>1</v>
      </c>
      <c r="Q946" s="5">
        <v>1</v>
      </c>
      <c r="R946" s="5">
        <v>1</v>
      </c>
      <c r="S946" s="5">
        <v>1</v>
      </c>
      <c r="T946" s="5">
        <v>1</v>
      </c>
      <c r="U946" s="5">
        <v>1</v>
      </c>
      <c r="V946" s="5">
        <v>1</v>
      </c>
      <c r="W946" s="5">
        <v>1</v>
      </c>
      <c r="X946" s="5">
        <v>1</v>
      </c>
      <c r="Y946" s="5">
        <v>1</v>
      </c>
      <c r="Z946" s="5">
        <v>1</v>
      </c>
      <c r="AA946" s="5">
        <v>1</v>
      </c>
      <c r="AB946" s="5">
        <v>1</v>
      </c>
      <c r="AC946" s="5">
        <v>1</v>
      </c>
      <c r="AD946" s="5">
        <v>1</v>
      </c>
      <c r="AE946" s="5">
        <v>1</v>
      </c>
      <c r="AF946" s="5">
        <v>1</v>
      </c>
      <c r="AG946" s="5">
        <v>1</v>
      </c>
      <c r="AH946" s="5">
        <v>1</v>
      </c>
      <c r="AI946" s="5">
        <v>1</v>
      </c>
      <c r="AJ946" s="5">
        <v>1</v>
      </c>
      <c r="AK946" s="5">
        <v>1</v>
      </c>
      <c r="AL946" s="5">
        <v>1</v>
      </c>
      <c r="AM946" s="5">
        <v>1</v>
      </c>
    </row>
    <row r="947" spans="1:39" s="7" customFormat="1" x14ac:dyDescent="0.25">
      <c r="A947" s="5">
        <v>398</v>
      </c>
      <c r="B947" s="5">
        <v>1</v>
      </c>
      <c r="C947" s="5">
        <v>1</v>
      </c>
      <c r="D947" s="5">
        <v>1</v>
      </c>
      <c r="E947" s="5">
        <v>1</v>
      </c>
      <c r="F947" s="5">
        <v>1</v>
      </c>
      <c r="G947" s="5">
        <v>1</v>
      </c>
      <c r="H947" s="5">
        <v>1</v>
      </c>
      <c r="I947" s="5">
        <v>1</v>
      </c>
      <c r="J947" s="5">
        <v>1</v>
      </c>
      <c r="K947" s="5">
        <v>1</v>
      </c>
      <c r="L947" s="5">
        <v>1</v>
      </c>
      <c r="M947" s="5">
        <v>1</v>
      </c>
      <c r="N947" s="5">
        <v>1</v>
      </c>
      <c r="O947" s="5">
        <v>1</v>
      </c>
      <c r="P947" s="5">
        <v>1</v>
      </c>
      <c r="Q947" s="5">
        <v>1</v>
      </c>
      <c r="R947" s="5">
        <v>1</v>
      </c>
      <c r="S947" s="5">
        <v>1</v>
      </c>
      <c r="T947" s="5">
        <v>1</v>
      </c>
      <c r="U947" s="5">
        <v>1</v>
      </c>
      <c r="V947" s="5">
        <v>1</v>
      </c>
      <c r="W947" s="5">
        <v>1</v>
      </c>
      <c r="X947" s="5">
        <v>1</v>
      </c>
      <c r="Y947" s="5">
        <v>1</v>
      </c>
      <c r="Z947" s="5">
        <v>1</v>
      </c>
      <c r="AA947" s="5">
        <v>1</v>
      </c>
      <c r="AB947" s="5">
        <v>1</v>
      </c>
      <c r="AC947" s="5">
        <v>1</v>
      </c>
      <c r="AD947" s="5">
        <v>1</v>
      </c>
      <c r="AE947" s="5">
        <v>1</v>
      </c>
      <c r="AF947" s="5">
        <v>1</v>
      </c>
      <c r="AG947" s="5">
        <v>1</v>
      </c>
      <c r="AH947" s="5">
        <v>1</v>
      </c>
      <c r="AI947" s="5">
        <v>1</v>
      </c>
      <c r="AJ947" s="5">
        <v>1</v>
      </c>
      <c r="AK947" s="5">
        <v>1</v>
      </c>
      <c r="AL947" s="6"/>
      <c r="AM947" s="5">
        <v>1</v>
      </c>
    </row>
    <row r="948" spans="1:39" s="7" customFormat="1" x14ac:dyDescent="0.25">
      <c r="A948" s="5">
        <v>399</v>
      </c>
      <c r="B948" s="5">
        <v>1</v>
      </c>
      <c r="C948" s="5">
        <v>1</v>
      </c>
      <c r="D948" s="5">
        <v>1</v>
      </c>
      <c r="E948" s="5">
        <v>1</v>
      </c>
      <c r="F948" s="5">
        <v>1</v>
      </c>
      <c r="G948" s="5">
        <v>1</v>
      </c>
      <c r="H948" s="5">
        <v>1</v>
      </c>
      <c r="I948" s="5">
        <v>1</v>
      </c>
      <c r="J948" s="5">
        <v>1</v>
      </c>
      <c r="K948" s="5">
        <v>1</v>
      </c>
      <c r="L948" s="5">
        <v>1</v>
      </c>
      <c r="M948" s="5">
        <v>1</v>
      </c>
      <c r="N948" s="5">
        <v>1</v>
      </c>
      <c r="O948" s="5">
        <v>1</v>
      </c>
      <c r="P948" s="5">
        <v>1</v>
      </c>
      <c r="Q948" s="5">
        <v>1</v>
      </c>
      <c r="R948" s="5">
        <v>1</v>
      </c>
      <c r="S948" s="5">
        <v>1</v>
      </c>
      <c r="T948" s="5">
        <v>1</v>
      </c>
      <c r="U948" s="5">
        <v>1</v>
      </c>
      <c r="V948" s="5">
        <v>1</v>
      </c>
      <c r="W948" s="5">
        <v>1</v>
      </c>
      <c r="X948" s="5">
        <v>1</v>
      </c>
      <c r="Y948" s="5">
        <v>1</v>
      </c>
      <c r="Z948" s="5">
        <v>1</v>
      </c>
      <c r="AA948" s="5">
        <v>1</v>
      </c>
      <c r="AB948" s="5">
        <v>1</v>
      </c>
      <c r="AC948" s="5">
        <v>1</v>
      </c>
      <c r="AD948" s="5">
        <v>1</v>
      </c>
      <c r="AE948" s="5">
        <v>1</v>
      </c>
      <c r="AF948" s="5">
        <v>1</v>
      </c>
      <c r="AG948" s="5">
        <v>1</v>
      </c>
      <c r="AH948" s="5">
        <v>1</v>
      </c>
      <c r="AI948" s="5">
        <v>1</v>
      </c>
      <c r="AJ948" s="5">
        <v>1</v>
      </c>
      <c r="AK948" s="5">
        <v>1</v>
      </c>
      <c r="AL948" s="5">
        <v>1</v>
      </c>
      <c r="AM948" s="5">
        <v>1</v>
      </c>
    </row>
    <row r="949" spans="1:39" s="7" customFormat="1" x14ac:dyDescent="0.25">
      <c r="A949" s="5">
        <v>400</v>
      </c>
      <c r="B949" s="5">
        <v>1</v>
      </c>
      <c r="C949" s="5">
        <v>1</v>
      </c>
      <c r="D949" s="5">
        <v>1</v>
      </c>
      <c r="E949" s="5">
        <v>1</v>
      </c>
      <c r="F949" s="5">
        <v>1</v>
      </c>
      <c r="G949" s="5">
        <v>1</v>
      </c>
      <c r="H949" s="5">
        <v>1</v>
      </c>
      <c r="I949" s="5">
        <v>1</v>
      </c>
      <c r="J949" s="5">
        <v>1</v>
      </c>
      <c r="K949" s="5">
        <v>1</v>
      </c>
      <c r="L949" s="5">
        <v>1</v>
      </c>
      <c r="M949" s="5">
        <v>1</v>
      </c>
      <c r="N949" s="5">
        <v>1</v>
      </c>
      <c r="O949" s="5">
        <v>1</v>
      </c>
      <c r="P949" s="5">
        <v>1</v>
      </c>
      <c r="Q949" s="5">
        <v>1</v>
      </c>
      <c r="R949" s="5">
        <v>1</v>
      </c>
      <c r="S949" s="5">
        <v>1</v>
      </c>
      <c r="T949" s="5">
        <v>1</v>
      </c>
      <c r="U949" s="5">
        <v>1</v>
      </c>
      <c r="V949" s="5">
        <v>1</v>
      </c>
      <c r="W949" s="5">
        <v>1</v>
      </c>
      <c r="X949" s="5">
        <v>1</v>
      </c>
      <c r="Y949" s="5">
        <v>1</v>
      </c>
      <c r="Z949" s="5">
        <v>1</v>
      </c>
      <c r="AA949" s="5">
        <v>1</v>
      </c>
      <c r="AB949" s="5">
        <v>1</v>
      </c>
      <c r="AC949" s="5">
        <v>1</v>
      </c>
      <c r="AD949" s="5">
        <v>1</v>
      </c>
      <c r="AE949" s="5">
        <v>1</v>
      </c>
      <c r="AF949" s="5">
        <v>1</v>
      </c>
      <c r="AG949" s="5">
        <v>1</v>
      </c>
      <c r="AH949" s="5">
        <v>1</v>
      </c>
      <c r="AI949" s="5">
        <v>1</v>
      </c>
      <c r="AJ949" s="5">
        <v>1</v>
      </c>
      <c r="AK949" s="5">
        <v>1</v>
      </c>
      <c r="AL949" s="5">
        <v>1</v>
      </c>
      <c r="AM949" s="5">
        <v>1</v>
      </c>
    </row>
    <row r="950" spans="1:39" s="7" customFormat="1" x14ac:dyDescent="0.25">
      <c r="A950" s="5">
        <v>401</v>
      </c>
      <c r="B950" s="5">
        <v>1</v>
      </c>
      <c r="C950" s="5">
        <v>1</v>
      </c>
      <c r="D950" s="5">
        <v>1</v>
      </c>
      <c r="E950" s="5">
        <v>1</v>
      </c>
      <c r="F950" s="5">
        <v>1</v>
      </c>
      <c r="G950" s="5">
        <v>1</v>
      </c>
      <c r="H950" s="5">
        <v>1</v>
      </c>
      <c r="I950" s="5">
        <v>1</v>
      </c>
      <c r="J950" s="5">
        <v>1</v>
      </c>
      <c r="K950" s="5">
        <v>1</v>
      </c>
      <c r="L950" s="5">
        <v>1</v>
      </c>
      <c r="M950" s="5">
        <v>1</v>
      </c>
      <c r="N950" s="5">
        <v>1</v>
      </c>
      <c r="O950" s="5">
        <v>1</v>
      </c>
      <c r="P950" s="5">
        <v>1</v>
      </c>
      <c r="Q950" s="5">
        <v>1</v>
      </c>
      <c r="R950" s="5">
        <v>1</v>
      </c>
      <c r="S950" s="5">
        <v>1</v>
      </c>
      <c r="T950" s="5">
        <v>1</v>
      </c>
      <c r="U950" s="5">
        <v>1</v>
      </c>
      <c r="V950" s="5">
        <v>1</v>
      </c>
      <c r="W950" s="5">
        <v>1</v>
      </c>
      <c r="X950" s="5">
        <v>1</v>
      </c>
      <c r="Y950" s="5">
        <v>1</v>
      </c>
      <c r="Z950" s="5">
        <v>1</v>
      </c>
      <c r="AA950" s="5">
        <v>1</v>
      </c>
      <c r="AB950" s="5">
        <v>1</v>
      </c>
      <c r="AC950" s="5">
        <v>1</v>
      </c>
      <c r="AD950" s="5">
        <v>1</v>
      </c>
      <c r="AE950" s="5">
        <v>1</v>
      </c>
      <c r="AF950" s="5">
        <v>1</v>
      </c>
      <c r="AG950" s="5">
        <v>1</v>
      </c>
      <c r="AH950" s="5">
        <v>1</v>
      </c>
      <c r="AI950" s="5">
        <v>1</v>
      </c>
      <c r="AJ950" s="5">
        <v>1</v>
      </c>
      <c r="AK950" s="5">
        <v>1</v>
      </c>
      <c r="AL950" s="6"/>
      <c r="AM950" s="5">
        <v>1</v>
      </c>
    </row>
    <row r="951" spans="1:39" s="7" customFormat="1" x14ac:dyDescent="0.25">
      <c r="A951" s="5">
        <v>402</v>
      </c>
      <c r="B951" s="8">
        <v>1</v>
      </c>
      <c r="C951" s="9">
        <v>1</v>
      </c>
      <c r="D951" s="8">
        <v>1</v>
      </c>
      <c r="E951" s="8">
        <v>1</v>
      </c>
      <c r="F951" s="9">
        <v>1</v>
      </c>
      <c r="G951" s="9">
        <v>1</v>
      </c>
      <c r="H951" s="9">
        <v>1</v>
      </c>
      <c r="I951" s="8">
        <v>1</v>
      </c>
      <c r="J951" s="9">
        <v>1</v>
      </c>
      <c r="K951" s="9">
        <v>1</v>
      </c>
      <c r="L951" s="9">
        <v>1</v>
      </c>
      <c r="M951" s="9">
        <v>1</v>
      </c>
      <c r="N951" s="8">
        <v>1</v>
      </c>
      <c r="O951" s="9">
        <v>1</v>
      </c>
      <c r="P951" s="8">
        <v>1</v>
      </c>
      <c r="Q951" s="11"/>
      <c r="R951" s="8">
        <v>1</v>
      </c>
      <c r="S951" s="8">
        <v>1</v>
      </c>
      <c r="T951" s="8">
        <v>1</v>
      </c>
      <c r="U951" s="8">
        <v>1</v>
      </c>
      <c r="V951" s="9">
        <v>1</v>
      </c>
      <c r="W951" s="9">
        <v>1</v>
      </c>
      <c r="X951" s="9">
        <v>1</v>
      </c>
      <c r="Y951" s="9">
        <v>1</v>
      </c>
      <c r="Z951" s="9">
        <v>1</v>
      </c>
      <c r="AA951" s="9">
        <v>1</v>
      </c>
      <c r="AB951" s="9">
        <v>1</v>
      </c>
      <c r="AC951" s="8">
        <v>1</v>
      </c>
      <c r="AD951" s="8">
        <v>1</v>
      </c>
      <c r="AE951" s="8">
        <v>1</v>
      </c>
      <c r="AF951" s="9">
        <v>1</v>
      </c>
      <c r="AG951" s="9">
        <v>1</v>
      </c>
      <c r="AH951" s="8">
        <v>1</v>
      </c>
      <c r="AI951" s="8">
        <v>1</v>
      </c>
      <c r="AJ951" s="8">
        <v>1</v>
      </c>
      <c r="AK951" s="8">
        <v>1</v>
      </c>
      <c r="AL951" s="8">
        <v>1</v>
      </c>
      <c r="AM951" s="8">
        <v>1</v>
      </c>
    </row>
    <row r="952" spans="1:39" s="7" customFormat="1" x14ac:dyDescent="0.25">
      <c r="A952" s="5">
        <v>403</v>
      </c>
      <c r="B952" s="6"/>
      <c r="C952" s="6"/>
      <c r="D952" s="6"/>
      <c r="E952" s="6"/>
      <c r="F952" s="6"/>
      <c r="G952" s="6"/>
      <c r="H952" s="6"/>
      <c r="I952" s="5">
        <v>1</v>
      </c>
      <c r="J952" s="5">
        <v>1</v>
      </c>
      <c r="K952" s="6"/>
      <c r="L952" s="5">
        <v>1</v>
      </c>
      <c r="M952" s="5">
        <v>1</v>
      </c>
      <c r="N952" s="6"/>
      <c r="O952" s="5">
        <v>1</v>
      </c>
      <c r="P952" s="5">
        <v>1</v>
      </c>
      <c r="Q952" s="6"/>
      <c r="R952" s="6"/>
      <c r="S952" s="6"/>
      <c r="T952" s="6"/>
      <c r="U952" s="6"/>
      <c r="V952" s="5">
        <v>1</v>
      </c>
      <c r="W952" s="6"/>
      <c r="X952" s="5">
        <v>1</v>
      </c>
      <c r="Y952" s="6"/>
      <c r="Z952" s="5">
        <v>1</v>
      </c>
      <c r="AA952" s="6"/>
      <c r="AB952" s="6"/>
      <c r="AC952" s="5">
        <v>1</v>
      </c>
      <c r="AD952" s="6"/>
      <c r="AE952" s="6"/>
      <c r="AF952" s="5">
        <v>1</v>
      </c>
      <c r="AG952" s="6"/>
      <c r="AH952" s="5">
        <v>1</v>
      </c>
      <c r="AI952" s="6"/>
      <c r="AJ952" s="6"/>
      <c r="AK952" s="6"/>
      <c r="AL952" s="6"/>
      <c r="AM952" s="6"/>
    </row>
    <row r="953" spans="1:39" s="7" customFormat="1" x14ac:dyDescent="0.25">
      <c r="A953" s="5">
        <v>403</v>
      </c>
      <c r="B953" s="5">
        <v>1</v>
      </c>
      <c r="C953" s="5">
        <v>1</v>
      </c>
      <c r="D953" s="5">
        <v>1</v>
      </c>
      <c r="E953" s="5">
        <v>1</v>
      </c>
      <c r="F953" s="5">
        <v>1</v>
      </c>
      <c r="G953" s="5">
        <v>1</v>
      </c>
      <c r="H953" s="5">
        <v>1</v>
      </c>
      <c r="I953" s="6"/>
      <c r="J953" s="6"/>
      <c r="K953" s="5">
        <v>1</v>
      </c>
      <c r="L953" s="6"/>
      <c r="M953" s="6"/>
      <c r="N953" s="5">
        <v>1</v>
      </c>
      <c r="O953" s="6"/>
      <c r="P953" s="6"/>
      <c r="Q953" s="5">
        <v>1</v>
      </c>
      <c r="R953" s="5">
        <v>1</v>
      </c>
      <c r="S953" s="5">
        <v>1</v>
      </c>
      <c r="T953" s="5">
        <v>1</v>
      </c>
      <c r="U953" s="5">
        <v>1</v>
      </c>
      <c r="V953" s="6"/>
      <c r="W953" s="5">
        <v>1</v>
      </c>
      <c r="X953" s="6"/>
      <c r="Y953" s="5">
        <v>1</v>
      </c>
      <c r="Z953" s="6"/>
      <c r="AA953" s="5">
        <v>1</v>
      </c>
      <c r="AB953" s="5">
        <v>1</v>
      </c>
      <c r="AC953" s="6"/>
      <c r="AD953" s="5">
        <v>1</v>
      </c>
      <c r="AE953" s="5">
        <v>1</v>
      </c>
      <c r="AF953" s="6"/>
      <c r="AG953" s="5">
        <v>1</v>
      </c>
      <c r="AH953" s="6"/>
      <c r="AI953" s="5">
        <v>1</v>
      </c>
      <c r="AJ953" s="5">
        <v>1</v>
      </c>
      <c r="AK953" s="5">
        <v>1</v>
      </c>
      <c r="AL953" s="5">
        <v>1</v>
      </c>
      <c r="AM953" s="5">
        <v>1</v>
      </c>
    </row>
    <row r="954" spans="1:39" s="7" customFormat="1" x14ac:dyDescent="0.25">
      <c r="A954" s="5">
        <v>404</v>
      </c>
      <c r="B954" s="5">
        <v>1</v>
      </c>
      <c r="C954" s="5">
        <v>1</v>
      </c>
      <c r="D954" s="5">
        <v>1</v>
      </c>
      <c r="E954" s="5">
        <v>1</v>
      </c>
      <c r="F954" s="5">
        <v>1</v>
      </c>
      <c r="G954" s="5">
        <v>1</v>
      </c>
      <c r="H954" s="5">
        <v>1</v>
      </c>
      <c r="I954" s="5">
        <v>1</v>
      </c>
      <c r="J954" s="5">
        <v>1</v>
      </c>
      <c r="K954" s="5">
        <v>1</v>
      </c>
      <c r="L954" s="5">
        <v>1</v>
      </c>
      <c r="M954" s="5">
        <v>1</v>
      </c>
      <c r="N954" s="5">
        <v>1</v>
      </c>
      <c r="O954" s="5">
        <v>1</v>
      </c>
      <c r="P954" s="5">
        <v>1</v>
      </c>
      <c r="Q954" s="5">
        <v>1</v>
      </c>
      <c r="R954" s="5">
        <v>1</v>
      </c>
      <c r="S954" s="5">
        <v>1</v>
      </c>
      <c r="T954" s="5">
        <v>1</v>
      </c>
      <c r="U954" s="5">
        <v>1</v>
      </c>
      <c r="V954" s="5">
        <v>1</v>
      </c>
      <c r="W954" s="5">
        <v>1</v>
      </c>
      <c r="X954" s="5">
        <v>1</v>
      </c>
      <c r="Y954" s="5">
        <v>1</v>
      </c>
      <c r="Z954" s="5">
        <v>1</v>
      </c>
      <c r="AA954" s="5">
        <v>1</v>
      </c>
      <c r="AB954" s="5">
        <v>1</v>
      </c>
      <c r="AC954" s="5">
        <v>1</v>
      </c>
      <c r="AD954" s="5">
        <v>1</v>
      </c>
      <c r="AE954" s="5">
        <v>1</v>
      </c>
      <c r="AF954" s="5">
        <v>1</v>
      </c>
      <c r="AG954" s="5">
        <v>1</v>
      </c>
      <c r="AH954" s="5">
        <v>1</v>
      </c>
      <c r="AI954" s="5">
        <v>1</v>
      </c>
      <c r="AJ954" s="5">
        <v>1</v>
      </c>
      <c r="AK954" s="5">
        <v>1</v>
      </c>
      <c r="AL954" s="5">
        <v>1</v>
      </c>
      <c r="AM954" s="5">
        <v>1</v>
      </c>
    </row>
    <row r="955" spans="1:39" s="7" customFormat="1" x14ac:dyDescent="0.25">
      <c r="A955" s="5">
        <v>405</v>
      </c>
      <c r="B955" s="5">
        <v>1</v>
      </c>
      <c r="C955" s="5">
        <v>1</v>
      </c>
      <c r="D955" s="5">
        <v>1</v>
      </c>
      <c r="E955" s="5">
        <v>1</v>
      </c>
      <c r="F955" s="5">
        <v>1</v>
      </c>
      <c r="G955" s="5">
        <v>1</v>
      </c>
      <c r="H955" s="5">
        <v>1</v>
      </c>
      <c r="I955" s="5">
        <v>1</v>
      </c>
      <c r="J955" s="5">
        <v>1</v>
      </c>
      <c r="K955" s="5">
        <v>1</v>
      </c>
      <c r="L955" s="5">
        <v>1</v>
      </c>
      <c r="M955" s="5">
        <v>1</v>
      </c>
      <c r="N955" s="5">
        <v>1</v>
      </c>
      <c r="O955" s="5">
        <v>1</v>
      </c>
      <c r="P955" s="5">
        <v>1</v>
      </c>
      <c r="Q955" s="5">
        <v>1</v>
      </c>
      <c r="R955" s="5">
        <v>1</v>
      </c>
      <c r="S955" s="5">
        <v>1</v>
      </c>
      <c r="T955" s="5">
        <v>1</v>
      </c>
      <c r="U955" s="5">
        <v>1</v>
      </c>
      <c r="V955" s="5">
        <v>1</v>
      </c>
      <c r="W955" s="5">
        <v>1</v>
      </c>
      <c r="X955" s="5">
        <v>1</v>
      </c>
      <c r="Y955" s="5">
        <v>1</v>
      </c>
      <c r="Z955" s="5">
        <v>1</v>
      </c>
      <c r="AA955" s="5">
        <v>1</v>
      </c>
      <c r="AB955" s="5">
        <v>1</v>
      </c>
      <c r="AC955" s="5">
        <v>1</v>
      </c>
      <c r="AD955" s="5">
        <v>1</v>
      </c>
      <c r="AE955" s="5">
        <v>1</v>
      </c>
      <c r="AF955" s="5">
        <v>1</v>
      </c>
      <c r="AG955" s="5">
        <v>1</v>
      </c>
      <c r="AH955" s="5">
        <v>1</v>
      </c>
      <c r="AI955" s="5">
        <v>1</v>
      </c>
      <c r="AJ955" s="5">
        <v>1</v>
      </c>
      <c r="AK955" s="5">
        <v>1</v>
      </c>
      <c r="AL955" s="5">
        <v>1</v>
      </c>
      <c r="AM955" s="5">
        <v>1</v>
      </c>
    </row>
    <row r="956" spans="1:39" s="7" customFormat="1" x14ac:dyDescent="0.25">
      <c r="A956" s="5">
        <v>406</v>
      </c>
      <c r="B956" s="6"/>
      <c r="C956" s="5">
        <v>1</v>
      </c>
      <c r="D956" s="6"/>
      <c r="E956" s="6"/>
      <c r="F956" s="5">
        <v>1</v>
      </c>
      <c r="G956" s="5">
        <v>1</v>
      </c>
      <c r="H956" s="5">
        <v>1</v>
      </c>
      <c r="I956" s="5">
        <v>1</v>
      </c>
      <c r="J956" s="5">
        <v>1</v>
      </c>
      <c r="K956" s="5">
        <v>1</v>
      </c>
      <c r="L956" s="5">
        <v>1</v>
      </c>
      <c r="M956" s="5">
        <v>1</v>
      </c>
      <c r="N956" s="6"/>
      <c r="O956" s="5">
        <v>1</v>
      </c>
      <c r="P956" s="5">
        <v>1</v>
      </c>
      <c r="Q956" s="5">
        <v>1</v>
      </c>
      <c r="R956" s="5">
        <v>1</v>
      </c>
      <c r="S956" s="5">
        <v>1</v>
      </c>
      <c r="T956" s="5">
        <v>1</v>
      </c>
      <c r="U956" s="6"/>
      <c r="V956" s="5">
        <v>1</v>
      </c>
      <c r="W956" s="5">
        <v>1</v>
      </c>
      <c r="X956" s="5">
        <v>1</v>
      </c>
      <c r="Y956" s="6"/>
      <c r="Z956" s="5">
        <v>1</v>
      </c>
      <c r="AA956" s="5">
        <v>1</v>
      </c>
      <c r="AB956" s="5">
        <v>1</v>
      </c>
      <c r="AC956" s="5">
        <v>1</v>
      </c>
      <c r="AD956" s="5">
        <v>1</v>
      </c>
      <c r="AE956" s="5">
        <v>1</v>
      </c>
      <c r="AF956" s="5">
        <v>1</v>
      </c>
      <c r="AG956" s="6"/>
      <c r="AH956" s="5">
        <v>1</v>
      </c>
      <c r="AI956" s="5">
        <v>1</v>
      </c>
      <c r="AJ956" s="5">
        <v>1</v>
      </c>
      <c r="AK956" s="5">
        <v>1</v>
      </c>
      <c r="AL956" s="6"/>
      <c r="AM956" s="5">
        <v>1</v>
      </c>
    </row>
    <row r="957" spans="1:39" s="7" customFormat="1" x14ac:dyDescent="0.25">
      <c r="A957" s="5">
        <v>406</v>
      </c>
      <c r="B957" s="5">
        <v>1</v>
      </c>
      <c r="C957" s="6"/>
      <c r="D957" s="5">
        <v>1</v>
      </c>
      <c r="E957" s="5">
        <v>1</v>
      </c>
      <c r="F957" s="6"/>
      <c r="G957" s="6"/>
      <c r="H957" s="6"/>
      <c r="I957" s="6"/>
      <c r="J957" s="6"/>
      <c r="K957" s="6"/>
      <c r="L957" s="6"/>
      <c r="M957" s="6"/>
      <c r="N957" s="5">
        <v>1</v>
      </c>
      <c r="O957" s="6"/>
      <c r="P957" s="6"/>
      <c r="Q957" s="6"/>
      <c r="R957" s="6"/>
      <c r="S957" s="6"/>
      <c r="T957" s="6"/>
      <c r="U957" s="5">
        <v>1</v>
      </c>
      <c r="V957" s="6"/>
      <c r="W957" s="6"/>
      <c r="X957" s="6"/>
      <c r="Y957" s="5">
        <v>1</v>
      </c>
      <c r="Z957" s="6"/>
      <c r="AA957" s="6"/>
      <c r="AB957" s="6"/>
      <c r="AC957" s="6"/>
      <c r="AD957" s="6"/>
      <c r="AE957" s="6"/>
      <c r="AF957" s="6"/>
      <c r="AG957" s="5">
        <v>1</v>
      </c>
      <c r="AH957" s="6"/>
      <c r="AI957" s="6"/>
      <c r="AJ957" s="6"/>
      <c r="AK957" s="6"/>
      <c r="AL957" s="5">
        <v>1</v>
      </c>
      <c r="AM957" s="6"/>
    </row>
    <row r="958" spans="1:39" s="7" customFormat="1" x14ac:dyDescent="0.25">
      <c r="A958" s="5">
        <v>407</v>
      </c>
      <c r="B958" s="6"/>
      <c r="C958" s="6"/>
      <c r="D958" s="5">
        <v>1</v>
      </c>
      <c r="E958" s="6"/>
      <c r="F958" s="6"/>
      <c r="G958" s="6"/>
      <c r="H958" s="6"/>
      <c r="I958" s="6"/>
      <c r="J958" s="6"/>
      <c r="K958" s="6"/>
      <c r="L958" s="6"/>
      <c r="M958" s="5">
        <v>1</v>
      </c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5">
        <v>1</v>
      </c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5">
        <v>1</v>
      </c>
      <c r="AM958" s="6"/>
    </row>
    <row r="959" spans="1:39" s="7" customFormat="1" x14ac:dyDescent="0.25">
      <c r="A959" s="5">
        <v>407</v>
      </c>
      <c r="B959" s="6"/>
      <c r="C959" s="6"/>
      <c r="D959" s="6"/>
      <c r="E959" s="5">
        <v>1</v>
      </c>
      <c r="F959" s="6"/>
      <c r="G959" s="6"/>
      <c r="H959" s="6"/>
      <c r="I959" s="5">
        <v>1</v>
      </c>
      <c r="J959" s="6"/>
      <c r="K959" s="5">
        <v>1</v>
      </c>
      <c r="L959" s="6"/>
      <c r="M959" s="6"/>
      <c r="N959" s="6"/>
      <c r="O959" s="6"/>
      <c r="P959" s="6"/>
      <c r="Q959" s="6"/>
      <c r="R959" s="6"/>
      <c r="S959" s="6"/>
      <c r="T959" s="6"/>
      <c r="U959" s="5">
        <v>1</v>
      </c>
      <c r="V959" s="6"/>
      <c r="W959" s="6"/>
      <c r="X959" s="6"/>
      <c r="Y959" s="6"/>
      <c r="Z959" s="6"/>
      <c r="AA959" s="6"/>
      <c r="AB959" s="6"/>
      <c r="AC959" s="5">
        <v>1</v>
      </c>
      <c r="AD959" s="5">
        <v>1</v>
      </c>
      <c r="AE959" s="6"/>
      <c r="AF959" s="6"/>
      <c r="AG959" s="6"/>
      <c r="AH959" s="6"/>
      <c r="AI959" s="6"/>
      <c r="AJ959" s="6"/>
      <c r="AK959" s="6"/>
      <c r="AL959" s="6"/>
      <c r="AM959" s="6"/>
    </row>
    <row r="960" spans="1:39" s="7" customFormat="1" x14ac:dyDescent="0.25">
      <c r="A960" s="5">
        <v>407</v>
      </c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5">
        <v>1</v>
      </c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5">
        <v>1</v>
      </c>
      <c r="X960" s="5">
        <v>1</v>
      </c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5">
        <v>1</v>
      </c>
      <c r="AL960" s="6"/>
      <c r="AM960" s="6"/>
    </row>
    <row r="961" spans="1:39" s="7" customFormat="1" x14ac:dyDescent="0.25">
      <c r="A961" s="5">
        <v>407</v>
      </c>
      <c r="B961" s="6"/>
      <c r="C961" s="6"/>
      <c r="D961" s="6"/>
      <c r="E961" s="6"/>
      <c r="F961" s="6"/>
      <c r="G961" s="6"/>
      <c r="H961" s="6"/>
      <c r="I961" s="6"/>
      <c r="J961" s="5">
        <v>1</v>
      </c>
      <c r="K961" s="6"/>
      <c r="L961" s="6"/>
      <c r="M961" s="6"/>
      <c r="N961" s="6"/>
      <c r="O961" s="5">
        <v>1</v>
      </c>
      <c r="P961" s="6"/>
      <c r="Q961" s="5">
        <v>1</v>
      </c>
      <c r="R961" s="6"/>
      <c r="S961" s="6"/>
      <c r="T961" s="5">
        <v>1</v>
      </c>
      <c r="U961" s="6"/>
      <c r="V961" s="5">
        <v>1</v>
      </c>
      <c r="W961" s="6"/>
      <c r="X961" s="6"/>
      <c r="Y961" s="6"/>
      <c r="Z961" s="5">
        <v>1</v>
      </c>
      <c r="AA961" s="6"/>
      <c r="AB961" s="6"/>
      <c r="AC961" s="6"/>
      <c r="AD961" s="6"/>
      <c r="AE961" s="6"/>
      <c r="AF961" s="6"/>
      <c r="AG961" s="6"/>
      <c r="AH961" s="6"/>
      <c r="AI961" s="5">
        <v>1</v>
      </c>
      <c r="AJ961" s="6"/>
      <c r="AK961" s="6"/>
      <c r="AL961" s="6"/>
      <c r="AM961" s="6"/>
    </row>
    <row r="962" spans="1:39" s="7" customFormat="1" x14ac:dyDescent="0.25">
      <c r="A962" s="5">
        <v>407</v>
      </c>
      <c r="B962" s="6"/>
      <c r="C962" s="5">
        <v>1</v>
      </c>
      <c r="D962" s="6"/>
      <c r="E962" s="6"/>
      <c r="F962" s="6"/>
      <c r="G962" s="5">
        <v>1</v>
      </c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5">
        <v>1</v>
      </c>
      <c r="S962" s="6"/>
      <c r="T962" s="6"/>
      <c r="U962" s="6"/>
      <c r="V962" s="6"/>
      <c r="W962" s="6"/>
      <c r="X962" s="6"/>
      <c r="Y962" s="6"/>
      <c r="Z962" s="6"/>
      <c r="AA962" s="6"/>
      <c r="AB962" s="5">
        <v>1</v>
      </c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5">
        <v>1</v>
      </c>
    </row>
    <row r="963" spans="1:39" s="7" customFormat="1" x14ac:dyDescent="0.25">
      <c r="A963" s="5">
        <v>407</v>
      </c>
      <c r="B963" s="5">
        <v>1</v>
      </c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5">
        <v>1</v>
      </c>
      <c r="AG963" s="6"/>
      <c r="AH963" s="6"/>
      <c r="AI963" s="6"/>
      <c r="AJ963" s="6"/>
      <c r="AK963" s="6"/>
      <c r="AL963" s="6"/>
      <c r="AM963" s="6"/>
    </row>
    <row r="964" spans="1:39" s="7" customFormat="1" x14ac:dyDescent="0.25">
      <c r="A964" s="5">
        <v>407</v>
      </c>
      <c r="B964" s="6"/>
      <c r="C964" s="6"/>
      <c r="D964" s="6"/>
      <c r="E964" s="6"/>
      <c r="F964" s="5">
        <v>1</v>
      </c>
      <c r="G964" s="6"/>
      <c r="H964" s="6"/>
      <c r="I964" s="6"/>
      <c r="J964" s="6"/>
      <c r="K964" s="6"/>
      <c r="L964" s="6"/>
      <c r="M964" s="6"/>
      <c r="N964" s="5">
        <v>1</v>
      </c>
      <c r="O964" s="6"/>
      <c r="P964" s="5">
        <v>1</v>
      </c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5">
        <v>1</v>
      </c>
      <c r="AH964" s="5">
        <v>1</v>
      </c>
      <c r="AI964" s="6"/>
      <c r="AJ964" s="6"/>
      <c r="AK964" s="6"/>
      <c r="AL964" s="6"/>
      <c r="AM964" s="6"/>
    </row>
    <row r="965" spans="1:39" s="7" customFormat="1" x14ac:dyDescent="0.25">
      <c r="A965" s="5">
        <v>407</v>
      </c>
      <c r="B965" s="6"/>
      <c r="C965" s="6"/>
      <c r="D965" s="6"/>
      <c r="E965" s="6"/>
      <c r="F965" s="6"/>
      <c r="G965" s="6"/>
      <c r="H965" s="5">
        <v>1</v>
      </c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5">
        <v>1</v>
      </c>
      <c r="AF965" s="6"/>
      <c r="AG965" s="6"/>
      <c r="AH965" s="6"/>
      <c r="AI965" s="6"/>
      <c r="AJ965" s="6"/>
      <c r="AK965" s="6"/>
      <c r="AL965" s="6"/>
      <c r="AM965" s="6"/>
    </row>
    <row r="966" spans="1:39" s="7" customFormat="1" x14ac:dyDescent="0.25">
      <c r="A966" s="5">
        <v>407</v>
      </c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5">
        <v>1</v>
      </c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</row>
    <row r="967" spans="1:39" s="7" customFormat="1" x14ac:dyDescent="0.25">
      <c r="A967" s="5">
        <v>407</v>
      </c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5">
        <v>1</v>
      </c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5">
        <v>1</v>
      </c>
      <c r="AK967" s="6"/>
      <c r="AL967" s="6"/>
      <c r="AM967" s="6"/>
    </row>
    <row r="968" spans="1:39" s="7" customFormat="1" x14ac:dyDescent="0.25">
      <c r="A968" s="5">
        <v>408</v>
      </c>
      <c r="B968" s="5">
        <v>1</v>
      </c>
      <c r="C968" s="5">
        <v>1</v>
      </c>
      <c r="D968" s="5">
        <v>1</v>
      </c>
      <c r="E968" s="5">
        <v>1</v>
      </c>
      <c r="F968" s="5">
        <v>1</v>
      </c>
      <c r="G968" s="5">
        <v>1</v>
      </c>
      <c r="H968" s="5">
        <v>1</v>
      </c>
      <c r="I968" s="5">
        <v>1</v>
      </c>
      <c r="J968" s="5">
        <v>1</v>
      </c>
      <c r="K968" s="5">
        <v>1</v>
      </c>
      <c r="L968" s="5">
        <v>1</v>
      </c>
      <c r="M968" s="5">
        <v>1</v>
      </c>
      <c r="N968" s="5">
        <v>1</v>
      </c>
      <c r="O968" s="5">
        <v>1</v>
      </c>
      <c r="P968" s="5">
        <v>1</v>
      </c>
      <c r="Q968" s="5">
        <v>1</v>
      </c>
      <c r="R968" s="5">
        <v>1</v>
      </c>
      <c r="S968" s="5">
        <v>1</v>
      </c>
      <c r="T968" s="5">
        <v>1</v>
      </c>
      <c r="U968" s="5">
        <v>1</v>
      </c>
      <c r="V968" s="5">
        <v>1</v>
      </c>
      <c r="W968" s="5">
        <v>1</v>
      </c>
      <c r="X968" s="5">
        <v>1</v>
      </c>
      <c r="Y968" s="5">
        <v>1</v>
      </c>
      <c r="Z968" s="5">
        <v>1</v>
      </c>
      <c r="AA968" s="5">
        <v>1</v>
      </c>
      <c r="AB968" s="5">
        <v>1</v>
      </c>
      <c r="AC968" s="5">
        <v>1</v>
      </c>
      <c r="AD968" s="5">
        <v>1</v>
      </c>
      <c r="AE968" s="5">
        <v>1</v>
      </c>
      <c r="AF968" s="5">
        <v>1</v>
      </c>
      <c r="AG968" s="5">
        <v>1</v>
      </c>
      <c r="AH968" s="5">
        <v>1</v>
      </c>
      <c r="AI968" s="5">
        <v>1</v>
      </c>
      <c r="AJ968" s="5">
        <v>1</v>
      </c>
      <c r="AK968" s="5">
        <v>1</v>
      </c>
      <c r="AL968" s="5">
        <v>1</v>
      </c>
      <c r="AM968" s="5">
        <v>1</v>
      </c>
    </row>
    <row r="969" spans="1:39" s="7" customFormat="1" x14ac:dyDescent="0.25">
      <c r="A969" s="5">
        <v>409</v>
      </c>
      <c r="B969" s="5">
        <v>1</v>
      </c>
      <c r="C969" s="5">
        <v>1</v>
      </c>
      <c r="D969" s="5">
        <v>1</v>
      </c>
      <c r="E969" s="5">
        <v>1</v>
      </c>
      <c r="F969" s="5">
        <v>1</v>
      </c>
      <c r="G969" s="5">
        <v>1</v>
      </c>
      <c r="H969" s="5">
        <v>1</v>
      </c>
      <c r="I969" s="5">
        <v>1</v>
      </c>
      <c r="J969" s="5">
        <v>1</v>
      </c>
      <c r="K969" s="5">
        <v>1</v>
      </c>
      <c r="L969" s="5">
        <v>1</v>
      </c>
      <c r="M969" s="5">
        <v>1</v>
      </c>
      <c r="N969" s="5">
        <v>1</v>
      </c>
      <c r="O969" s="5">
        <v>1</v>
      </c>
      <c r="P969" s="5">
        <v>1</v>
      </c>
      <c r="Q969" s="5">
        <v>1</v>
      </c>
      <c r="R969" s="5">
        <v>1</v>
      </c>
      <c r="S969" s="5">
        <v>1</v>
      </c>
      <c r="T969" s="5">
        <v>1</v>
      </c>
      <c r="U969" s="5">
        <v>1</v>
      </c>
      <c r="V969" s="5">
        <v>1</v>
      </c>
      <c r="W969" s="5">
        <v>1</v>
      </c>
      <c r="X969" s="5">
        <v>1</v>
      </c>
      <c r="Y969" s="5">
        <v>1</v>
      </c>
      <c r="Z969" s="5">
        <v>1</v>
      </c>
      <c r="AA969" s="5">
        <v>1</v>
      </c>
      <c r="AB969" s="5">
        <v>1</v>
      </c>
      <c r="AC969" s="5">
        <v>1</v>
      </c>
      <c r="AD969" s="5">
        <v>1</v>
      </c>
      <c r="AE969" s="5">
        <v>1</v>
      </c>
      <c r="AF969" s="5">
        <v>1</v>
      </c>
      <c r="AG969" s="5">
        <v>1</v>
      </c>
      <c r="AH969" s="5">
        <v>1</v>
      </c>
      <c r="AI969" s="5">
        <v>1</v>
      </c>
      <c r="AJ969" s="5">
        <v>1</v>
      </c>
      <c r="AK969" s="5">
        <v>1</v>
      </c>
      <c r="AL969" s="5">
        <v>1</v>
      </c>
      <c r="AM969" s="5">
        <v>1</v>
      </c>
    </row>
    <row r="970" spans="1:39" s="7" customFormat="1" x14ac:dyDescent="0.25">
      <c r="A970" s="5">
        <v>410</v>
      </c>
      <c r="B970" s="5">
        <v>1</v>
      </c>
      <c r="C970" s="5">
        <v>1</v>
      </c>
      <c r="D970" s="5">
        <v>1</v>
      </c>
      <c r="E970" s="5">
        <v>1</v>
      </c>
      <c r="F970" s="5">
        <v>1</v>
      </c>
      <c r="G970" s="5">
        <v>1</v>
      </c>
      <c r="H970" s="5">
        <v>1</v>
      </c>
      <c r="I970" s="5">
        <v>1</v>
      </c>
      <c r="J970" s="5">
        <v>1</v>
      </c>
      <c r="K970" s="5">
        <v>1</v>
      </c>
      <c r="L970" s="5">
        <v>1</v>
      </c>
      <c r="M970" s="5">
        <v>1</v>
      </c>
      <c r="N970" s="5">
        <v>1</v>
      </c>
      <c r="O970" s="5">
        <v>1</v>
      </c>
      <c r="P970" s="5">
        <v>1</v>
      </c>
      <c r="Q970" s="5">
        <v>1</v>
      </c>
      <c r="R970" s="5">
        <v>1</v>
      </c>
      <c r="S970" s="5">
        <v>1</v>
      </c>
      <c r="T970" s="5">
        <v>1</v>
      </c>
      <c r="U970" s="5">
        <v>1</v>
      </c>
      <c r="V970" s="5">
        <v>1</v>
      </c>
      <c r="W970" s="5">
        <v>1</v>
      </c>
      <c r="X970" s="5">
        <v>1</v>
      </c>
      <c r="Y970" s="5">
        <v>1</v>
      </c>
      <c r="Z970" s="5">
        <v>1</v>
      </c>
      <c r="AA970" s="5">
        <v>1</v>
      </c>
      <c r="AB970" s="5">
        <v>1</v>
      </c>
      <c r="AC970" s="5">
        <v>1</v>
      </c>
      <c r="AD970" s="5">
        <v>1</v>
      </c>
      <c r="AE970" s="5">
        <v>1</v>
      </c>
      <c r="AF970" s="5">
        <v>1</v>
      </c>
      <c r="AG970" s="5">
        <v>1</v>
      </c>
      <c r="AH970" s="5">
        <v>1</v>
      </c>
      <c r="AI970" s="5">
        <v>1</v>
      </c>
      <c r="AJ970" s="5">
        <v>1</v>
      </c>
      <c r="AK970" s="5">
        <v>1</v>
      </c>
      <c r="AL970" s="5">
        <v>1</v>
      </c>
      <c r="AM970" s="5">
        <v>1</v>
      </c>
    </row>
    <row r="971" spans="1:39" s="7" customFormat="1" x14ac:dyDescent="0.25">
      <c r="A971" s="5">
        <v>411</v>
      </c>
      <c r="B971" s="5">
        <v>1</v>
      </c>
      <c r="C971" s="5">
        <v>1</v>
      </c>
      <c r="D971" s="5">
        <v>1</v>
      </c>
      <c r="E971" s="5">
        <v>1</v>
      </c>
      <c r="F971" s="5">
        <v>1</v>
      </c>
      <c r="G971" s="5">
        <v>1</v>
      </c>
      <c r="H971" s="5">
        <v>1</v>
      </c>
      <c r="I971" s="5">
        <v>1</v>
      </c>
      <c r="J971" s="5">
        <v>1</v>
      </c>
      <c r="K971" s="5">
        <v>1</v>
      </c>
      <c r="L971" s="5">
        <v>1</v>
      </c>
      <c r="M971" s="5">
        <v>1</v>
      </c>
      <c r="N971" s="5">
        <v>1</v>
      </c>
      <c r="O971" s="5">
        <v>1</v>
      </c>
      <c r="P971" s="5">
        <v>1</v>
      </c>
      <c r="Q971" s="5">
        <v>1</v>
      </c>
      <c r="R971" s="5">
        <v>1</v>
      </c>
      <c r="S971" s="5">
        <v>1</v>
      </c>
      <c r="T971" s="5">
        <v>1</v>
      </c>
      <c r="U971" s="5">
        <v>1</v>
      </c>
      <c r="V971" s="5">
        <v>1</v>
      </c>
      <c r="W971" s="5">
        <v>1</v>
      </c>
      <c r="X971" s="5">
        <v>1</v>
      </c>
      <c r="Y971" s="5">
        <v>1</v>
      </c>
      <c r="Z971" s="5">
        <v>1</v>
      </c>
      <c r="AA971" s="5">
        <v>1</v>
      </c>
      <c r="AB971" s="5">
        <v>1</v>
      </c>
      <c r="AC971" s="5">
        <v>1</v>
      </c>
      <c r="AD971" s="5">
        <v>1</v>
      </c>
      <c r="AE971" s="5">
        <v>1</v>
      </c>
      <c r="AF971" s="5">
        <v>1</v>
      </c>
      <c r="AG971" s="5">
        <v>1</v>
      </c>
      <c r="AH971" s="5">
        <v>1</v>
      </c>
      <c r="AI971" s="5">
        <v>1</v>
      </c>
      <c r="AJ971" s="5">
        <v>1</v>
      </c>
      <c r="AK971" s="5">
        <v>1</v>
      </c>
      <c r="AL971" s="5">
        <v>1</v>
      </c>
      <c r="AM971" s="5">
        <v>1</v>
      </c>
    </row>
    <row r="972" spans="1:39" s="7" customFormat="1" x14ac:dyDescent="0.25">
      <c r="A972" s="5">
        <v>412</v>
      </c>
      <c r="B972" s="5">
        <v>1</v>
      </c>
      <c r="C972" s="5">
        <v>1</v>
      </c>
      <c r="D972" s="5">
        <v>1</v>
      </c>
      <c r="E972" s="5">
        <v>1</v>
      </c>
      <c r="F972" s="5">
        <v>1</v>
      </c>
      <c r="G972" s="5">
        <v>1</v>
      </c>
      <c r="H972" s="5">
        <v>1</v>
      </c>
      <c r="I972" s="5">
        <v>1</v>
      </c>
      <c r="J972" s="5">
        <v>1</v>
      </c>
      <c r="K972" s="5">
        <v>1</v>
      </c>
      <c r="L972" s="5">
        <v>1</v>
      </c>
      <c r="M972" s="5">
        <v>1</v>
      </c>
      <c r="N972" s="5">
        <v>1</v>
      </c>
      <c r="O972" s="5">
        <v>1</v>
      </c>
      <c r="P972" s="5">
        <v>1</v>
      </c>
      <c r="Q972" s="5">
        <v>1</v>
      </c>
      <c r="R972" s="5">
        <v>1</v>
      </c>
      <c r="S972" s="5">
        <v>1</v>
      </c>
      <c r="T972" s="5">
        <v>1</v>
      </c>
      <c r="U972" s="5">
        <v>1</v>
      </c>
      <c r="V972" s="5">
        <v>1</v>
      </c>
      <c r="W972" s="5">
        <v>1</v>
      </c>
      <c r="X972" s="5">
        <v>1</v>
      </c>
      <c r="Y972" s="5">
        <v>1</v>
      </c>
      <c r="Z972" s="5">
        <v>1</v>
      </c>
      <c r="AA972" s="5">
        <v>1</v>
      </c>
      <c r="AB972" s="5">
        <v>1</v>
      </c>
      <c r="AC972" s="5">
        <v>1</v>
      </c>
      <c r="AD972" s="5">
        <v>1</v>
      </c>
      <c r="AE972" s="5">
        <v>1</v>
      </c>
      <c r="AF972" s="5">
        <v>1</v>
      </c>
      <c r="AG972" s="5">
        <v>1</v>
      </c>
      <c r="AH972" s="5">
        <v>1</v>
      </c>
      <c r="AI972" s="5">
        <v>1</v>
      </c>
      <c r="AJ972" s="5">
        <v>1</v>
      </c>
      <c r="AK972" s="5">
        <v>1</v>
      </c>
      <c r="AL972" s="5">
        <v>1</v>
      </c>
      <c r="AM972" s="5">
        <v>1</v>
      </c>
    </row>
    <row r="973" spans="1:39" s="7" customFormat="1" x14ac:dyDescent="0.25">
      <c r="A973" s="5">
        <v>413</v>
      </c>
      <c r="B973" s="6"/>
      <c r="C973" s="6"/>
      <c r="D973" s="6"/>
      <c r="E973" s="6"/>
      <c r="F973" s="6"/>
      <c r="G973" s="6"/>
      <c r="H973" s="6"/>
      <c r="I973" s="5">
        <v>1</v>
      </c>
      <c r="J973" s="5">
        <v>1</v>
      </c>
      <c r="K973" s="6"/>
      <c r="L973" s="5">
        <v>1</v>
      </c>
      <c r="M973" s="5">
        <v>1</v>
      </c>
      <c r="N973" s="6"/>
      <c r="O973" s="5">
        <v>1</v>
      </c>
      <c r="P973" s="5">
        <v>1</v>
      </c>
      <c r="Q973" s="6"/>
      <c r="R973" s="6"/>
      <c r="S973" s="6"/>
      <c r="T973" s="6"/>
      <c r="U973" s="6"/>
      <c r="V973" s="5">
        <v>1</v>
      </c>
      <c r="W973" s="6"/>
      <c r="X973" s="5">
        <v>1</v>
      </c>
      <c r="Y973" s="6"/>
      <c r="Z973" s="5">
        <v>1</v>
      </c>
      <c r="AA973" s="6"/>
      <c r="AB973" s="6"/>
      <c r="AC973" s="5">
        <v>1</v>
      </c>
      <c r="AD973" s="6"/>
      <c r="AE973" s="6"/>
      <c r="AF973" s="5">
        <v>1</v>
      </c>
      <c r="AG973" s="6"/>
      <c r="AH973" s="5">
        <v>1</v>
      </c>
      <c r="AI973" s="6"/>
      <c r="AJ973" s="6"/>
      <c r="AK973" s="6"/>
      <c r="AL973" s="6"/>
      <c r="AM973" s="6"/>
    </row>
    <row r="974" spans="1:39" s="7" customFormat="1" x14ac:dyDescent="0.25">
      <c r="A974" s="5">
        <v>413</v>
      </c>
      <c r="B974" s="5">
        <v>1</v>
      </c>
      <c r="C974" s="5">
        <v>1</v>
      </c>
      <c r="D974" s="5">
        <v>1</v>
      </c>
      <c r="E974" s="5">
        <v>1</v>
      </c>
      <c r="F974" s="5">
        <v>1</v>
      </c>
      <c r="G974" s="5">
        <v>1</v>
      </c>
      <c r="H974" s="5">
        <v>1</v>
      </c>
      <c r="I974" s="6"/>
      <c r="J974" s="6"/>
      <c r="K974" s="5">
        <v>1</v>
      </c>
      <c r="L974" s="6"/>
      <c r="M974" s="6"/>
      <c r="N974" s="5">
        <v>1</v>
      </c>
      <c r="O974" s="6"/>
      <c r="P974" s="6"/>
      <c r="Q974" s="5">
        <v>1</v>
      </c>
      <c r="R974" s="5">
        <v>1</v>
      </c>
      <c r="S974" s="5">
        <v>1</v>
      </c>
      <c r="T974" s="5">
        <v>1</v>
      </c>
      <c r="U974" s="5">
        <v>1</v>
      </c>
      <c r="V974" s="6"/>
      <c r="W974" s="5">
        <v>1</v>
      </c>
      <c r="X974" s="6"/>
      <c r="Y974" s="5">
        <v>1</v>
      </c>
      <c r="Z974" s="6"/>
      <c r="AA974" s="5">
        <v>1</v>
      </c>
      <c r="AB974" s="5">
        <v>1</v>
      </c>
      <c r="AC974" s="6"/>
      <c r="AD974" s="5">
        <v>1</v>
      </c>
      <c r="AE974" s="5">
        <v>1</v>
      </c>
      <c r="AF974" s="6"/>
      <c r="AG974" s="5">
        <v>1</v>
      </c>
      <c r="AH974" s="6"/>
      <c r="AI974" s="5">
        <v>1</v>
      </c>
      <c r="AJ974" s="5">
        <v>1</v>
      </c>
      <c r="AK974" s="5">
        <v>1</v>
      </c>
      <c r="AL974" s="5">
        <v>1</v>
      </c>
      <c r="AM974" s="5">
        <v>1</v>
      </c>
    </row>
    <row r="975" spans="1:39" s="7" customFormat="1" x14ac:dyDescent="0.25">
      <c r="A975" s="5">
        <v>414</v>
      </c>
      <c r="B975" s="5">
        <v>1</v>
      </c>
      <c r="C975" s="5">
        <v>1</v>
      </c>
      <c r="D975" s="5">
        <v>1</v>
      </c>
      <c r="E975" s="5">
        <v>1</v>
      </c>
      <c r="F975" s="5">
        <v>1</v>
      </c>
      <c r="G975" s="5">
        <v>1</v>
      </c>
      <c r="H975" s="5">
        <v>1</v>
      </c>
      <c r="I975" s="5">
        <v>1</v>
      </c>
      <c r="J975" s="5">
        <v>1</v>
      </c>
      <c r="K975" s="5">
        <v>1</v>
      </c>
      <c r="L975" s="5">
        <v>1</v>
      </c>
      <c r="M975" s="5">
        <v>1</v>
      </c>
      <c r="N975" s="5">
        <v>1</v>
      </c>
      <c r="O975" s="5">
        <v>1</v>
      </c>
      <c r="P975" s="5">
        <v>1</v>
      </c>
      <c r="Q975" s="5">
        <v>1</v>
      </c>
      <c r="R975" s="5">
        <v>1</v>
      </c>
      <c r="S975" s="5">
        <v>1</v>
      </c>
      <c r="T975" s="5">
        <v>1</v>
      </c>
      <c r="U975" s="5">
        <v>1</v>
      </c>
      <c r="V975" s="5">
        <v>1</v>
      </c>
      <c r="W975" s="5">
        <v>1</v>
      </c>
      <c r="X975" s="5">
        <v>1</v>
      </c>
      <c r="Y975" s="5">
        <v>1</v>
      </c>
      <c r="Z975" s="5">
        <v>1</v>
      </c>
      <c r="AA975" s="5">
        <v>1</v>
      </c>
      <c r="AB975" s="5">
        <v>1</v>
      </c>
      <c r="AC975" s="5">
        <v>1</v>
      </c>
      <c r="AD975" s="5">
        <v>1</v>
      </c>
      <c r="AE975" s="5">
        <v>1</v>
      </c>
      <c r="AF975" s="5">
        <v>1</v>
      </c>
      <c r="AG975" s="5">
        <v>1</v>
      </c>
      <c r="AH975" s="5">
        <v>1</v>
      </c>
      <c r="AI975" s="5">
        <v>1</v>
      </c>
      <c r="AJ975" s="5">
        <v>1</v>
      </c>
      <c r="AK975" s="5">
        <v>1</v>
      </c>
      <c r="AL975" s="5">
        <v>1</v>
      </c>
      <c r="AM975" s="5">
        <v>1</v>
      </c>
    </row>
    <row r="976" spans="1:39" s="7" customFormat="1" x14ac:dyDescent="0.25">
      <c r="A976" s="5">
        <v>415</v>
      </c>
      <c r="B976" s="5">
        <v>1</v>
      </c>
      <c r="C976" s="5">
        <v>1</v>
      </c>
      <c r="D976" s="5">
        <v>1</v>
      </c>
      <c r="E976" s="5">
        <v>1</v>
      </c>
      <c r="F976" s="5">
        <v>1</v>
      </c>
      <c r="G976" s="5">
        <v>1</v>
      </c>
      <c r="H976" s="5">
        <v>1</v>
      </c>
      <c r="I976" s="5">
        <v>1</v>
      </c>
      <c r="J976" s="5">
        <v>1</v>
      </c>
      <c r="K976" s="5">
        <v>1</v>
      </c>
      <c r="L976" s="5">
        <v>1</v>
      </c>
      <c r="M976" s="5">
        <v>1</v>
      </c>
      <c r="N976" s="5">
        <v>1</v>
      </c>
      <c r="O976" s="5">
        <v>1</v>
      </c>
      <c r="P976" s="5">
        <v>1</v>
      </c>
      <c r="Q976" s="5">
        <v>1</v>
      </c>
      <c r="R976" s="5">
        <v>1</v>
      </c>
      <c r="S976" s="5">
        <v>1</v>
      </c>
      <c r="T976" s="5">
        <v>1</v>
      </c>
      <c r="U976" s="5">
        <v>1</v>
      </c>
      <c r="V976" s="5">
        <v>1</v>
      </c>
      <c r="W976" s="5">
        <v>1</v>
      </c>
      <c r="X976" s="5">
        <v>1</v>
      </c>
      <c r="Y976" s="5">
        <v>1</v>
      </c>
      <c r="Z976" s="5">
        <v>1</v>
      </c>
      <c r="AA976" s="5">
        <v>1</v>
      </c>
      <c r="AB976" s="5">
        <v>1</v>
      </c>
      <c r="AC976" s="5">
        <v>1</v>
      </c>
      <c r="AD976" s="5">
        <v>1</v>
      </c>
      <c r="AE976" s="5">
        <v>1</v>
      </c>
      <c r="AF976" s="5">
        <v>1</v>
      </c>
      <c r="AG976" s="5">
        <v>1</v>
      </c>
      <c r="AH976" s="5">
        <v>1</v>
      </c>
      <c r="AI976" s="5">
        <v>1</v>
      </c>
      <c r="AJ976" s="5">
        <v>1</v>
      </c>
      <c r="AK976" s="5">
        <v>1</v>
      </c>
      <c r="AL976" s="5">
        <v>1</v>
      </c>
      <c r="AM976" s="5">
        <v>1</v>
      </c>
    </row>
    <row r="977" spans="1:39" s="7" customFormat="1" x14ac:dyDescent="0.25">
      <c r="A977" s="5">
        <v>416</v>
      </c>
      <c r="B977" s="5">
        <v>1</v>
      </c>
      <c r="C977" s="5">
        <v>1</v>
      </c>
      <c r="D977" s="5">
        <v>1</v>
      </c>
      <c r="E977" s="5">
        <v>1</v>
      </c>
      <c r="F977" s="5">
        <v>1</v>
      </c>
      <c r="G977" s="5">
        <v>1</v>
      </c>
      <c r="H977" s="5">
        <v>1</v>
      </c>
      <c r="I977" s="5">
        <v>1</v>
      </c>
      <c r="J977" s="5">
        <v>1</v>
      </c>
      <c r="K977" s="5">
        <v>1</v>
      </c>
      <c r="L977" s="5">
        <v>1</v>
      </c>
      <c r="M977" s="5">
        <v>1</v>
      </c>
      <c r="N977" s="5">
        <v>1</v>
      </c>
      <c r="O977" s="5">
        <v>1</v>
      </c>
      <c r="P977" s="5">
        <v>1</v>
      </c>
      <c r="Q977" s="5">
        <v>1</v>
      </c>
      <c r="R977" s="5">
        <v>1</v>
      </c>
      <c r="S977" s="5">
        <v>1</v>
      </c>
      <c r="T977" s="5">
        <v>1</v>
      </c>
      <c r="U977" s="5">
        <v>1</v>
      </c>
      <c r="V977" s="5">
        <v>1</v>
      </c>
      <c r="W977" s="5">
        <v>1</v>
      </c>
      <c r="X977" s="5">
        <v>1</v>
      </c>
      <c r="Y977" s="5">
        <v>1</v>
      </c>
      <c r="Z977" s="5">
        <v>1</v>
      </c>
      <c r="AA977" s="5">
        <v>1</v>
      </c>
      <c r="AB977" s="5">
        <v>1</v>
      </c>
      <c r="AC977" s="5">
        <v>1</v>
      </c>
      <c r="AD977" s="5">
        <v>1</v>
      </c>
      <c r="AE977" s="5">
        <v>1</v>
      </c>
      <c r="AF977" s="5">
        <v>1</v>
      </c>
      <c r="AG977" s="5">
        <v>1</v>
      </c>
      <c r="AH977" s="5">
        <v>1</v>
      </c>
      <c r="AI977" s="5">
        <v>1</v>
      </c>
      <c r="AJ977" s="5">
        <v>1</v>
      </c>
      <c r="AK977" s="5">
        <v>1</v>
      </c>
      <c r="AL977" s="5">
        <v>1</v>
      </c>
      <c r="AM977" s="5">
        <v>1</v>
      </c>
    </row>
    <row r="978" spans="1:39" s="7" customFormat="1" x14ac:dyDescent="0.25">
      <c r="A978" s="5">
        <v>417</v>
      </c>
      <c r="B978" s="6"/>
      <c r="C978" s="6"/>
      <c r="D978" s="6"/>
      <c r="E978" s="6"/>
      <c r="F978" s="6"/>
      <c r="G978" s="6"/>
      <c r="H978" s="6"/>
      <c r="I978" s="5">
        <v>1</v>
      </c>
      <c r="J978" s="5">
        <v>1</v>
      </c>
      <c r="K978" s="6"/>
      <c r="L978" s="5">
        <v>1</v>
      </c>
      <c r="M978" s="5">
        <v>1</v>
      </c>
      <c r="N978" s="6"/>
      <c r="O978" s="5">
        <v>1</v>
      </c>
      <c r="P978" s="5">
        <v>1</v>
      </c>
      <c r="Q978" s="6"/>
      <c r="R978" s="6"/>
      <c r="S978" s="6"/>
      <c r="T978" s="6"/>
      <c r="U978" s="6"/>
      <c r="V978" s="5">
        <v>1</v>
      </c>
      <c r="W978" s="6"/>
      <c r="X978" s="5">
        <v>1</v>
      </c>
      <c r="Y978" s="6"/>
      <c r="Z978" s="5">
        <v>1</v>
      </c>
      <c r="AA978" s="6"/>
      <c r="AB978" s="6"/>
      <c r="AC978" s="5">
        <v>1</v>
      </c>
      <c r="AD978" s="6"/>
      <c r="AE978" s="6"/>
      <c r="AF978" s="5">
        <v>1</v>
      </c>
      <c r="AG978" s="6"/>
      <c r="AH978" s="5">
        <v>1</v>
      </c>
      <c r="AI978" s="6"/>
      <c r="AJ978" s="6"/>
      <c r="AK978" s="6"/>
      <c r="AL978" s="6"/>
      <c r="AM978" s="6"/>
    </row>
    <row r="979" spans="1:39" s="7" customFormat="1" x14ac:dyDescent="0.25">
      <c r="A979" s="5">
        <v>417</v>
      </c>
      <c r="B979" s="5">
        <v>1</v>
      </c>
      <c r="C979" s="5">
        <v>1</v>
      </c>
      <c r="D979" s="5">
        <v>1</v>
      </c>
      <c r="E979" s="5">
        <v>1</v>
      </c>
      <c r="F979" s="5">
        <v>1</v>
      </c>
      <c r="G979" s="5">
        <v>1</v>
      </c>
      <c r="H979" s="5">
        <v>1</v>
      </c>
      <c r="I979" s="6"/>
      <c r="J979" s="6"/>
      <c r="K979" s="5">
        <v>1</v>
      </c>
      <c r="L979" s="6"/>
      <c r="M979" s="6"/>
      <c r="N979" s="5">
        <v>1</v>
      </c>
      <c r="O979" s="6"/>
      <c r="P979" s="6"/>
      <c r="Q979" s="5">
        <v>1</v>
      </c>
      <c r="R979" s="5">
        <v>1</v>
      </c>
      <c r="S979" s="5">
        <v>1</v>
      </c>
      <c r="T979" s="5">
        <v>1</v>
      </c>
      <c r="U979" s="5">
        <v>1</v>
      </c>
      <c r="V979" s="6"/>
      <c r="W979" s="5">
        <v>1</v>
      </c>
      <c r="X979" s="6"/>
      <c r="Y979" s="5">
        <v>1</v>
      </c>
      <c r="Z979" s="6"/>
      <c r="AA979" s="5">
        <v>1</v>
      </c>
      <c r="AB979" s="5">
        <v>1</v>
      </c>
      <c r="AC979" s="6"/>
      <c r="AD979" s="5">
        <v>1</v>
      </c>
      <c r="AE979" s="5">
        <v>1</v>
      </c>
      <c r="AF979" s="6"/>
      <c r="AG979" s="5">
        <v>1</v>
      </c>
      <c r="AH979" s="6"/>
      <c r="AI979" s="5">
        <v>1</v>
      </c>
      <c r="AJ979" s="5">
        <v>1</v>
      </c>
      <c r="AK979" s="5">
        <v>1</v>
      </c>
      <c r="AL979" s="5">
        <v>1</v>
      </c>
      <c r="AM979" s="5">
        <v>1</v>
      </c>
    </row>
    <row r="980" spans="1:39" s="7" customFormat="1" x14ac:dyDescent="0.25">
      <c r="A980" s="5">
        <v>418</v>
      </c>
      <c r="B980" s="5">
        <v>1</v>
      </c>
      <c r="C980" s="5">
        <v>1</v>
      </c>
      <c r="D980" s="5">
        <v>1</v>
      </c>
      <c r="E980" s="5">
        <v>1</v>
      </c>
      <c r="F980" s="5">
        <v>1</v>
      </c>
      <c r="G980" s="5">
        <v>1</v>
      </c>
      <c r="H980" s="5">
        <v>1</v>
      </c>
      <c r="I980" s="5">
        <v>1</v>
      </c>
      <c r="J980" s="5">
        <v>1</v>
      </c>
      <c r="K980" s="5">
        <v>1</v>
      </c>
      <c r="L980" s="5">
        <v>1</v>
      </c>
      <c r="M980" s="5">
        <v>1</v>
      </c>
      <c r="N980" s="5">
        <v>1</v>
      </c>
      <c r="O980" s="5">
        <v>1</v>
      </c>
      <c r="P980" s="5">
        <v>1</v>
      </c>
      <c r="Q980" s="5">
        <v>1</v>
      </c>
      <c r="R980" s="5">
        <v>1</v>
      </c>
      <c r="S980" s="5">
        <v>1</v>
      </c>
      <c r="T980" s="5">
        <v>1</v>
      </c>
      <c r="U980" s="5">
        <v>1</v>
      </c>
      <c r="V980" s="5">
        <v>1</v>
      </c>
      <c r="W980" s="5">
        <v>1</v>
      </c>
      <c r="X980" s="5">
        <v>1</v>
      </c>
      <c r="Y980" s="5">
        <v>1</v>
      </c>
      <c r="Z980" s="5">
        <v>1</v>
      </c>
      <c r="AA980" s="5">
        <v>1</v>
      </c>
      <c r="AB980" s="5">
        <v>1</v>
      </c>
      <c r="AC980" s="5">
        <v>1</v>
      </c>
      <c r="AD980" s="5">
        <v>1</v>
      </c>
      <c r="AE980" s="5">
        <v>1</v>
      </c>
      <c r="AF980" s="5">
        <v>1</v>
      </c>
      <c r="AG980" s="5">
        <v>1</v>
      </c>
      <c r="AH980" s="5">
        <v>1</v>
      </c>
      <c r="AI980" s="5">
        <v>1</v>
      </c>
      <c r="AJ980" s="5">
        <v>1</v>
      </c>
      <c r="AK980" s="5">
        <v>1</v>
      </c>
      <c r="AL980" s="5">
        <v>1</v>
      </c>
      <c r="AM980" s="5">
        <v>1</v>
      </c>
    </row>
    <row r="981" spans="1:39" s="7" customFormat="1" x14ac:dyDescent="0.25">
      <c r="A981" s="5">
        <v>419</v>
      </c>
      <c r="B981" s="5">
        <v>1</v>
      </c>
      <c r="C981" s="5">
        <v>1</v>
      </c>
      <c r="D981" s="5">
        <v>1</v>
      </c>
      <c r="E981" s="5">
        <v>1</v>
      </c>
      <c r="F981" s="5">
        <v>1</v>
      </c>
      <c r="G981" s="5">
        <v>1</v>
      </c>
      <c r="H981" s="5">
        <v>1</v>
      </c>
      <c r="I981" s="5">
        <v>1</v>
      </c>
      <c r="J981" s="5">
        <v>1</v>
      </c>
      <c r="K981" s="5">
        <v>1</v>
      </c>
      <c r="L981" s="5">
        <v>1</v>
      </c>
      <c r="M981" s="5">
        <v>1</v>
      </c>
      <c r="N981" s="5">
        <v>1</v>
      </c>
      <c r="O981" s="5">
        <v>1</v>
      </c>
      <c r="P981" s="5">
        <v>1</v>
      </c>
      <c r="Q981" s="5">
        <v>1</v>
      </c>
      <c r="R981" s="5">
        <v>1</v>
      </c>
      <c r="S981" s="5">
        <v>1</v>
      </c>
      <c r="T981" s="5">
        <v>1</v>
      </c>
      <c r="U981" s="5">
        <v>1</v>
      </c>
      <c r="V981" s="5">
        <v>1</v>
      </c>
      <c r="W981" s="5">
        <v>1</v>
      </c>
      <c r="X981" s="5">
        <v>1</v>
      </c>
      <c r="Y981" s="5">
        <v>1</v>
      </c>
      <c r="Z981" s="5">
        <v>1</v>
      </c>
      <c r="AA981" s="5">
        <v>1</v>
      </c>
      <c r="AB981" s="5">
        <v>1</v>
      </c>
      <c r="AC981" s="5">
        <v>1</v>
      </c>
      <c r="AD981" s="5">
        <v>1</v>
      </c>
      <c r="AE981" s="5">
        <v>1</v>
      </c>
      <c r="AF981" s="5">
        <v>1</v>
      </c>
      <c r="AG981" s="5">
        <v>1</v>
      </c>
      <c r="AH981" s="5">
        <v>1</v>
      </c>
      <c r="AI981" s="5">
        <v>1</v>
      </c>
      <c r="AJ981" s="5">
        <v>1</v>
      </c>
      <c r="AK981" s="5">
        <v>1</v>
      </c>
      <c r="AL981" s="5">
        <v>1</v>
      </c>
      <c r="AM981" s="5">
        <v>1</v>
      </c>
    </row>
    <row r="982" spans="1:39" s="7" customFormat="1" x14ac:dyDescent="0.25">
      <c r="A982" s="5">
        <v>420</v>
      </c>
      <c r="B982" s="5">
        <v>1</v>
      </c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5">
        <v>1</v>
      </c>
      <c r="AG982" s="6"/>
      <c r="AH982" s="6"/>
      <c r="AI982" s="6"/>
      <c r="AJ982" s="6"/>
      <c r="AK982" s="6"/>
      <c r="AL982" s="6"/>
      <c r="AM982" s="6"/>
    </row>
    <row r="983" spans="1:39" s="7" customFormat="1" x14ac:dyDescent="0.25">
      <c r="A983" s="5">
        <v>420</v>
      </c>
      <c r="B983" s="6"/>
      <c r="C983" s="6"/>
      <c r="D983" s="6"/>
      <c r="E983" s="6"/>
      <c r="F983" s="5">
        <v>1</v>
      </c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</row>
    <row r="984" spans="1:39" s="7" customFormat="1" x14ac:dyDescent="0.25">
      <c r="A984" s="5">
        <v>420</v>
      </c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5">
        <v>1</v>
      </c>
      <c r="O984" s="6"/>
      <c r="P984" s="5">
        <v>1</v>
      </c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5">
        <v>1</v>
      </c>
      <c r="AB984" s="6"/>
      <c r="AC984" s="6"/>
      <c r="AD984" s="6"/>
      <c r="AE984" s="6"/>
      <c r="AF984" s="6"/>
      <c r="AG984" s="5">
        <v>1</v>
      </c>
      <c r="AH984" s="5">
        <v>1</v>
      </c>
      <c r="AI984" s="6"/>
      <c r="AJ984" s="6"/>
      <c r="AK984" s="6"/>
      <c r="AL984" s="6"/>
      <c r="AM984" s="6"/>
    </row>
    <row r="985" spans="1:39" s="7" customFormat="1" x14ac:dyDescent="0.25">
      <c r="A985" s="5">
        <v>420</v>
      </c>
      <c r="B985" s="6"/>
      <c r="C985" s="6"/>
      <c r="D985" s="6"/>
      <c r="E985" s="6"/>
      <c r="F985" s="6"/>
      <c r="G985" s="6"/>
      <c r="H985" s="5">
        <v>1</v>
      </c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5">
        <v>1</v>
      </c>
      <c r="AF985" s="6"/>
      <c r="AG985" s="6"/>
      <c r="AH985" s="6"/>
      <c r="AI985" s="6"/>
      <c r="AJ985" s="6"/>
      <c r="AK985" s="6"/>
      <c r="AL985" s="6"/>
      <c r="AM985" s="6"/>
    </row>
    <row r="986" spans="1:39" s="7" customFormat="1" x14ac:dyDescent="0.25">
      <c r="A986" s="5">
        <v>420</v>
      </c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5">
        <v>1</v>
      </c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5">
        <v>1</v>
      </c>
      <c r="AK986" s="6"/>
      <c r="AL986" s="6"/>
      <c r="AM986" s="6"/>
    </row>
    <row r="987" spans="1:39" s="7" customFormat="1" x14ac:dyDescent="0.25">
      <c r="A987" s="5">
        <v>420</v>
      </c>
      <c r="B987" s="6"/>
      <c r="C987" s="6"/>
      <c r="D987" s="5">
        <v>1</v>
      </c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5">
        <v>1</v>
      </c>
      <c r="AM987" s="6"/>
    </row>
    <row r="988" spans="1:39" s="7" customFormat="1" x14ac:dyDescent="0.25">
      <c r="A988" s="5">
        <v>420</v>
      </c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5">
        <v>1</v>
      </c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5">
        <v>1</v>
      </c>
      <c r="Z988" s="6"/>
      <c r="AA988" s="6"/>
      <c r="AB988" s="6"/>
      <c r="AC988" s="6"/>
      <c r="AD988" s="5">
        <v>1</v>
      </c>
      <c r="AE988" s="6"/>
      <c r="AF988" s="6"/>
      <c r="AG988" s="6"/>
      <c r="AH988" s="6"/>
      <c r="AI988" s="6"/>
      <c r="AJ988" s="6"/>
      <c r="AK988" s="6"/>
      <c r="AL988" s="6"/>
      <c r="AM988" s="6"/>
    </row>
    <row r="989" spans="1:39" s="7" customFormat="1" x14ac:dyDescent="0.25">
      <c r="A989" s="5">
        <v>420</v>
      </c>
      <c r="B989" s="6"/>
      <c r="C989" s="6"/>
      <c r="D989" s="6"/>
      <c r="E989" s="6"/>
      <c r="F989" s="6"/>
      <c r="G989" s="6"/>
      <c r="H989" s="6"/>
      <c r="I989" s="6"/>
      <c r="J989" s="6"/>
      <c r="K989" s="5">
        <v>1</v>
      </c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</row>
    <row r="990" spans="1:39" s="7" customFormat="1" x14ac:dyDescent="0.25">
      <c r="A990" s="5">
        <v>420</v>
      </c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5">
        <v>1</v>
      </c>
      <c r="M990" s="6"/>
      <c r="N990" s="6"/>
      <c r="O990" s="6"/>
      <c r="P990" s="6"/>
      <c r="Q990" s="6"/>
      <c r="R990" s="6"/>
      <c r="S990" s="6"/>
      <c r="T990" s="6"/>
      <c r="U990" s="5">
        <v>1</v>
      </c>
      <c r="V990" s="6"/>
      <c r="W990" s="6"/>
      <c r="X990" s="5">
        <v>1</v>
      </c>
      <c r="Y990" s="6"/>
      <c r="Z990" s="6"/>
      <c r="AA990" s="6"/>
      <c r="AB990" s="6"/>
      <c r="AC990" s="5">
        <v>1</v>
      </c>
      <c r="AD990" s="6"/>
      <c r="AE990" s="6"/>
      <c r="AF990" s="6"/>
      <c r="AG990" s="6"/>
      <c r="AH990" s="6"/>
      <c r="AI990" s="5">
        <v>1</v>
      </c>
      <c r="AJ990" s="6"/>
      <c r="AK990" s="6"/>
      <c r="AL990" s="6"/>
      <c r="AM990" s="6"/>
    </row>
    <row r="991" spans="1:39" s="7" customFormat="1" x14ac:dyDescent="0.25">
      <c r="A991" s="5">
        <v>420</v>
      </c>
      <c r="B991" s="6"/>
      <c r="C991" s="6"/>
      <c r="D991" s="6"/>
      <c r="E991" s="5">
        <v>1</v>
      </c>
      <c r="F991" s="6"/>
      <c r="G991" s="6"/>
      <c r="H991" s="6"/>
      <c r="I991" s="5">
        <v>1</v>
      </c>
      <c r="J991" s="6"/>
      <c r="K991" s="6"/>
      <c r="L991" s="6"/>
      <c r="M991" s="6"/>
      <c r="N991" s="6"/>
      <c r="O991" s="6"/>
      <c r="P991" s="6"/>
      <c r="Q991" s="5">
        <v>1</v>
      </c>
      <c r="R991" s="6"/>
      <c r="S991" s="6"/>
      <c r="T991" s="5">
        <v>1</v>
      </c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5">
        <v>1</v>
      </c>
      <c r="AL991" s="6"/>
      <c r="AM991" s="6"/>
    </row>
    <row r="992" spans="1:39" s="7" customFormat="1" x14ac:dyDescent="0.25">
      <c r="A992" s="5">
        <v>420</v>
      </c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5">
        <v>1</v>
      </c>
      <c r="W992" s="5">
        <v>1</v>
      </c>
      <c r="X992" s="6"/>
      <c r="Y992" s="6"/>
      <c r="Z992" s="5">
        <v>1</v>
      </c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</row>
    <row r="993" spans="1:39" s="7" customFormat="1" x14ac:dyDescent="0.25">
      <c r="A993" s="5">
        <v>420</v>
      </c>
      <c r="B993" s="6"/>
      <c r="C993" s="5">
        <v>1</v>
      </c>
      <c r="D993" s="6"/>
      <c r="E993" s="6"/>
      <c r="F993" s="6"/>
      <c r="G993" s="5">
        <v>1</v>
      </c>
      <c r="H993" s="6"/>
      <c r="I993" s="6"/>
      <c r="J993" s="5">
        <v>1</v>
      </c>
      <c r="K993" s="6"/>
      <c r="L993" s="6"/>
      <c r="M993" s="6"/>
      <c r="N993" s="6"/>
      <c r="O993" s="5">
        <v>1</v>
      </c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5">
        <v>1</v>
      </c>
    </row>
    <row r="994" spans="1:39" s="7" customFormat="1" x14ac:dyDescent="0.25">
      <c r="A994" s="5">
        <v>420</v>
      </c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5">
        <v>1</v>
      </c>
      <c r="S994" s="6"/>
      <c r="T994" s="6"/>
      <c r="U994" s="6"/>
      <c r="V994" s="6"/>
      <c r="W994" s="6"/>
      <c r="X994" s="6"/>
      <c r="Y994" s="6"/>
      <c r="Z994" s="6"/>
      <c r="AA994" s="6"/>
      <c r="AB994" s="5">
        <v>1</v>
      </c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</row>
    <row r="995" spans="1:39" s="7" customFormat="1" x14ac:dyDescent="0.25">
      <c r="A995" s="5">
        <v>421</v>
      </c>
      <c r="B995" s="5">
        <v>1</v>
      </c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5">
        <v>1</v>
      </c>
      <c r="AG995" s="6"/>
      <c r="AH995" s="6"/>
      <c r="AI995" s="6"/>
      <c r="AJ995" s="6"/>
      <c r="AK995" s="6"/>
      <c r="AL995" s="6"/>
      <c r="AM995" s="6"/>
    </row>
    <row r="996" spans="1:39" s="7" customFormat="1" x14ac:dyDescent="0.25">
      <c r="A996" s="5">
        <v>421</v>
      </c>
      <c r="B996" s="6"/>
      <c r="C996" s="6"/>
      <c r="D996" s="6"/>
      <c r="E996" s="6"/>
      <c r="F996" s="5">
        <v>1</v>
      </c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</row>
    <row r="997" spans="1:39" s="7" customFormat="1" x14ac:dyDescent="0.25">
      <c r="A997" s="5">
        <v>421</v>
      </c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5">
        <v>1</v>
      </c>
      <c r="O997" s="6"/>
      <c r="P997" s="5">
        <v>1</v>
      </c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5">
        <v>1</v>
      </c>
      <c r="AB997" s="6"/>
      <c r="AC997" s="6"/>
      <c r="AD997" s="6"/>
      <c r="AE997" s="6"/>
      <c r="AF997" s="6"/>
      <c r="AG997" s="5">
        <v>1</v>
      </c>
      <c r="AH997" s="5">
        <v>1</v>
      </c>
      <c r="AI997" s="6"/>
      <c r="AJ997" s="6"/>
      <c r="AK997" s="6"/>
      <c r="AL997" s="6"/>
      <c r="AM997" s="6"/>
    </row>
    <row r="998" spans="1:39" s="7" customFormat="1" x14ac:dyDescent="0.25">
      <c r="A998" s="5">
        <v>421</v>
      </c>
      <c r="B998" s="6"/>
      <c r="C998" s="6"/>
      <c r="D998" s="6"/>
      <c r="E998" s="6"/>
      <c r="F998" s="6"/>
      <c r="G998" s="6"/>
      <c r="H998" s="5">
        <v>1</v>
      </c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5">
        <v>1</v>
      </c>
      <c r="AF998" s="6"/>
      <c r="AG998" s="6"/>
      <c r="AH998" s="6"/>
      <c r="AI998" s="6"/>
      <c r="AJ998" s="6"/>
      <c r="AK998" s="6"/>
      <c r="AL998" s="6"/>
      <c r="AM998" s="6"/>
    </row>
    <row r="999" spans="1:39" s="7" customFormat="1" x14ac:dyDescent="0.25">
      <c r="A999" s="5">
        <v>421</v>
      </c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5">
        <v>1</v>
      </c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5">
        <v>1</v>
      </c>
      <c r="AK999" s="6"/>
      <c r="AL999" s="6"/>
      <c r="AM999" s="6"/>
    </row>
    <row r="1000" spans="1:39" s="7" customFormat="1" x14ac:dyDescent="0.25">
      <c r="A1000" s="5">
        <v>421</v>
      </c>
      <c r="B1000" s="6"/>
      <c r="C1000" s="6"/>
      <c r="D1000" s="5">
        <v>1</v>
      </c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5">
        <v>1</v>
      </c>
      <c r="AM1000" s="6"/>
    </row>
    <row r="1001" spans="1:39" s="7" customFormat="1" x14ac:dyDescent="0.25">
      <c r="A1001" s="5">
        <v>421</v>
      </c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5">
        <v>1</v>
      </c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5">
        <v>1</v>
      </c>
      <c r="Z1001" s="6"/>
      <c r="AA1001" s="6"/>
      <c r="AB1001" s="6"/>
      <c r="AC1001" s="6"/>
      <c r="AD1001" s="5">
        <v>1</v>
      </c>
      <c r="AE1001" s="6"/>
      <c r="AF1001" s="6"/>
      <c r="AG1001" s="6"/>
      <c r="AH1001" s="6"/>
      <c r="AI1001" s="6"/>
      <c r="AJ1001" s="6"/>
      <c r="AK1001" s="6"/>
      <c r="AL1001" s="6"/>
      <c r="AM1001" s="6"/>
    </row>
    <row r="1002" spans="1:39" s="7" customFormat="1" x14ac:dyDescent="0.25">
      <c r="A1002" s="5">
        <v>421</v>
      </c>
      <c r="B1002" s="6"/>
      <c r="C1002" s="6"/>
      <c r="D1002" s="6"/>
      <c r="E1002" s="6"/>
      <c r="F1002" s="6"/>
      <c r="G1002" s="6"/>
      <c r="H1002" s="6"/>
      <c r="I1002" s="6"/>
      <c r="J1002" s="6"/>
      <c r="K1002" s="5">
        <v>1</v>
      </c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</row>
    <row r="1003" spans="1:39" s="7" customFormat="1" x14ac:dyDescent="0.25">
      <c r="A1003" s="5">
        <v>421</v>
      </c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5">
        <v>1</v>
      </c>
      <c r="M1003" s="6"/>
      <c r="N1003" s="6"/>
      <c r="O1003" s="6"/>
      <c r="P1003" s="6"/>
      <c r="Q1003" s="6"/>
      <c r="R1003" s="6"/>
      <c r="S1003" s="6"/>
      <c r="T1003" s="6"/>
      <c r="U1003" s="5">
        <v>1</v>
      </c>
      <c r="V1003" s="6"/>
      <c r="W1003" s="6"/>
      <c r="X1003" s="5">
        <v>1</v>
      </c>
      <c r="Y1003" s="6"/>
      <c r="Z1003" s="6"/>
      <c r="AA1003" s="6"/>
      <c r="AB1003" s="6"/>
      <c r="AC1003" s="5">
        <v>1</v>
      </c>
      <c r="AD1003" s="6"/>
      <c r="AE1003" s="6"/>
      <c r="AF1003" s="6"/>
      <c r="AG1003" s="6"/>
      <c r="AH1003" s="6"/>
      <c r="AI1003" s="5">
        <v>1</v>
      </c>
      <c r="AJ1003" s="6"/>
      <c r="AK1003" s="6"/>
      <c r="AL1003" s="6"/>
      <c r="AM1003" s="6"/>
    </row>
    <row r="1004" spans="1:39" s="7" customFormat="1" x14ac:dyDescent="0.25">
      <c r="A1004" s="5">
        <v>421</v>
      </c>
      <c r="B1004" s="6"/>
      <c r="C1004" s="6"/>
      <c r="D1004" s="6"/>
      <c r="E1004" s="5">
        <v>1</v>
      </c>
      <c r="F1004" s="6"/>
      <c r="G1004" s="6"/>
      <c r="H1004" s="6"/>
      <c r="I1004" s="5">
        <v>1</v>
      </c>
      <c r="J1004" s="6"/>
      <c r="K1004" s="6"/>
      <c r="L1004" s="6"/>
      <c r="M1004" s="6"/>
      <c r="N1004" s="6"/>
      <c r="O1004" s="6"/>
      <c r="P1004" s="6"/>
      <c r="Q1004" s="5">
        <v>1</v>
      </c>
      <c r="R1004" s="6"/>
      <c r="S1004" s="6"/>
      <c r="T1004" s="5">
        <v>1</v>
      </c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5">
        <v>1</v>
      </c>
      <c r="AL1004" s="6"/>
      <c r="AM1004" s="6"/>
    </row>
    <row r="1005" spans="1:39" s="7" customFormat="1" x14ac:dyDescent="0.25">
      <c r="A1005" s="5">
        <v>421</v>
      </c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5">
        <v>1</v>
      </c>
      <c r="W1005" s="5">
        <v>1</v>
      </c>
      <c r="X1005" s="6"/>
      <c r="Y1005" s="6"/>
      <c r="Z1005" s="5">
        <v>1</v>
      </c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</row>
    <row r="1006" spans="1:39" s="7" customFormat="1" x14ac:dyDescent="0.25">
      <c r="A1006" s="5">
        <v>421</v>
      </c>
      <c r="B1006" s="6"/>
      <c r="C1006" s="5">
        <v>1</v>
      </c>
      <c r="D1006" s="6"/>
      <c r="E1006" s="6"/>
      <c r="F1006" s="6"/>
      <c r="G1006" s="5">
        <v>1</v>
      </c>
      <c r="H1006" s="6"/>
      <c r="I1006" s="6"/>
      <c r="J1006" s="5">
        <v>1</v>
      </c>
      <c r="K1006" s="6"/>
      <c r="L1006" s="6"/>
      <c r="M1006" s="6"/>
      <c r="N1006" s="6"/>
      <c r="O1006" s="5">
        <v>1</v>
      </c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5">
        <v>1</v>
      </c>
    </row>
    <row r="1007" spans="1:39" s="7" customFormat="1" x14ac:dyDescent="0.25">
      <c r="A1007" s="5">
        <v>421</v>
      </c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5">
        <v>1</v>
      </c>
      <c r="S1007" s="6"/>
      <c r="T1007" s="6"/>
      <c r="U1007" s="6"/>
      <c r="V1007" s="6"/>
      <c r="W1007" s="6"/>
      <c r="X1007" s="6"/>
      <c r="Y1007" s="6"/>
      <c r="Z1007" s="6"/>
      <c r="AA1007" s="6"/>
      <c r="AB1007" s="5">
        <v>1</v>
      </c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</row>
    <row r="1008" spans="1:39" s="7" customFormat="1" x14ac:dyDescent="0.25">
      <c r="A1008" s="5">
        <v>422</v>
      </c>
      <c r="B1008" s="5">
        <v>1</v>
      </c>
      <c r="C1008" s="5">
        <v>1</v>
      </c>
      <c r="D1008" s="5">
        <v>1</v>
      </c>
      <c r="E1008" s="5">
        <v>1</v>
      </c>
      <c r="F1008" s="5">
        <v>1</v>
      </c>
      <c r="G1008" s="5">
        <v>1</v>
      </c>
      <c r="H1008" s="5">
        <v>1</v>
      </c>
      <c r="I1008" s="5">
        <v>1</v>
      </c>
      <c r="J1008" s="5">
        <v>1</v>
      </c>
      <c r="K1008" s="5">
        <v>1</v>
      </c>
      <c r="L1008" s="5">
        <v>1</v>
      </c>
      <c r="M1008" s="5">
        <v>1</v>
      </c>
      <c r="N1008" s="6"/>
      <c r="O1008" s="5">
        <v>1</v>
      </c>
      <c r="P1008" s="6"/>
      <c r="Q1008" s="5">
        <v>1</v>
      </c>
      <c r="R1008" s="5">
        <v>1</v>
      </c>
      <c r="S1008" s="5">
        <v>1</v>
      </c>
      <c r="T1008" s="5">
        <v>1</v>
      </c>
      <c r="U1008" s="5">
        <v>1</v>
      </c>
      <c r="V1008" s="5">
        <v>1</v>
      </c>
      <c r="W1008" s="5">
        <v>1</v>
      </c>
      <c r="X1008" s="5">
        <v>1</v>
      </c>
      <c r="Y1008" s="5">
        <v>1</v>
      </c>
      <c r="Z1008" s="5">
        <v>1</v>
      </c>
      <c r="AA1008" s="5">
        <v>1</v>
      </c>
      <c r="AB1008" s="5">
        <v>1</v>
      </c>
      <c r="AC1008" s="5">
        <v>1</v>
      </c>
      <c r="AD1008" s="5">
        <v>1</v>
      </c>
      <c r="AE1008" s="6"/>
      <c r="AF1008" s="5">
        <v>1</v>
      </c>
      <c r="AG1008" s="5">
        <v>1</v>
      </c>
      <c r="AH1008" s="5">
        <v>1</v>
      </c>
      <c r="AI1008" s="5">
        <v>1</v>
      </c>
      <c r="AJ1008" s="6"/>
      <c r="AK1008" s="5">
        <v>1</v>
      </c>
      <c r="AL1008" s="5">
        <v>1</v>
      </c>
      <c r="AM1008" s="5">
        <v>1</v>
      </c>
    </row>
    <row r="1009" spans="1:39" s="7" customFormat="1" x14ac:dyDescent="0.25">
      <c r="A1009" s="5">
        <v>422</v>
      </c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5">
        <v>1</v>
      </c>
      <c r="O1009" s="6"/>
      <c r="P1009" s="5">
        <v>1</v>
      </c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5">
        <v>1</v>
      </c>
      <c r="AF1009" s="6"/>
      <c r="AG1009" s="6"/>
      <c r="AH1009" s="6"/>
      <c r="AI1009" s="6"/>
      <c r="AJ1009" s="5">
        <v>1</v>
      </c>
      <c r="AK1009" s="6"/>
      <c r="AL1009" s="6"/>
      <c r="AM1009" s="6"/>
    </row>
    <row r="1010" spans="1:39" s="7" customFormat="1" x14ac:dyDescent="0.25">
      <c r="A1010" s="5">
        <v>423</v>
      </c>
      <c r="B1010" s="6"/>
      <c r="C1010" s="6"/>
      <c r="D1010" s="6"/>
      <c r="E1010" s="6"/>
      <c r="F1010" s="6"/>
      <c r="G1010" s="6"/>
      <c r="H1010" s="6"/>
      <c r="I1010" s="5">
        <v>1</v>
      </c>
      <c r="J1010" s="5">
        <v>1</v>
      </c>
      <c r="K1010" s="6"/>
      <c r="L1010" s="5">
        <v>1</v>
      </c>
      <c r="M1010" s="5">
        <v>1</v>
      </c>
      <c r="N1010" s="6"/>
      <c r="O1010" s="5">
        <v>1</v>
      </c>
      <c r="P1010" s="5">
        <v>1</v>
      </c>
      <c r="Q1010" s="6"/>
      <c r="R1010" s="6"/>
      <c r="S1010" s="6"/>
      <c r="T1010" s="6"/>
      <c r="U1010" s="6"/>
      <c r="V1010" s="5">
        <v>1</v>
      </c>
      <c r="W1010" s="6"/>
      <c r="X1010" s="5">
        <v>1</v>
      </c>
      <c r="Y1010" s="6"/>
      <c r="Z1010" s="5">
        <v>1</v>
      </c>
      <c r="AA1010" s="6"/>
      <c r="AB1010" s="6"/>
      <c r="AC1010" s="5">
        <v>1</v>
      </c>
      <c r="AD1010" s="6"/>
      <c r="AE1010" s="6"/>
      <c r="AF1010" s="5">
        <v>1</v>
      </c>
      <c r="AG1010" s="6"/>
      <c r="AH1010" s="5">
        <v>1</v>
      </c>
      <c r="AI1010" s="6"/>
      <c r="AJ1010" s="6"/>
      <c r="AK1010" s="6"/>
      <c r="AL1010" s="6"/>
      <c r="AM1010" s="6"/>
    </row>
    <row r="1011" spans="1:39" s="7" customFormat="1" x14ac:dyDescent="0.25">
      <c r="A1011" s="5">
        <v>423</v>
      </c>
      <c r="B1011" s="5">
        <v>1</v>
      </c>
      <c r="C1011" s="5">
        <v>1</v>
      </c>
      <c r="D1011" s="5">
        <v>1</v>
      </c>
      <c r="E1011" s="5">
        <v>1</v>
      </c>
      <c r="F1011" s="5">
        <v>1</v>
      </c>
      <c r="G1011" s="5">
        <v>1</v>
      </c>
      <c r="H1011" s="5">
        <v>1</v>
      </c>
      <c r="I1011" s="6"/>
      <c r="J1011" s="6"/>
      <c r="K1011" s="5">
        <v>1</v>
      </c>
      <c r="L1011" s="6"/>
      <c r="M1011" s="6"/>
      <c r="N1011" s="5">
        <v>1</v>
      </c>
      <c r="O1011" s="6"/>
      <c r="P1011" s="6"/>
      <c r="Q1011" s="5">
        <v>1</v>
      </c>
      <c r="R1011" s="5">
        <v>1</v>
      </c>
      <c r="S1011" s="5">
        <v>1</v>
      </c>
      <c r="T1011" s="5">
        <v>1</v>
      </c>
      <c r="U1011" s="5">
        <v>1</v>
      </c>
      <c r="V1011" s="6"/>
      <c r="W1011" s="5">
        <v>1</v>
      </c>
      <c r="X1011" s="6"/>
      <c r="Y1011" s="5">
        <v>1</v>
      </c>
      <c r="Z1011" s="6"/>
      <c r="AA1011" s="5">
        <v>1</v>
      </c>
      <c r="AB1011" s="5">
        <v>1</v>
      </c>
      <c r="AC1011" s="6"/>
      <c r="AD1011" s="5">
        <v>1</v>
      </c>
      <c r="AE1011" s="5">
        <v>1</v>
      </c>
      <c r="AF1011" s="6"/>
      <c r="AG1011" s="5">
        <v>1</v>
      </c>
      <c r="AH1011" s="6"/>
      <c r="AI1011" s="5">
        <v>1</v>
      </c>
      <c r="AJ1011" s="5">
        <v>1</v>
      </c>
      <c r="AK1011" s="5">
        <v>1</v>
      </c>
      <c r="AL1011" s="5">
        <v>1</v>
      </c>
      <c r="AM1011" s="5">
        <v>1</v>
      </c>
    </row>
    <row r="1012" spans="1:39" s="7" customFormat="1" x14ac:dyDescent="0.25">
      <c r="A1012" s="5">
        <v>424</v>
      </c>
      <c r="B1012" s="5">
        <v>1</v>
      </c>
      <c r="C1012" s="5">
        <v>1</v>
      </c>
      <c r="D1012" s="5">
        <v>1</v>
      </c>
      <c r="E1012" s="5">
        <v>1</v>
      </c>
      <c r="F1012" s="5">
        <v>1</v>
      </c>
      <c r="G1012" s="5">
        <v>1</v>
      </c>
      <c r="H1012" s="5">
        <v>1</v>
      </c>
      <c r="I1012" s="5">
        <v>1</v>
      </c>
      <c r="J1012" s="5">
        <v>1</v>
      </c>
      <c r="K1012" s="5">
        <v>1</v>
      </c>
      <c r="L1012" s="5">
        <v>1</v>
      </c>
      <c r="M1012" s="5">
        <v>1</v>
      </c>
      <c r="N1012" s="5">
        <v>1</v>
      </c>
      <c r="O1012" s="5">
        <v>1</v>
      </c>
      <c r="P1012" s="5">
        <v>1</v>
      </c>
      <c r="Q1012" s="5">
        <v>1</v>
      </c>
      <c r="R1012" s="5">
        <v>1</v>
      </c>
      <c r="S1012" s="5">
        <v>1</v>
      </c>
      <c r="T1012" s="5">
        <v>1</v>
      </c>
      <c r="U1012" s="5">
        <v>1</v>
      </c>
      <c r="V1012" s="5">
        <v>1</v>
      </c>
      <c r="W1012" s="5">
        <v>1</v>
      </c>
      <c r="X1012" s="5">
        <v>1</v>
      </c>
      <c r="Y1012" s="5">
        <v>1</v>
      </c>
      <c r="Z1012" s="5">
        <v>1</v>
      </c>
      <c r="AA1012" s="5">
        <v>1</v>
      </c>
      <c r="AB1012" s="5">
        <v>1</v>
      </c>
      <c r="AC1012" s="5">
        <v>1</v>
      </c>
      <c r="AD1012" s="5">
        <v>1</v>
      </c>
      <c r="AE1012" s="5">
        <v>1</v>
      </c>
      <c r="AF1012" s="5">
        <v>1</v>
      </c>
      <c r="AG1012" s="5">
        <v>1</v>
      </c>
      <c r="AH1012" s="5">
        <v>1</v>
      </c>
      <c r="AI1012" s="5">
        <v>1</v>
      </c>
      <c r="AJ1012" s="5">
        <v>1</v>
      </c>
      <c r="AK1012" s="5">
        <v>1</v>
      </c>
      <c r="AL1012" s="5">
        <v>1</v>
      </c>
      <c r="AM1012" s="5">
        <v>1</v>
      </c>
    </row>
    <row r="1013" spans="1:39" s="7" customFormat="1" x14ac:dyDescent="0.25">
      <c r="A1013" s="5">
        <v>425</v>
      </c>
      <c r="B1013" s="5">
        <v>1</v>
      </c>
      <c r="C1013" s="6"/>
      <c r="D1013" s="6"/>
      <c r="E1013" s="6"/>
      <c r="F1013" s="5">
        <v>1</v>
      </c>
      <c r="G1013" s="6"/>
      <c r="H1013" s="5">
        <v>1</v>
      </c>
      <c r="I1013" s="6"/>
      <c r="J1013" s="6"/>
      <c r="K1013" s="6"/>
      <c r="L1013" s="6"/>
      <c r="M1013" s="6"/>
      <c r="N1013" s="5">
        <v>1</v>
      </c>
      <c r="O1013" s="6"/>
      <c r="P1013" s="5">
        <v>1</v>
      </c>
      <c r="Q1013" s="6"/>
      <c r="R1013" s="6"/>
      <c r="S1013" s="5">
        <v>1</v>
      </c>
      <c r="T1013" s="6"/>
      <c r="U1013" s="6"/>
      <c r="V1013" s="6"/>
      <c r="W1013" s="6"/>
      <c r="X1013" s="6"/>
      <c r="Y1013" s="6"/>
      <c r="Z1013" s="6"/>
      <c r="AA1013" s="5">
        <v>1</v>
      </c>
      <c r="AB1013" s="6"/>
      <c r="AC1013" s="6"/>
      <c r="AD1013" s="6"/>
      <c r="AE1013" s="5">
        <v>1</v>
      </c>
      <c r="AF1013" s="5">
        <v>1</v>
      </c>
      <c r="AG1013" s="5">
        <v>1</v>
      </c>
      <c r="AH1013" s="5">
        <v>1</v>
      </c>
      <c r="AI1013" s="6"/>
      <c r="AJ1013" s="5">
        <v>1</v>
      </c>
      <c r="AK1013" s="6"/>
      <c r="AL1013" s="6"/>
      <c r="AM1013" s="6"/>
    </row>
    <row r="1014" spans="1:39" s="7" customFormat="1" x14ac:dyDescent="0.25">
      <c r="A1014" s="5">
        <v>425</v>
      </c>
      <c r="B1014" s="6"/>
      <c r="C1014" s="5">
        <v>1</v>
      </c>
      <c r="D1014" s="5">
        <v>1</v>
      </c>
      <c r="E1014" s="5">
        <v>1</v>
      </c>
      <c r="F1014" s="6"/>
      <c r="G1014" s="5">
        <v>1</v>
      </c>
      <c r="H1014" s="6"/>
      <c r="I1014" s="5">
        <v>1</v>
      </c>
      <c r="J1014" s="5">
        <v>1</v>
      </c>
      <c r="K1014" s="5">
        <v>1</v>
      </c>
      <c r="L1014" s="5">
        <v>1</v>
      </c>
      <c r="M1014" s="5">
        <v>1</v>
      </c>
      <c r="N1014" s="6"/>
      <c r="O1014" s="5">
        <v>1</v>
      </c>
      <c r="P1014" s="6"/>
      <c r="Q1014" s="5">
        <v>1</v>
      </c>
      <c r="R1014" s="5">
        <v>1</v>
      </c>
      <c r="S1014" s="6"/>
      <c r="T1014" s="5">
        <v>1</v>
      </c>
      <c r="U1014" s="5">
        <v>1</v>
      </c>
      <c r="V1014" s="5">
        <v>1</v>
      </c>
      <c r="W1014" s="5">
        <v>1</v>
      </c>
      <c r="X1014" s="5">
        <v>1</v>
      </c>
      <c r="Y1014" s="5">
        <v>1</v>
      </c>
      <c r="Z1014" s="5">
        <v>1</v>
      </c>
      <c r="AA1014" s="6"/>
      <c r="AB1014" s="5">
        <v>1</v>
      </c>
      <c r="AC1014" s="5">
        <v>1</v>
      </c>
      <c r="AD1014" s="5">
        <v>1</v>
      </c>
      <c r="AE1014" s="6"/>
      <c r="AF1014" s="6"/>
      <c r="AG1014" s="6"/>
      <c r="AH1014" s="6"/>
      <c r="AI1014" s="5">
        <v>1</v>
      </c>
      <c r="AJ1014" s="6"/>
      <c r="AK1014" s="5">
        <v>1</v>
      </c>
      <c r="AL1014" s="5">
        <v>1</v>
      </c>
      <c r="AM1014" s="5">
        <v>1</v>
      </c>
    </row>
    <row r="1015" spans="1:39" s="7" customFormat="1" x14ac:dyDescent="0.25">
      <c r="A1015" s="5">
        <v>426</v>
      </c>
      <c r="B1015" s="5">
        <v>1</v>
      </c>
      <c r="C1015" s="6"/>
      <c r="D1015" s="6"/>
      <c r="E1015" s="6"/>
      <c r="F1015" s="5">
        <v>1</v>
      </c>
      <c r="G1015" s="6"/>
      <c r="H1015" s="5">
        <v>1</v>
      </c>
      <c r="I1015" s="6"/>
      <c r="J1015" s="6"/>
      <c r="K1015" s="6"/>
      <c r="L1015" s="6"/>
      <c r="M1015" s="6"/>
      <c r="N1015" s="5">
        <v>1</v>
      </c>
      <c r="O1015" s="6"/>
      <c r="P1015" s="5">
        <v>1</v>
      </c>
      <c r="Q1015" s="6"/>
      <c r="R1015" s="6"/>
      <c r="S1015" s="5">
        <v>1</v>
      </c>
      <c r="T1015" s="6"/>
      <c r="U1015" s="6"/>
      <c r="V1015" s="6"/>
      <c r="W1015" s="6"/>
      <c r="X1015" s="6"/>
      <c r="Y1015" s="6"/>
      <c r="Z1015" s="6"/>
      <c r="AA1015" s="5">
        <v>1</v>
      </c>
      <c r="AB1015" s="6"/>
      <c r="AC1015" s="6"/>
      <c r="AD1015" s="6"/>
      <c r="AE1015" s="5">
        <v>1</v>
      </c>
      <c r="AF1015" s="5">
        <v>1</v>
      </c>
      <c r="AG1015" s="5">
        <v>1</v>
      </c>
      <c r="AH1015" s="5">
        <v>1</v>
      </c>
      <c r="AI1015" s="6"/>
      <c r="AJ1015" s="5">
        <v>1</v>
      </c>
      <c r="AK1015" s="6"/>
      <c r="AL1015" s="6"/>
      <c r="AM1015" s="6"/>
    </row>
    <row r="1016" spans="1:39" s="7" customFormat="1" x14ac:dyDescent="0.25">
      <c r="A1016" s="5">
        <v>426</v>
      </c>
      <c r="B1016" s="6"/>
      <c r="C1016" s="5">
        <v>1</v>
      </c>
      <c r="D1016" s="5">
        <v>1</v>
      </c>
      <c r="E1016" s="5">
        <v>1</v>
      </c>
      <c r="F1016" s="6"/>
      <c r="G1016" s="5">
        <v>1</v>
      </c>
      <c r="H1016" s="6"/>
      <c r="I1016" s="5">
        <v>1</v>
      </c>
      <c r="J1016" s="5">
        <v>1</v>
      </c>
      <c r="K1016" s="5">
        <v>1</v>
      </c>
      <c r="L1016" s="5">
        <v>1</v>
      </c>
      <c r="M1016" s="5">
        <v>1</v>
      </c>
      <c r="N1016" s="6"/>
      <c r="O1016" s="5">
        <v>1</v>
      </c>
      <c r="P1016" s="6"/>
      <c r="Q1016" s="5">
        <v>1</v>
      </c>
      <c r="R1016" s="5">
        <v>1</v>
      </c>
      <c r="S1016" s="6"/>
      <c r="T1016" s="5">
        <v>1</v>
      </c>
      <c r="U1016" s="5">
        <v>1</v>
      </c>
      <c r="V1016" s="5">
        <v>1</v>
      </c>
      <c r="W1016" s="5">
        <v>1</v>
      </c>
      <c r="X1016" s="5">
        <v>1</v>
      </c>
      <c r="Y1016" s="5">
        <v>1</v>
      </c>
      <c r="Z1016" s="5">
        <v>1</v>
      </c>
      <c r="AA1016" s="6"/>
      <c r="AB1016" s="5">
        <v>1</v>
      </c>
      <c r="AC1016" s="5">
        <v>1</v>
      </c>
      <c r="AD1016" s="5">
        <v>1</v>
      </c>
      <c r="AE1016" s="6"/>
      <c r="AF1016" s="6"/>
      <c r="AG1016" s="6"/>
      <c r="AH1016" s="6"/>
      <c r="AI1016" s="5">
        <v>1</v>
      </c>
      <c r="AJ1016" s="6"/>
      <c r="AK1016" s="5">
        <v>1</v>
      </c>
      <c r="AL1016" s="5">
        <v>1</v>
      </c>
      <c r="AM1016" s="5">
        <v>1</v>
      </c>
    </row>
    <row r="1017" spans="1:39" s="7" customFormat="1" x14ac:dyDescent="0.25">
      <c r="A1017" s="5">
        <v>427</v>
      </c>
      <c r="B1017" s="5">
        <v>1</v>
      </c>
      <c r="C1017" s="6"/>
      <c r="D1017" s="5">
        <v>1</v>
      </c>
      <c r="E1017" s="6"/>
      <c r="F1017" s="6"/>
      <c r="G1017" s="6"/>
      <c r="H1017" s="6"/>
      <c r="I1017" s="6"/>
      <c r="J1017" s="6"/>
      <c r="K1017" s="6"/>
      <c r="L1017" s="6"/>
      <c r="M1017" s="5">
        <v>1</v>
      </c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5">
        <v>1</v>
      </c>
      <c r="Z1017" s="6"/>
      <c r="AA1017" s="6"/>
      <c r="AB1017" s="6"/>
      <c r="AC1017" s="6"/>
      <c r="AD1017" s="6"/>
      <c r="AE1017" s="6"/>
      <c r="AF1017" s="5">
        <v>1</v>
      </c>
      <c r="AG1017" s="6"/>
      <c r="AH1017" s="6"/>
      <c r="AI1017" s="6"/>
      <c r="AJ1017" s="6"/>
      <c r="AK1017" s="6"/>
      <c r="AL1017" s="5">
        <v>1</v>
      </c>
      <c r="AM1017" s="6"/>
    </row>
    <row r="1018" spans="1:39" s="7" customFormat="1" x14ac:dyDescent="0.25">
      <c r="A1018" s="5">
        <v>427</v>
      </c>
      <c r="B1018" s="6"/>
      <c r="C1018" s="6"/>
      <c r="D1018" s="6"/>
      <c r="E1018" s="5">
        <v>1</v>
      </c>
      <c r="F1018" s="5">
        <v>1</v>
      </c>
      <c r="G1018" s="6"/>
      <c r="H1018" s="6"/>
      <c r="I1018" s="5">
        <v>1</v>
      </c>
      <c r="J1018" s="6"/>
      <c r="K1018" s="5">
        <v>1</v>
      </c>
      <c r="L1018" s="6"/>
      <c r="M1018" s="6"/>
      <c r="N1018" s="5">
        <v>1</v>
      </c>
      <c r="O1018" s="6"/>
      <c r="P1018" s="5">
        <v>1</v>
      </c>
      <c r="Q1018" s="6"/>
      <c r="R1018" s="6"/>
      <c r="S1018" s="6"/>
      <c r="T1018" s="6"/>
      <c r="U1018" s="5">
        <v>1</v>
      </c>
      <c r="V1018" s="6"/>
      <c r="W1018" s="6"/>
      <c r="X1018" s="6"/>
      <c r="Y1018" s="6"/>
      <c r="Z1018" s="6"/>
      <c r="AA1018" s="6"/>
      <c r="AB1018" s="6"/>
      <c r="AC1018" s="5">
        <v>1</v>
      </c>
      <c r="AD1018" s="5">
        <v>1</v>
      </c>
      <c r="AE1018" s="6"/>
      <c r="AF1018" s="6"/>
      <c r="AG1018" s="5">
        <v>1</v>
      </c>
      <c r="AH1018" s="5">
        <v>1</v>
      </c>
      <c r="AI1018" s="6"/>
      <c r="AJ1018" s="6"/>
      <c r="AK1018" s="6"/>
      <c r="AL1018" s="6"/>
      <c r="AM1018" s="6"/>
    </row>
    <row r="1019" spans="1:39" s="7" customFormat="1" x14ac:dyDescent="0.25">
      <c r="A1019" s="5">
        <v>427</v>
      </c>
      <c r="B1019" s="6"/>
      <c r="C1019" s="6"/>
      <c r="D1019" s="6"/>
      <c r="E1019" s="6"/>
      <c r="F1019" s="6"/>
      <c r="G1019" s="6"/>
      <c r="H1019" s="5">
        <v>1</v>
      </c>
      <c r="I1019" s="6"/>
      <c r="J1019" s="6"/>
      <c r="K1019" s="6"/>
      <c r="L1019" s="5">
        <v>1</v>
      </c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5">
        <v>1</v>
      </c>
      <c r="X1019" s="5">
        <v>1</v>
      </c>
      <c r="Y1019" s="6"/>
      <c r="Z1019" s="6"/>
      <c r="AA1019" s="6"/>
      <c r="AB1019" s="6"/>
      <c r="AC1019" s="6"/>
      <c r="AD1019" s="6"/>
      <c r="AE1019" s="5">
        <v>1</v>
      </c>
      <c r="AF1019" s="6"/>
      <c r="AG1019" s="6"/>
      <c r="AH1019" s="6"/>
      <c r="AI1019" s="6"/>
      <c r="AJ1019" s="6"/>
      <c r="AK1019" s="5">
        <v>1</v>
      </c>
      <c r="AL1019" s="6"/>
      <c r="AM1019" s="6"/>
    </row>
    <row r="1020" spans="1:39" s="7" customFormat="1" x14ac:dyDescent="0.25">
      <c r="A1020" s="5">
        <v>427</v>
      </c>
      <c r="B1020" s="6"/>
      <c r="C1020" s="6"/>
      <c r="D1020" s="6"/>
      <c r="E1020" s="6"/>
      <c r="F1020" s="6"/>
      <c r="G1020" s="6"/>
      <c r="H1020" s="6"/>
      <c r="I1020" s="6"/>
      <c r="J1020" s="5">
        <v>1</v>
      </c>
      <c r="K1020" s="6"/>
      <c r="L1020" s="6"/>
      <c r="M1020" s="6"/>
      <c r="N1020" s="6"/>
      <c r="O1020" s="5">
        <v>1</v>
      </c>
      <c r="P1020" s="6"/>
      <c r="Q1020" s="5">
        <v>1</v>
      </c>
      <c r="R1020" s="6"/>
      <c r="S1020" s="6"/>
      <c r="T1020" s="5">
        <v>1</v>
      </c>
      <c r="U1020" s="6"/>
      <c r="V1020" s="5">
        <v>1</v>
      </c>
      <c r="W1020" s="6"/>
      <c r="X1020" s="6"/>
      <c r="Y1020" s="6"/>
      <c r="Z1020" s="5">
        <v>1</v>
      </c>
      <c r="AA1020" s="5">
        <v>1</v>
      </c>
      <c r="AB1020" s="6"/>
      <c r="AC1020" s="6"/>
      <c r="AD1020" s="6"/>
      <c r="AE1020" s="6"/>
      <c r="AF1020" s="6"/>
      <c r="AG1020" s="6"/>
      <c r="AH1020" s="6"/>
      <c r="AI1020" s="5">
        <v>1</v>
      </c>
      <c r="AJ1020" s="6"/>
      <c r="AK1020" s="6"/>
      <c r="AL1020" s="6"/>
      <c r="AM1020" s="6"/>
    </row>
    <row r="1021" spans="1:39" s="7" customFormat="1" x14ac:dyDescent="0.25">
      <c r="A1021" s="5">
        <v>427</v>
      </c>
      <c r="B1021" s="6"/>
      <c r="C1021" s="5">
        <v>1</v>
      </c>
      <c r="D1021" s="6"/>
      <c r="E1021" s="6"/>
      <c r="F1021" s="6"/>
      <c r="G1021" s="5">
        <v>1</v>
      </c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5">
        <v>1</v>
      </c>
      <c r="S1021" s="5">
        <v>1</v>
      </c>
      <c r="T1021" s="6"/>
      <c r="U1021" s="6"/>
      <c r="V1021" s="6"/>
      <c r="W1021" s="6"/>
      <c r="X1021" s="6"/>
      <c r="Y1021" s="6"/>
      <c r="Z1021" s="6"/>
      <c r="AA1021" s="6"/>
      <c r="AB1021" s="5">
        <v>1</v>
      </c>
      <c r="AC1021" s="6"/>
      <c r="AD1021" s="6"/>
      <c r="AE1021" s="6"/>
      <c r="AF1021" s="6"/>
      <c r="AG1021" s="6"/>
      <c r="AH1021" s="6"/>
      <c r="AI1021" s="6"/>
      <c r="AJ1021" s="5">
        <v>1</v>
      </c>
      <c r="AK1021" s="6"/>
      <c r="AL1021" s="6"/>
      <c r="AM1021" s="5">
        <v>1</v>
      </c>
    </row>
    <row r="1022" spans="1:39" s="7" customFormat="1" x14ac:dyDescent="0.25">
      <c r="A1022" s="5">
        <v>428</v>
      </c>
      <c r="B1022" s="5">
        <v>1</v>
      </c>
      <c r="C1022" s="5">
        <v>1</v>
      </c>
      <c r="D1022" s="5">
        <v>1</v>
      </c>
      <c r="E1022" s="5">
        <v>1</v>
      </c>
      <c r="F1022" s="5">
        <v>1</v>
      </c>
      <c r="G1022" s="5">
        <v>1</v>
      </c>
      <c r="H1022" s="5">
        <v>1</v>
      </c>
      <c r="I1022" s="5">
        <v>1</v>
      </c>
      <c r="J1022" s="5">
        <v>1</v>
      </c>
      <c r="K1022" s="5">
        <v>1</v>
      </c>
      <c r="L1022" s="5">
        <v>1</v>
      </c>
      <c r="M1022" s="5">
        <v>1</v>
      </c>
      <c r="N1022" s="5">
        <v>1</v>
      </c>
      <c r="O1022" s="5">
        <v>1</v>
      </c>
      <c r="P1022" s="5">
        <v>1</v>
      </c>
      <c r="Q1022" s="5">
        <v>1</v>
      </c>
      <c r="R1022" s="5">
        <v>1</v>
      </c>
      <c r="S1022" s="5">
        <v>1</v>
      </c>
      <c r="T1022" s="5">
        <v>1</v>
      </c>
      <c r="U1022" s="5">
        <v>1</v>
      </c>
      <c r="V1022" s="5">
        <v>1</v>
      </c>
      <c r="W1022" s="5">
        <v>1</v>
      </c>
      <c r="X1022" s="5">
        <v>1</v>
      </c>
      <c r="Y1022" s="5">
        <v>1</v>
      </c>
      <c r="Z1022" s="5">
        <v>1</v>
      </c>
      <c r="AA1022" s="5">
        <v>1</v>
      </c>
      <c r="AB1022" s="5">
        <v>1</v>
      </c>
      <c r="AC1022" s="5">
        <v>1</v>
      </c>
      <c r="AD1022" s="5">
        <v>1</v>
      </c>
      <c r="AE1022" s="5">
        <v>1</v>
      </c>
      <c r="AF1022" s="5">
        <v>1</v>
      </c>
      <c r="AG1022" s="5">
        <v>1</v>
      </c>
      <c r="AH1022" s="5">
        <v>1</v>
      </c>
      <c r="AI1022" s="5">
        <v>1</v>
      </c>
      <c r="AJ1022" s="5">
        <v>1</v>
      </c>
      <c r="AK1022" s="5">
        <v>1</v>
      </c>
      <c r="AL1022" s="5">
        <v>1</v>
      </c>
      <c r="AM1022" s="5">
        <v>1</v>
      </c>
    </row>
    <row r="1023" spans="1:39" s="7" customFormat="1" x14ac:dyDescent="0.25">
      <c r="A1023" s="5">
        <v>429</v>
      </c>
      <c r="B1023" s="5">
        <v>1</v>
      </c>
      <c r="C1023" s="5">
        <v>1</v>
      </c>
      <c r="D1023" s="5">
        <v>1</v>
      </c>
      <c r="E1023" s="5">
        <v>1</v>
      </c>
      <c r="F1023" s="5">
        <v>1</v>
      </c>
      <c r="G1023" s="5">
        <v>1</v>
      </c>
      <c r="H1023" s="5">
        <v>1</v>
      </c>
      <c r="I1023" s="5">
        <v>1</v>
      </c>
      <c r="J1023" s="5">
        <v>1</v>
      </c>
      <c r="K1023" s="5">
        <v>1</v>
      </c>
      <c r="L1023" s="5">
        <v>1</v>
      </c>
      <c r="M1023" s="5">
        <v>1</v>
      </c>
      <c r="N1023" s="6"/>
      <c r="O1023" s="5">
        <v>1</v>
      </c>
      <c r="P1023" s="6"/>
      <c r="Q1023" s="5">
        <v>1</v>
      </c>
      <c r="R1023" s="5">
        <v>1</v>
      </c>
      <c r="S1023" s="5">
        <v>1</v>
      </c>
      <c r="T1023" s="5">
        <v>1</v>
      </c>
      <c r="U1023" s="5">
        <v>1</v>
      </c>
      <c r="V1023" s="5">
        <v>1</v>
      </c>
      <c r="W1023" s="5">
        <v>1</v>
      </c>
      <c r="X1023" s="5">
        <v>1</v>
      </c>
      <c r="Y1023" s="5">
        <v>1</v>
      </c>
      <c r="Z1023" s="5">
        <v>1</v>
      </c>
      <c r="AA1023" s="5">
        <v>1</v>
      </c>
      <c r="AB1023" s="5">
        <v>1</v>
      </c>
      <c r="AC1023" s="5">
        <v>1</v>
      </c>
      <c r="AD1023" s="5">
        <v>1</v>
      </c>
      <c r="AE1023" s="6"/>
      <c r="AF1023" s="5">
        <v>1</v>
      </c>
      <c r="AG1023" s="5">
        <v>1</v>
      </c>
      <c r="AH1023" s="5">
        <v>1</v>
      </c>
      <c r="AI1023" s="5">
        <v>1</v>
      </c>
      <c r="AJ1023" s="6"/>
      <c r="AK1023" s="5">
        <v>1</v>
      </c>
      <c r="AL1023" s="5">
        <v>1</v>
      </c>
      <c r="AM1023" s="5">
        <v>1</v>
      </c>
    </row>
    <row r="1024" spans="1:39" s="7" customFormat="1" x14ac:dyDescent="0.25">
      <c r="A1024" s="5">
        <v>429</v>
      </c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5">
        <v>1</v>
      </c>
      <c r="O1024" s="6"/>
      <c r="P1024" s="5">
        <v>1</v>
      </c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5">
        <v>1</v>
      </c>
      <c r="AF1024" s="6"/>
      <c r="AG1024" s="6"/>
      <c r="AH1024" s="6"/>
      <c r="AI1024" s="6"/>
      <c r="AJ1024" s="5">
        <v>1</v>
      </c>
      <c r="AK1024" s="6"/>
      <c r="AL1024" s="6"/>
      <c r="AM1024" s="6"/>
    </row>
    <row r="1025" spans="1:39" s="7" customFormat="1" x14ac:dyDescent="0.25">
      <c r="A1025" s="5">
        <v>430</v>
      </c>
      <c r="B1025" s="6"/>
      <c r="C1025" s="6"/>
      <c r="D1025" s="6"/>
      <c r="E1025" s="6"/>
      <c r="F1025" s="6"/>
      <c r="G1025" s="6"/>
      <c r="H1025" s="6"/>
      <c r="I1025" s="5">
        <v>1</v>
      </c>
      <c r="J1025" s="5">
        <v>1</v>
      </c>
      <c r="K1025" s="6"/>
      <c r="L1025" s="5">
        <v>1</v>
      </c>
      <c r="M1025" s="5">
        <v>1</v>
      </c>
      <c r="N1025" s="6"/>
      <c r="O1025" s="5">
        <v>1</v>
      </c>
      <c r="P1025" s="5">
        <v>1</v>
      </c>
      <c r="Q1025" s="6"/>
      <c r="R1025" s="6"/>
      <c r="S1025" s="6"/>
      <c r="T1025" s="6"/>
      <c r="U1025" s="6"/>
      <c r="V1025" s="5">
        <v>1</v>
      </c>
      <c r="W1025" s="6"/>
      <c r="X1025" s="5">
        <v>1</v>
      </c>
      <c r="Y1025" s="6"/>
      <c r="Z1025" s="5">
        <v>1</v>
      </c>
      <c r="AA1025" s="6"/>
      <c r="AB1025" s="6"/>
      <c r="AC1025" s="5">
        <v>1</v>
      </c>
      <c r="AD1025" s="6"/>
      <c r="AE1025" s="6"/>
      <c r="AF1025" s="5">
        <v>1</v>
      </c>
      <c r="AG1025" s="6"/>
      <c r="AH1025" s="5">
        <v>1</v>
      </c>
      <c r="AI1025" s="6"/>
      <c r="AJ1025" s="6"/>
      <c r="AK1025" s="6"/>
      <c r="AL1025" s="6"/>
      <c r="AM1025" s="6"/>
    </row>
    <row r="1026" spans="1:39" s="7" customFormat="1" x14ac:dyDescent="0.25">
      <c r="A1026" s="5">
        <v>430</v>
      </c>
      <c r="B1026" s="5">
        <v>1</v>
      </c>
      <c r="C1026" s="5">
        <v>1</v>
      </c>
      <c r="D1026" s="5">
        <v>1</v>
      </c>
      <c r="E1026" s="5">
        <v>1</v>
      </c>
      <c r="F1026" s="5">
        <v>1</v>
      </c>
      <c r="G1026" s="5">
        <v>1</v>
      </c>
      <c r="H1026" s="5">
        <v>1</v>
      </c>
      <c r="I1026" s="6"/>
      <c r="J1026" s="6"/>
      <c r="K1026" s="5">
        <v>1</v>
      </c>
      <c r="L1026" s="6"/>
      <c r="M1026" s="6"/>
      <c r="N1026" s="5">
        <v>1</v>
      </c>
      <c r="O1026" s="6"/>
      <c r="P1026" s="6"/>
      <c r="Q1026" s="5">
        <v>1</v>
      </c>
      <c r="R1026" s="5">
        <v>1</v>
      </c>
      <c r="S1026" s="5">
        <v>1</v>
      </c>
      <c r="T1026" s="5">
        <v>1</v>
      </c>
      <c r="U1026" s="5">
        <v>1</v>
      </c>
      <c r="V1026" s="6"/>
      <c r="W1026" s="5">
        <v>1</v>
      </c>
      <c r="X1026" s="6"/>
      <c r="Y1026" s="5">
        <v>1</v>
      </c>
      <c r="Z1026" s="6"/>
      <c r="AA1026" s="5">
        <v>1</v>
      </c>
      <c r="AB1026" s="5">
        <v>1</v>
      </c>
      <c r="AC1026" s="6"/>
      <c r="AD1026" s="5">
        <v>1</v>
      </c>
      <c r="AE1026" s="5">
        <v>1</v>
      </c>
      <c r="AF1026" s="6"/>
      <c r="AG1026" s="5">
        <v>1</v>
      </c>
      <c r="AH1026" s="6"/>
      <c r="AI1026" s="5">
        <v>1</v>
      </c>
      <c r="AJ1026" s="5">
        <v>1</v>
      </c>
      <c r="AK1026" s="5">
        <v>1</v>
      </c>
      <c r="AL1026" s="5">
        <v>1</v>
      </c>
      <c r="AM1026" s="5">
        <v>1</v>
      </c>
    </row>
    <row r="1027" spans="1:39" s="7" customFormat="1" x14ac:dyDescent="0.25">
      <c r="A1027" s="5">
        <v>431</v>
      </c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5">
        <v>1</v>
      </c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5">
        <v>1</v>
      </c>
      <c r="AH1027" s="6"/>
      <c r="AI1027" s="6"/>
      <c r="AJ1027" s="6"/>
      <c r="AK1027" s="6"/>
      <c r="AL1027" s="6"/>
      <c r="AM1027" s="6"/>
    </row>
    <row r="1028" spans="1:39" s="7" customFormat="1" x14ac:dyDescent="0.25">
      <c r="A1028" s="5">
        <v>431</v>
      </c>
      <c r="B1028" s="6"/>
      <c r="C1028" s="6"/>
      <c r="D1028" s="6"/>
      <c r="E1028" s="6"/>
      <c r="F1028" s="6"/>
      <c r="G1028" s="6"/>
      <c r="H1028" s="5">
        <v>1</v>
      </c>
      <c r="I1028" s="6"/>
      <c r="J1028" s="6"/>
      <c r="K1028" s="6"/>
      <c r="L1028" s="6"/>
      <c r="M1028" s="6"/>
      <c r="N1028" s="6"/>
      <c r="O1028" s="6"/>
      <c r="P1028" s="5">
        <v>1</v>
      </c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5">
        <v>1</v>
      </c>
      <c r="AF1028" s="6"/>
      <c r="AG1028" s="6"/>
      <c r="AH1028" s="5">
        <v>1</v>
      </c>
      <c r="AI1028" s="6"/>
      <c r="AJ1028" s="6"/>
      <c r="AK1028" s="6"/>
      <c r="AL1028" s="6"/>
      <c r="AM1028" s="6"/>
    </row>
    <row r="1029" spans="1:39" s="7" customFormat="1" x14ac:dyDescent="0.25">
      <c r="A1029" s="5">
        <v>431</v>
      </c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5">
        <v>1</v>
      </c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5">
        <v>1</v>
      </c>
      <c r="AK1029" s="6"/>
      <c r="AL1029" s="6"/>
      <c r="AM1029" s="6"/>
    </row>
    <row r="1030" spans="1:39" s="7" customFormat="1" x14ac:dyDescent="0.25">
      <c r="A1030" s="5">
        <v>431</v>
      </c>
      <c r="B1030" s="6"/>
      <c r="C1030" s="6"/>
      <c r="D1030" s="6"/>
      <c r="E1030" s="5">
        <v>1</v>
      </c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</row>
    <row r="1031" spans="1:39" s="7" customFormat="1" x14ac:dyDescent="0.25">
      <c r="A1031" s="5">
        <v>431</v>
      </c>
      <c r="B1031" s="6"/>
      <c r="C1031" s="6"/>
      <c r="D1031" s="6"/>
      <c r="E1031" s="6"/>
      <c r="F1031" s="6"/>
      <c r="G1031" s="6"/>
      <c r="H1031" s="6"/>
      <c r="I1031" s="5">
        <v>1</v>
      </c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5">
        <v>1</v>
      </c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</row>
    <row r="1032" spans="1:39" s="7" customFormat="1" x14ac:dyDescent="0.25">
      <c r="A1032" s="5">
        <v>431</v>
      </c>
      <c r="B1032" s="6"/>
      <c r="C1032" s="6"/>
      <c r="D1032" s="6"/>
      <c r="E1032" s="6"/>
      <c r="F1032" s="6"/>
      <c r="G1032" s="6"/>
      <c r="H1032" s="6"/>
      <c r="I1032" s="6"/>
      <c r="J1032" s="5">
        <v>1</v>
      </c>
      <c r="K1032" s="6"/>
      <c r="L1032" s="6"/>
      <c r="M1032" s="6"/>
      <c r="N1032" s="6"/>
      <c r="O1032" s="5">
        <v>1</v>
      </c>
      <c r="P1032" s="6"/>
      <c r="Q1032" s="6"/>
      <c r="R1032" s="5">
        <v>1</v>
      </c>
      <c r="S1032" s="6"/>
      <c r="T1032" s="6"/>
      <c r="U1032" s="6"/>
      <c r="V1032" s="6"/>
      <c r="W1032" s="6"/>
      <c r="X1032" s="6"/>
      <c r="Y1032" s="6"/>
      <c r="Z1032" s="6"/>
      <c r="AA1032" s="6"/>
      <c r="AB1032" s="5">
        <v>1</v>
      </c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</row>
    <row r="1033" spans="1:39" s="7" customFormat="1" x14ac:dyDescent="0.25">
      <c r="A1033" s="5">
        <v>431</v>
      </c>
      <c r="B1033" s="5">
        <v>1</v>
      </c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5">
        <v>1</v>
      </c>
      <c r="AG1033" s="6"/>
      <c r="AH1033" s="6"/>
      <c r="AI1033" s="6"/>
      <c r="AJ1033" s="6"/>
      <c r="AK1033" s="6"/>
      <c r="AL1033" s="6"/>
      <c r="AM1033" s="6"/>
    </row>
    <row r="1034" spans="1:39" s="7" customFormat="1" x14ac:dyDescent="0.25">
      <c r="A1034" s="5">
        <v>431</v>
      </c>
      <c r="B1034" s="6"/>
      <c r="C1034" s="6"/>
      <c r="D1034" s="6"/>
      <c r="E1034" s="6"/>
      <c r="F1034" s="5">
        <v>1</v>
      </c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</row>
    <row r="1035" spans="1:39" s="7" customFormat="1" x14ac:dyDescent="0.25">
      <c r="A1035" s="5">
        <v>431</v>
      </c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5">
        <v>1</v>
      </c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</row>
    <row r="1036" spans="1:39" s="7" customFormat="1" x14ac:dyDescent="0.25">
      <c r="A1036" s="5">
        <v>431</v>
      </c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5">
        <v>1</v>
      </c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</row>
    <row r="1037" spans="1:39" s="7" customFormat="1" x14ac:dyDescent="0.25">
      <c r="A1037" s="5">
        <v>431</v>
      </c>
      <c r="B1037" s="6"/>
      <c r="C1037" s="6"/>
      <c r="D1037" s="6"/>
      <c r="E1037" s="6"/>
      <c r="F1037" s="6"/>
      <c r="G1037" s="6"/>
      <c r="H1037" s="6"/>
      <c r="I1037" s="6"/>
      <c r="J1037" s="6"/>
      <c r="K1037" s="5">
        <v>1</v>
      </c>
      <c r="L1037" s="6"/>
      <c r="M1037" s="5">
        <v>1</v>
      </c>
      <c r="N1037" s="6"/>
      <c r="O1037" s="6"/>
      <c r="P1037" s="6"/>
      <c r="Q1037" s="6"/>
      <c r="R1037" s="6"/>
      <c r="S1037" s="6"/>
      <c r="T1037" s="6"/>
      <c r="U1037" s="5">
        <v>1</v>
      </c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</row>
    <row r="1038" spans="1:39" s="7" customFormat="1" x14ac:dyDescent="0.25">
      <c r="A1038" s="5">
        <v>431</v>
      </c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5">
        <v>1</v>
      </c>
      <c r="AD1038" s="6"/>
      <c r="AE1038" s="6"/>
      <c r="AF1038" s="6"/>
      <c r="AG1038" s="6"/>
      <c r="AH1038" s="6"/>
      <c r="AI1038" s="6"/>
      <c r="AJ1038" s="6"/>
      <c r="AK1038" s="5">
        <v>1</v>
      </c>
      <c r="AL1038" s="6"/>
      <c r="AM1038" s="6"/>
    </row>
    <row r="1039" spans="1:39" s="7" customFormat="1" x14ac:dyDescent="0.25">
      <c r="A1039" s="5">
        <v>431</v>
      </c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5">
        <v>1</v>
      </c>
      <c r="M1039" s="6"/>
      <c r="N1039" s="6"/>
      <c r="O1039" s="6"/>
      <c r="P1039" s="6"/>
      <c r="Q1039" s="5">
        <v>1</v>
      </c>
      <c r="R1039" s="6"/>
      <c r="S1039" s="6"/>
      <c r="T1039" s="5">
        <v>1</v>
      </c>
      <c r="U1039" s="6"/>
      <c r="V1039" s="6"/>
      <c r="W1039" s="6"/>
      <c r="X1039" s="5">
        <v>1</v>
      </c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</row>
    <row r="1040" spans="1:39" s="7" customFormat="1" x14ac:dyDescent="0.25">
      <c r="A1040" s="5">
        <v>431</v>
      </c>
      <c r="B1040" s="6"/>
      <c r="C1040" s="5">
        <v>1</v>
      </c>
      <c r="D1040" s="6"/>
      <c r="E1040" s="6"/>
      <c r="F1040" s="6"/>
      <c r="G1040" s="5">
        <v>1</v>
      </c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5">
        <v>1</v>
      </c>
      <c r="W1040" s="6"/>
      <c r="X1040" s="6"/>
      <c r="Y1040" s="6"/>
      <c r="Z1040" s="5">
        <v>1</v>
      </c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5">
        <v>1</v>
      </c>
    </row>
    <row r="1041" spans="1:39" s="7" customFormat="1" x14ac:dyDescent="0.25">
      <c r="A1041" s="5">
        <v>431</v>
      </c>
      <c r="B1041" s="6"/>
      <c r="C1041" s="6"/>
      <c r="D1041" s="5">
        <v>1</v>
      </c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5">
        <v>1</v>
      </c>
      <c r="AM1041" s="6"/>
    </row>
    <row r="1042" spans="1:39" s="7" customFormat="1" x14ac:dyDescent="0.25">
      <c r="A1042" s="5">
        <v>431</v>
      </c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5">
        <v>1</v>
      </c>
      <c r="AE1042" s="6"/>
      <c r="AF1042" s="6"/>
      <c r="AG1042" s="6"/>
      <c r="AH1042" s="6"/>
      <c r="AI1042" s="6"/>
      <c r="AJ1042" s="6"/>
      <c r="AK1042" s="6"/>
      <c r="AL1042" s="6"/>
      <c r="AM1042" s="6"/>
    </row>
    <row r="1043" spans="1:39" s="7" customFormat="1" x14ac:dyDescent="0.25">
      <c r="A1043" s="5">
        <v>431</v>
      </c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5">
        <v>1</v>
      </c>
      <c r="AJ1043" s="6"/>
      <c r="AK1043" s="6"/>
      <c r="AL1043" s="6"/>
      <c r="AM1043" s="6"/>
    </row>
    <row r="1044" spans="1:39" s="7" customFormat="1" x14ac:dyDescent="0.25">
      <c r="A1044" s="5">
        <v>432</v>
      </c>
      <c r="B1044" s="5">
        <v>1</v>
      </c>
      <c r="C1044" s="5">
        <v>1</v>
      </c>
      <c r="D1044" s="5">
        <v>1</v>
      </c>
      <c r="E1044" s="5">
        <v>1</v>
      </c>
      <c r="F1044" s="5">
        <v>1</v>
      </c>
      <c r="G1044" s="5">
        <v>1</v>
      </c>
      <c r="H1044" s="5">
        <v>1</v>
      </c>
      <c r="I1044" s="5">
        <v>1</v>
      </c>
      <c r="J1044" s="5">
        <v>1</v>
      </c>
      <c r="K1044" s="5">
        <v>1</v>
      </c>
      <c r="L1044" s="5">
        <v>1</v>
      </c>
      <c r="M1044" s="5">
        <v>1</v>
      </c>
      <c r="N1044" s="5">
        <v>1</v>
      </c>
      <c r="O1044" s="5">
        <v>1</v>
      </c>
      <c r="P1044" s="5">
        <v>1</v>
      </c>
      <c r="Q1044" s="5">
        <v>1</v>
      </c>
      <c r="R1044" s="5">
        <v>1</v>
      </c>
      <c r="S1044" s="5">
        <v>1</v>
      </c>
      <c r="T1044" s="5">
        <v>1</v>
      </c>
      <c r="U1044" s="5">
        <v>1</v>
      </c>
      <c r="V1044" s="5">
        <v>1</v>
      </c>
      <c r="W1044" s="5">
        <v>1</v>
      </c>
      <c r="X1044" s="5">
        <v>1</v>
      </c>
      <c r="Y1044" s="5">
        <v>1</v>
      </c>
      <c r="Z1044" s="5">
        <v>1</v>
      </c>
      <c r="AA1044" s="5">
        <v>1</v>
      </c>
      <c r="AB1044" s="5">
        <v>1</v>
      </c>
      <c r="AC1044" s="5">
        <v>1</v>
      </c>
      <c r="AD1044" s="5">
        <v>1</v>
      </c>
      <c r="AE1044" s="5">
        <v>1</v>
      </c>
      <c r="AF1044" s="5">
        <v>1</v>
      </c>
      <c r="AG1044" s="5">
        <v>1</v>
      </c>
      <c r="AH1044" s="5">
        <v>1</v>
      </c>
      <c r="AI1044" s="5">
        <v>1</v>
      </c>
      <c r="AJ1044" s="5">
        <v>1</v>
      </c>
      <c r="AK1044" s="5">
        <v>1</v>
      </c>
      <c r="AL1044" s="5">
        <v>1</v>
      </c>
      <c r="AM1044" s="5">
        <v>1</v>
      </c>
    </row>
    <row r="1045" spans="1:39" s="7" customFormat="1" x14ac:dyDescent="0.25">
      <c r="A1045" s="5">
        <v>433</v>
      </c>
      <c r="B1045" s="5">
        <v>1</v>
      </c>
      <c r="C1045" s="6"/>
      <c r="D1045" s="6"/>
      <c r="E1045" s="6"/>
      <c r="F1045" s="5">
        <v>1</v>
      </c>
      <c r="G1045" s="6"/>
      <c r="H1045" s="5">
        <v>1</v>
      </c>
      <c r="I1045" s="6"/>
      <c r="J1045" s="6"/>
      <c r="K1045" s="6"/>
      <c r="L1045" s="6"/>
      <c r="M1045" s="6"/>
      <c r="N1045" s="5">
        <v>1</v>
      </c>
      <c r="O1045" s="6"/>
      <c r="P1045" s="5">
        <v>1</v>
      </c>
      <c r="Q1045" s="6"/>
      <c r="R1045" s="6"/>
      <c r="S1045" s="5">
        <v>1</v>
      </c>
      <c r="T1045" s="6"/>
      <c r="U1045" s="6"/>
      <c r="V1045" s="6"/>
      <c r="W1045" s="6"/>
      <c r="X1045" s="6"/>
      <c r="Y1045" s="6"/>
      <c r="Z1045" s="6"/>
      <c r="AA1045" s="5">
        <v>1</v>
      </c>
      <c r="AB1045" s="6"/>
      <c r="AC1045" s="6"/>
      <c r="AD1045" s="6"/>
      <c r="AE1045" s="5">
        <v>1</v>
      </c>
      <c r="AF1045" s="5">
        <v>1</v>
      </c>
      <c r="AG1045" s="5">
        <v>1</v>
      </c>
      <c r="AH1045" s="5">
        <v>1</v>
      </c>
      <c r="AI1045" s="6"/>
      <c r="AJ1045" s="5">
        <v>1</v>
      </c>
      <c r="AK1045" s="6"/>
      <c r="AL1045" s="6"/>
      <c r="AM1045" s="6"/>
    </row>
    <row r="1046" spans="1:39" s="7" customFormat="1" x14ac:dyDescent="0.25">
      <c r="A1046" s="5">
        <v>433</v>
      </c>
      <c r="B1046" s="6"/>
      <c r="C1046" s="5">
        <v>1</v>
      </c>
      <c r="D1046" s="5">
        <v>1</v>
      </c>
      <c r="E1046" s="5">
        <v>1</v>
      </c>
      <c r="F1046" s="6"/>
      <c r="G1046" s="5">
        <v>1</v>
      </c>
      <c r="H1046" s="6"/>
      <c r="I1046" s="5">
        <v>1</v>
      </c>
      <c r="J1046" s="5">
        <v>1</v>
      </c>
      <c r="K1046" s="5">
        <v>1</v>
      </c>
      <c r="L1046" s="5">
        <v>1</v>
      </c>
      <c r="M1046" s="5">
        <v>1</v>
      </c>
      <c r="N1046" s="6"/>
      <c r="O1046" s="5">
        <v>1</v>
      </c>
      <c r="P1046" s="6"/>
      <c r="Q1046" s="5">
        <v>1</v>
      </c>
      <c r="R1046" s="5">
        <v>1</v>
      </c>
      <c r="S1046" s="6"/>
      <c r="T1046" s="5">
        <v>1</v>
      </c>
      <c r="U1046" s="5">
        <v>1</v>
      </c>
      <c r="V1046" s="5">
        <v>1</v>
      </c>
      <c r="W1046" s="5">
        <v>1</v>
      </c>
      <c r="X1046" s="5">
        <v>1</v>
      </c>
      <c r="Y1046" s="5">
        <v>1</v>
      </c>
      <c r="Z1046" s="5">
        <v>1</v>
      </c>
      <c r="AA1046" s="6"/>
      <c r="AB1046" s="5">
        <v>1</v>
      </c>
      <c r="AC1046" s="5">
        <v>1</v>
      </c>
      <c r="AD1046" s="5">
        <v>1</v>
      </c>
      <c r="AE1046" s="6"/>
      <c r="AF1046" s="6"/>
      <c r="AG1046" s="6"/>
      <c r="AH1046" s="6"/>
      <c r="AI1046" s="5">
        <v>1</v>
      </c>
      <c r="AJ1046" s="6"/>
      <c r="AK1046" s="5">
        <v>1</v>
      </c>
      <c r="AL1046" s="5">
        <v>1</v>
      </c>
      <c r="AM1046" s="5">
        <v>1</v>
      </c>
    </row>
    <row r="1047" spans="1:39" s="7" customFormat="1" x14ac:dyDescent="0.25">
      <c r="A1047" s="5">
        <v>434</v>
      </c>
      <c r="B1047" s="5">
        <v>1</v>
      </c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5">
        <v>1</v>
      </c>
      <c r="AG1047" s="6"/>
      <c r="AH1047" s="6"/>
      <c r="AI1047" s="6"/>
      <c r="AJ1047" s="6"/>
      <c r="AK1047" s="6"/>
      <c r="AL1047" s="6"/>
      <c r="AM1047" s="6"/>
    </row>
    <row r="1048" spans="1:39" s="7" customFormat="1" x14ac:dyDescent="0.25">
      <c r="A1048" s="5">
        <v>434</v>
      </c>
      <c r="B1048" s="6"/>
      <c r="C1048" s="6"/>
      <c r="D1048" s="6"/>
      <c r="E1048" s="6"/>
      <c r="F1048" s="5">
        <v>1</v>
      </c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</row>
    <row r="1049" spans="1:39" s="7" customFormat="1" x14ac:dyDescent="0.25">
      <c r="A1049" s="5">
        <v>434</v>
      </c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5">
        <v>1</v>
      </c>
      <c r="O1049" s="6"/>
      <c r="P1049" s="5">
        <v>1</v>
      </c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5">
        <v>1</v>
      </c>
      <c r="AB1049" s="6"/>
      <c r="AC1049" s="6"/>
      <c r="AD1049" s="6"/>
      <c r="AE1049" s="6"/>
      <c r="AF1049" s="6"/>
      <c r="AG1049" s="5">
        <v>1</v>
      </c>
      <c r="AH1049" s="5">
        <v>1</v>
      </c>
      <c r="AI1049" s="6"/>
      <c r="AJ1049" s="6"/>
      <c r="AK1049" s="6"/>
      <c r="AL1049" s="6"/>
      <c r="AM1049" s="6"/>
    </row>
    <row r="1050" spans="1:39" s="7" customFormat="1" x14ac:dyDescent="0.25">
      <c r="A1050" s="5">
        <v>434</v>
      </c>
      <c r="B1050" s="6"/>
      <c r="C1050" s="6"/>
      <c r="D1050" s="6"/>
      <c r="E1050" s="6"/>
      <c r="F1050" s="6"/>
      <c r="G1050" s="6"/>
      <c r="H1050" s="5">
        <v>1</v>
      </c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5">
        <v>1</v>
      </c>
      <c r="AF1050" s="6"/>
      <c r="AG1050" s="6"/>
      <c r="AH1050" s="6"/>
      <c r="AI1050" s="6"/>
      <c r="AJ1050" s="6"/>
      <c r="AK1050" s="6"/>
      <c r="AL1050" s="6"/>
      <c r="AM1050" s="6"/>
    </row>
    <row r="1051" spans="1:39" s="7" customFormat="1" x14ac:dyDescent="0.25">
      <c r="A1051" s="5">
        <v>434</v>
      </c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5">
        <v>1</v>
      </c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5">
        <v>1</v>
      </c>
      <c r="AK1051" s="6"/>
      <c r="AL1051" s="6"/>
      <c r="AM1051" s="6"/>
    </row>
    <row r="1052" spans="1:39" s="7" customFormat="1" x14ac:dyDescent="0.25">
      <c r="A1052" s="5">
        <v>434</v>
      </c>
      <c r="B1052" s="6"/>
      <c r="C1052" s="6"/>
      <c r="D1052" s="5">
        <v>1</v>
      </c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5">
        <v>1</v>
      </c>
      <c r="AM1052" s="6"/>
    </row>
    <row r="1053" spans="1:39" s="7" customFormat="1" x14ac:dyDescent="0.25">
      <c r="A1053" s="5">
        <v>434</v>
      </c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5">
        <v>1</v>
      </c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5">
        <v>1</v>
      </c>
      <c r="Z1053" s="6"/>
      <c r="AA1053" s="6"/>
      <c r="AB1053" s="6"/>
      <c r="AC1053" s="6"/>
      <c r="AD1053" s="5">
        <v>1</v>
      </c>
      <c r="AE1053" s="6"/>
      <c r="AF1053" s="6"/>
      <c r="AG1053" s="6"/>
      <c r="AH1053" s="6"/>
      <c r="AI1053" s="6"/>
      <c r="AJ1053" s="6"/>
      <c r="AK1053" s="6"/>
      <c r="AL1053" s="6"/>
      <c r="AM1053" s="6"/>
    </row>
    <row r="1054" spans="1:39" s="7" customFormat="1" x14ac:dyDescent="0.25">
      <c r="A1054" s="5">
        <v>434</v>
      </c>
      <c r="B1054" s="6"/>
      <c r="C1054" s="6"/>
      <c r="D1054" s="6"/>
      <c r="E1054" s="6"/>
      <c r="F1054" s="6"/>
      <c r="G1054" s="6"/>
      <c r="H1054" s="6"/>
      <c r="I1054" s="6"/>
      <c r="J1054" s="6"/>
      <c r="K1054" s="5">
        <v>1</v>
      </c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</row>
    <row r="1055" spans="1:39" s="7" customFormat="1" x14ac:dyDescent="0.25">
      <c r="A1055" s="5">
        <v>434</v>
      </c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5">
        <v>1</v>
      </c>
      <c r="M1055" s="6"/>
      <c r="N1055" s="6"/>
      <c r="O1055" s="6"/>
      <c r="P1055" s="6"/>
      <c r="Q1055" s="6"/>
      <c r="R1055" s="6"/>
      <c r="S1055" s="6"/>
      <c r="T1055" s="6"/>
      <c r="U1055" s="5">
        <v>1</v>
      </c>
      <c r="V1055" s="6"/>
      <c r="W1055" s="6"/>
      <c r="X1055" s="5">
        <v>1</v>
      </c>
      <c r="Y1055" s="6"/>
      <c r="Z1055" s="6"/>
      <c r="AA1055" s="6"/>
      <c r="AB1055" s="6"/>
      <c r="AC1055" s="5">
        <v>1</v>
      </c>
      <c r="AD1055" s="6"/>
      <c r="AE1055" s="6"/>
      <c r="AF1055" s="6"/>
      <c r="AG1055" s="6"/>
      <c r="AH1055" s="6"/>
      <c r="AI1055" s="5">
        <v>1</v>
      </c>
      <c r="AJ1055" s="6"/>
      <c r="AK1055" s="6"/>
      <c r="AL1055" s="6"/>
      <c r="AM1055" s="6"/>
    </row>
    <row r="1056" spans="1:39" s="7" customFormat="1" x14ac:dyDescent="0.25">
      <c r="A1056" s="5">
        <v>434</v>
      </c>
      <c r="B1056" s="6"/>
      <c r="C1056" s="6"/>
      <c r="D1056" s="6"/>
      <c r="E1056" s="5">
        <v>1</v>
      </c>
      <c r="F1056" s="6"/>
      <c r="G1056" s="6"/>
      <c r="H1056" s="6"/>
      <c r="I1056" s="5">
        <v>1</v>
      </c>
      <c r="J1056" s="6"/>
      <c r="K1056" s="6"/>
      <c r="L1056" s="6"/>
      <c r="M1056" s="6"/>
      <c r="N1056" s="6"/>
      <c r="O1056" s="6"/>
      <c r="P1056" s="6"/>
      <c r="Q1056" s="5">
        <v>1</v>
      </c>
      <c r="R1056" s="6"/>
      <c r="S1056" s="6"/>
      <c r="T1056" s="5">
        <v>1</v>
      </c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5">
        <v>1</v>
      </c>
      <c r="AL1056" s="6"/>
      <c r="AM1056" s="6"/>
    </row>
    <row r="1057" spans="1:39" s="7" customFormat="1" x14ac:dyDescent="0.25">
      <c r="A1057" s="5">
        <v>434</v>
      </c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5">
        <v>1</v>
      </c>
      <c r="W1057" s="5">
        <v>1</v>
      </c>
      <c r="X1057" s="6"/>
      <c r="Y1057" s="6"/>
      <c r="Z1057" s="5">
        <v>1</v>
      </c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</row>
    <row r="1058" spans="1:39" s="7" customFormat="1" x14ac:dyDescent="0.25">
      <c r="A1058" s="5">
        <v>434</v>
      </c>
      <c r="B1058" s="6"/>
      <c r="C1058" s="5">
        <v>1</v>
      </c>
      <c r="D1058" s="6"/>
      <c r="E1058" s="6"/>
      <c r="F1058" s="6"/>
      <c r="G1058" s="5">
        <v>1</v>
      </c>
      <c r="H1058" s="6"/>
      <c r="I1058" s="6"/>
      <c r="J1058" s="5">
        <v>1</v>
      </c>
      <c r="K1058" s="6"/>
      <c r="L1058" s="6"/>
      <c r="M1058" s="6"/>
      <c r="N1058" s="6"/>
      <c r="O1058" s="5">
        <v>1</v>
      </c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5">
        <v>1</v>
      </c>
    </row>
    <row r="1059" spans="1:39" s="7" customFormat="1" x14ac:dyDescent="0.25">
      <c r="A1059" s="5">
        <v>434</v>
      </c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5">
        <v>1</v>
      </c>
      <c r="S1059" s="6"/>
      <c r="T1059" s="6"/>
      <c r="U1059" s="6"/>
      <c r="V1059" s="6"/>
      <c r="W1059" s="6"/>
      <c r="X1059" s="6"/>
      <c r="Y1059" s="6"/>
      <c r="Z1059" s="6"/>
      <c r="AA1059" s="6"/>
      <c r="AB1059" s="5">
        <v>1</v>
      </c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</row>
    <row r="1060" spans="1:39" s="7" customFormat="1" x14ac:dyDescent="0.25">
      <c r="A1060" s="5">
        <v>435</v>
      </c>
      <c r="B1060" s="5">
        <v>1</v>
      </c>
      <c r="C1060" s="5">
        <v>1</v>
      </c>
      <c r="D1060" s="5">
        <v>1</v>
      </c>
      <c r="E1060" s="5">
        <v>1</v>
      </c>
      <c r="F1060" s="5">
        <v>1</v>
      </c>
      <c r="G1060" s="5">
        <v>1</v>
      </c>
      <c r="H1060" s="5">
        <v>1</v>
      </c>
      <c r="I1060" s="5">
        <v>1</v>
      </c>
      <c r="J1060" s="5">
        <v>1</v>
      </c>
      <c r="K1060" s="5">
        <v>1</v>
      </c>
      <c r="L1060" s="5">
        <v>1</v>
      </c>
      <c r="M1060" s="5">
        <v>1</v>
      </c>
      <c r="N1060" s="5">
        <v>1</v>
      </c>
      <c r="O1060" s="5">
        <v>1</v>
      </c>
      <c r="P1060" s="5">
        <v>1</v>
      </c>
      <c r="Q1060" s="5">
        <v>1</v>
      </c>
      <c r="R1060" s="5">
        <v>1</v>
      </c>
      <c r="S1060" s="5">
        <v>1</v>
      </c>
      <c r="T1060" s="5">
        <v>1</v>
      </c>
      <c r="U1060" s="5">
        <v>1</v>
      </c>
      <c r="V1060" s="5">
        <v>1</v>
      </c>
      <c r="W1060" s="5">
        <v>1</v>
      </c>
      <c r="X1060" s="5">
        <v>1</v>
      </c>
      <c r="Y1060" s="5">
        <v>1</v>
      </c>
      <c r="Z1060" s="5">
        <v>1</v>
      </c>
      <c r="AA1060" s="5">
        <v>1</v>
      </c>
      <c r="AB1060" s="5">
        <v>1</v>
      </c>
      <c r="AC1060" s="5">
        <v>1</v>
      </c>
      <c r="AD1060" s="5">
        <v>1</v>
      </c>
      <c r="AE1060" s="5">
        <v>1</v>
      </c>
      <c r="AF1060" s="5">
        <v>1</v>
      </c>
      <c r="AG1060" s="5">
        <v>1</v>
      </c>
      <c r="AH1060" s="5">
        <v>1</v>
      </c>
      <c r="AI1060" s="5">
        <v>1</v>
      </c>
      <c r="AJ1060" s="5">
        <v>1</v>
      </c>
      <c r="AK1060" s="5">
        <v>1</v>
      </c>
      <c r="AL1060" s="5">
        <v>1</v>
      </c>
      <c r="AM1060" s="5">
        <v>1</v>
      </c>
    </row>
    <row r="1061" spans="1:39" s="7" customFormat="1" x14ac:dyDescent="0.25">
      <c r="A1061" s="5">
        <v>436</v>
      </c>
      <c r="B1061" s="5">
        <v>1</v>
      </c>
      <c r="C1061" s="6"/>
      <c r="D1061" s="6"/>
      <c r="E1061" s="6"/>
      <c r="F1061" s="5">
        <v>1</v>
      </c>
      <c r="G1061" s="6"/>
      <c r="H1061" s="5">
        <v>1</v>
      </c>
      <c r="I1061" s="6"/>
      <c r="J1061" s="6"/>
      <c r="K1061" s="6"/>
      <c r="L1061" s="6"/>
      <c r="M1061" s="6"/>
      <c r="N1061" s="5">
        <v>1</v>
      </c>
      <c r="O1061" s="6"/>
      <c r="P1061" s="5">
        <v>1</v>
      </c>
      <c r="Q1061" s="6"/>
      <c r="R1061" s="6"/>
      <c r="S1061" s="5">
        <v>1</v>
      </c>
      <c r="T1061" s="6"/>
      <c r="U1061" s="6"/>
      <c r="V1061" s="6"/>
      <c r="W1061" s="6"/>
      <c r="X1061" s="6"/>
      <c r="Y1061" s="6"/>
      <c r="Z1061" s="6"/>
      <c r="AA1061" s="5">
        <v>1</v>
      </c>
      <c r="AB1061" s="6"/>
      <c r="AC1061" s="6"/>
      <c r="AD1061" s="6"/>
      <c r="AE1061" s="5">
        <v>1</v>
      </c>
      <c r="AF1061" s="5">
        <v>1</v>
      </c>
      <c r="AG1061" s="5">
        <v>1</v>
      </c>
      <c r="AH1061" s="5">
        <v>1</v>
      </c>
      <c r="AI1061" s="6"/>
      <c r="AJ1061" s="5">
        <v>1</v>
      </c>
      <c r="AK1061" s="6"/>
      <c r="AL1061" s="6"/>
      <c r="AM1061" s="6"/>
    </row>
    <row r="1062" spans="1:39" s="7" customFormat="1" x14ac:dyDescent="0.25">
      <c r="A1062" s="5">
        <v>436</v>
      </c>
      <c r="B1062" s="6"/>
      <c r="C1062" s="5">
        <v>1</v>
      </c>
      <c r="D1062" s="5">
        <v>1</v>
      </c>
      <c r="E1062" s="5">
        <v>1</v>
      </c>
      <c r="F1062" s="6"/>
      <c r="G1062" s="5">
        <v>1</v>
      </c>
      <c r="H1062" s="6"/>
      <c r="I1062" s="5">
        <v>1</v>
      </c>
      <c r="J1062" s="5">
        <v>1</v>
      </c>
      <c r="K1062" s="5">
        <v>1</v>
      </c>
      <c r="L1062" s="5">
        <v>1</v>
      </c>
      <c r="M1062" s="5">
        <v>1</v>
      </c>
      <c r="N1062" s="6"/>
      <c r="O1062" s="5">
        <v>1</v>
      </c>
      <c r="P1062" s="6"/>
      <c r="Q1062" s="5">
        <v>1</v>
      </c>
      <c r="R1062" s="5">
        <v>1</v>
      </c>
      <c r="S1062" s="6"/>
      <c r="T1062" s="5">
        <v>1</v>
      </c>
      <c r="U1062" s="5">
        <v>1</v>
      </c>
      <c r="V1062" s="5">
        <v>1</v>
      </c>
      <c r="W1062" s="5">
        <v>1</v>
      </c>
      <c r="X1062" s="5">
        <v>1</v>
      </c>
      <c r="Y1062" s="5">
        <v>1</v>
      </c>
      <c r="Z1062" s="5">
        <v>1</v>
      </c>
      <c r="AA1062" s="6"/>
      <c r="AB1062" s="5">
        <v>1</v>
      </c>
      <c r="AC1062" s="5">
        <v>1</v>
      </c>
      <c r="AD1062" s="5">
        <v>1</v>
      </c>
      <c r="AE1062" s="6"/>
      <c r="AF1062" s="6"/>
      <c r="AG1062" s="6"/>
      <c r="AH1062" s="6"/>
      <c r="AI1062" s="5">
        <v>1</v>
      </c>
      <c r="AJ1062" s="6"/>
      <c r="AK1062" s="5">
        <v>1</v>
      </c>
      <c r="AL1062" s="5">
        <v>1</v>
      </c>
      <c r="AM1062" s="5">
        <v>1</v>
      </c>
    </row>
    <row r="1063" spans="1:39" s="7" customFormat="1" x14ac:dyDescent="0.25">
      <c r="A1063" s="5">
        <v>437</v>
      </c>
      <c r="B1063" s="5">
        <v>1</v>
      </c>
      <c r="C1063" s="5">
        <v>1</v>
      </c>
      <c r="D1063" s="5">
        <v>1</v>
      </c>
      <c r="E1063" s="5">
        <v>1</v>
      </c>
      <c r="F1063" s="5">
        <v>1</v>
      </c>
      <c r="G1063" s="5">
        <v>1</v>
      </c>
      <c r="H1063" s="5">
        <v>1</v>
      </c>
      <c r="I1063" s="5">
        <v>1</v>
      </c>
      <c r="J1063" s="5">
        <v>1</v>
      </c>
      <c r="K1063" s="5">
        <v>1</v>
      </c>
      <c r="L1063" s="5">
        <v>1</v>
      </c>
      <c r="M1063" s="5">
        <v>1</v>
      </c>
      <c r="N1063" s="5"/>
      <c r="O1063" s="5">
        <v>1</v>
      </c>
      <c r="P1063" s="5"/>
      <c r="Q1063" s="5">
        <v>1</v>
      </c>
      <c r="R1063" s="5">
        <v>1</v>
      </c>
      <c r="S1063" s="5">
        <v>1</v>
      </c>
      <c r="T1063" s="5">
        <v>1</v>
      </c>
      <c r="U1063" s="5">
        <v>1</v>
      </c>
      <c r="V1063" s="5">
        <v>1</v>
      </c>
      <c r="W1063" s="5">
        <v>1</v>
      </c>
      <c r="X1063" s="5">
        <v>1</v>
      </c>
      <c r="Y1063" s="5">
        <v>1</v>
      </c>
      <c r="Z1063" s="5">
        <v>1</v>
      </c>
      <c r="AA1063" s="5">
        <v>1</v>
      </c>
      <c r="AB1063" s="5">
        <v>1</v>
      </c>
      <c r="AC1063" s="5">
        <v>1</v>
      </c>
      <c r="AD1063" s="5">
        <v>1</v>
      </c>
      <c r="AE1063" s="5"/>
      <c r="AF1063" s="5">
        <v>1</v>
      </c>
      <c r="AG1063" s="5">
        <v>1</v>
      </c>
      <c r="AH1063" s="5">
        <v>1</v>
      </c>
      <c r="AI1063" s="5">
        <v>1</v>
      </c>
      <c r="AJ1063" s="5"/>
      <c r="AK1063" s="5">
        <v>1</v>
      </c>
      <c r="AL1063" s="5">
        <v>1</v>
      </c>
      <c r="AM1063" s="5">
        <v>1</v>
      </c>
    </row>
    <row r="1064" spans="1:39" s="7" customFormat="1" x14ac:dyDescent="0.25">
      <c r="A1064" s="5">
        <v>438</v>
      </c>
      <c r="B1064" s="5">
        <v>1</v>
      </c>
      <c r="C1064" s="5">
        <v>1</v>
      </c>
      <c r="D1064" s="5">
        <v>1</v>
      </c>
      <c r="E1064" s="5">
        <v>1</v>
      </c>
      <c r="F1064" s="5">
        <v>1</v>
      </c>
      <c r="G1064" s="5">
        <v>1</v>
      </c>
      <c r="H1064" s="5">
        <v>1</v>
      </c>
      <c r="I1064" s="5">
        <v>1</v>
      </c>
      <c r="J1064" s="5">
        <v>1</v>
      </c>
      <c r="K1064" s="5">
        <v>1</v>
      </c>
      <c r="L1064" s="5">
        <v>1</v>
      </c>
      <c r="M1064" s="5">
        <v>1</v>
      </c>
      <c r="N1064" s="5"/>
      <c r="O1064" s="5">
        <v>1</v>
      </c>
      <c r="P1064" s="5"/>
      <c r="Q1064" s="5">
        <v>1</v>
      </c>
      <c r="R1064" s="5">
        <v>1</v>
      </c>
      <c r="S1064" s="5">
        <v>1</v>
      </c>
      <c r="T1064" s="5">
        <v>1</v>
      </c>
      <c r="U1064" s="5">
        <v>1</v>
      </c>
      <c r="V1064" s="5">
        <v>1</v>
      </c>
      <c r="W1064" s="5">
        <v>1</v>
      </c>
      <c r="X1064" s="5">
        <v>1</v>
      </c>
      <c r="Y1064" s="5">
        <v>1</v>
      </c>
      <c r="Z1064" s="5">
        <v>1</v>
      </c>
      <c r="AA1064" s="5">
        <v>1</v>
      </c>
      <c r="AB1064" s="5">
        <v>1</v>
      </c>
      <c r="AC1064" s="5">
        <v>1</v>
      </c>
      <c r="AD1064" s="5">
        <v>1</v>
      </c>
      <c r="AE1064" s="5"/>
      <c r="AF1064" s="5">
        <v>1</v>
      </c>
      <c r="AG1064" s="5">
        <v>1</v>
      </c>
      <c r="AH1064" s="5">
        <v>1</v>
      </c>
      <c r="AI1064" s="5">
        <v>1</v>
      </c>
      <c r="AJ1064" s="5"/>
      <c r="AK1064" s="5">
        <v>1</v>
      </c>
      <c r="AL1064" s="5">
        <v>1</v>
      </c>
      <c r="AM1064" s="5">
        <v>1</v>
      </c>
    </row>
    <row r="1065" spans="1:39" s="7" customFormat="1" x14ac:dyDescent="0.25">
      <c r="A1065" s="5">
        <v>439</v>
      </c>
      <c r="B1065" s="5">
        <v>1</v>
      </c>
      <c r="C1065" s="5">
        <v>1</v>
      </c>
      <c r="D1065" s="5">
        <v>1</v>
      </c>
      <c r="E1065" s="5">
        <v>1</v>
      </c>
      <c r="F1065" s="5">
        <v>1</v>
      </c>
      <c r="G1065" s="5">
        <v>1</v>
      </c>
      <c r="H1065" s="5">
        <v>1</v>
      </c>
      <c r="I1065" s="5">
        <v>1</v>
      </c>
      <c r="J1065" s="5">
        <v>1</v>
      </c>
      <c r="K1065" s="5">
        <v>1</v>
      </c>
      <c r="L1065" s="5">
        <v>1</v>
      </c>
      <c r="M1065" s="5">
        <v>1</v>
      </c>
      <c r="N1065" s="5"/>
      <c r="O1065" s="5">
        <v>1</v>
      </c>
      <c r="P1065" s="5"/>
      <c r="Q1065" s="5">
        <v>1</v>
      </c>
      <c r="R1065" s="5">
        <v>1</v>
      </c>
      <c r="S1065" s="5">
        <v>1</v>
      </c>
      <c r="T1065" s="5">
        <v>1</v>
      </c>
      <c r="U1065" s="5">
        <v>1</v>
      </c>
      <c r="V1065" s="5">
        <v>1</v>
      </c>
      <c r="W1065" s="5">
        <v>1</v>
      </c>
      <c r="X1065" s="5">
        <v>1</v>
      </c>
      <c r="Y1065" s="5">
        <v>1</v>
      </c>
      <c r="Z1065" s="5">
        <v>1</v>
      </c>
      <c r="AA1065" s="5">
        <v>1</v>
      </c>
      <c r="AB1065" s="5">
        <v>1</v>
      </c>
      <c r="AC1065" s="5">
        <v>1</v>
      </c>
      <c r="AD1065" s="5">
        <v>1</v>
      </c>
      <c r="AE1065" s="5"/>
      <c r="AF1065" s="5">
        <v>1</v>
      </c>
      <c r="AG1065" s="5">
        <v>1</v>
      </c>
      <c r="AH1065" s="5">
        <v>1</v>
      </c>
      <c r="AI1065" s="5">
        <v>1</v>
      </c>
      <c r="AJ1065" s="5"/>
      <c r="AK1065" s="5">
        <v>1</v>
      </c>
      <c r="AL1065" s="5">
        <v>1</v>
      </c>
      <c r="AM1065" s="5">
        <v>1</v>
      </c>
    </row>
    <row r="1066" spans="1:39" s="7" customFormat="1" x14ac:dyDescent="0.25">
      <c r="A1066" s="5">
        <v>440</v>
      </c>
      <c r="B1066" s="5">
        <v>1</v>
      </c>
      <c r="C1066" s="5">
        <v>1</v>
      </c>
      <c r="D1066" s="5">
        <v>1</v>
      </c>
      <c r="E1066" s="5">
        <v>1</v>
      </c>
      <c r="F1066" s="5">
        <v>1</v>
      </c>
      <c r="G1066" s="5">
        <v>1</v>
      </c>
      <c r="H1066" s="5">
        <v>1</v>
      </c>
      <c r="I1066" s="5">
        <v>1</v>
      </c>
      <c r="J1066" s="5">
        <v>1</v>
      </c>
      <c r="K1066" s="5">
        <v>1</v>
      </c>
      <c r="L1066" s="5">
        <v>1</v>
      </c>
      <c r="M1066" s="5">
        <v>1</v>
      </c>
      <c r="N1066" s="5"/>
      <c r="O1066" s="5">
        <v>1</v>
      </c>
      <c r="P1066" s="5"/>
      <c r="Q1066" s="5">
        <v>1</v>
      </c>
      <c r="R1066" s="5">
        <v>1</v>
      </c>
      <c r="S1066" s="5">
        <v>1</v>
      </c>
      <c r="T1066" s="5">
        <v>1</v>
      </c>
      <c r="U1066" s="5">
        <v>1</v>
      </c>
      <c r="V1066" s="5">
        <v>1</v>
      </c>
      <c r="W1066" s="5">
        <v>1</v>
      </c>
      <c r="X1066" s="5">
        <v>1</v>
      </c>
      <c r="Y1066" s="5">
        <v>1</v>
      </c>
      <c r="Z1066" s="5">
        <v>1</v>
      </c>
      <c r="AA1066" s="5">
        <v>1</v>
      </c>
      <c r="AB1066" s="5">
        <v>1</v>
      </c>
      <c r="AC1066" s="5">
        <v>1</v>
      </c>
      <c r="AD1066" s="5">
        <v>1</v>
      </c>
      <c r="AE1066" s="5"/>
      <c r="AF1066" s="5">
        <v>1</v>
      </c>
      <c r="AG1066" s="5">
        <v>1</v>
      </c>
      <c r="AH1066" s="5">
        <v>1</v>
      </c>
      <c r="AI1066" s="5">
        <v>1</v>
      </c>
      <c r="AJ1066" s="5"/>
      <c r="AK1066" s="5">
        <v>1</v>
      </c>
      <c r="AL1066" s="5">
        <v>1</v>
      </c>
      <c r="AM1066" s="5">
        <v>1</v>
      </c>
    </row>
    <row r="1067" spans="1:39" s="7" customFormat="1" x14ac:dyDescent="0.25">
      <c r="A1067" s="5">
        <v>441</v>
      </c>
      <c r="B1067" s="5">
        <v>1</v>
      </c>
      <c r="C1067" s="5">
        <v>1</v>
      </c>
      <c r="D1067" s="5">
        <v>1</v>
      </c>
      <c r="E1067" s="5">
        <v>1</v>
      </c>
      <c r="F1067" s="5">
        <v>1</v>
      </c>
      <c r="G1067" s="5">
        <v>1</v>
      </c>
      <c r="H1067" s="5">
        <v>1</v>
      </c>
      <c r="I1067" s="5">
        <v>1</v>
      </c>
      <c r="J1067" s="5">
        <v>1</v>
      </c>
      <c r="K1067" s="5">
        <v>1</v>
      </c>
      <c r="L1067" s="5">
        <v>1</v>
      </c>
      <c r="M1067" s="5">
        <v>1</v>
      </c>
      <c r="N1067" s="5"/>
      <c r="O1067" s="5">
        <v>1</v>
      </c>
      <c r="P1067" s="5"/>
      <c r="Q1067" s="5">
        <v>1</v>
      </c>
      <c r="R1067" s="5">
        <v>1</v>
      </c>
      <c r="S1067" s="5">
        <v>1</v>
      </c>
      <c r="T1067" s="5">
        <v>1</v>
      </c>
      <c r="U1067" s="5">
        <v>1</v>
      </c>
      <c r="V1067" s="5">
        <v>1</v>
      </c>
      <c r="W1067" s="5">
        <v>1</v>
      </c>
      <c r="X1067" s="5">
        <v>1</v>
      </c>
      <c r="Y1067" s="5">
        <v>1</v>
      </c>
      <c r="Z1067" s="5">
        <v>1</v>
      </c>
      <c r="AA1067" s="5">
        <v>1</v>
      </c>
      <c r="AB1067" s="5">
        <v>1</v>
      </c>
      <c r="AC1067" s="5">
        <v>1</v>
      </c>
      <c r="AD1067" s="5">
        <v>1</v>
      </c>
      <c r="AE1067" s="5"/>
      <c r="AF1067" s="5">
        <v>1</v>
      </c>
      <c r="AG1067" s="5">
        <v>1</v>
      </c>
      <c r="AH1067" s="5">
        <v>1</v>
      </c>
      <c r="AI1067" s="5">
        <v>1</v>
      </c>
      <c r="AJ1067" s="5"/>
      <c r="AK1067" s="5">
        <v>1</v>
      </c>
      <c r="AL1067" s="5">
        <v>1</v>
      </c>
      <c r="AM1067" s="5">
        <v>1</v>
      </c>
    </row>
    <row r="1068" spans="1:39" s="7" customFormat="1" x14ac:dyDescent="0.25">
      <c r="A1068" s="5">
        <v>442</v>
      </c>
      <c r="B1068" s="5">
        <v>1</v>
      </c>
      <c r="C1068" s="5">
        <v>1</v>
      </c>
      <c r="D1068" s="5">
        <v>1</v>
      </c>
      <c r="E1068" s="5">
        <v>1</v>
      </c>
      <c r="F1068" s="5">
        <v>1</v>
      </c>
      <c r="G1068" s="5">
        <v>1</v>
      </c>
      <c r="H1068" s="5">
        <v>1</v>
      </c>
      <c r="I1068" s="5">
        <v>1</v>
      </c>
      <c r="J1068" s="5">
        <v>1</v>
      </c>
      <c r="K1068" s="5">
        <v>1</v>
      </c>
      <c r="L1068" s="5">
        <v>1</v>
      </c>
      <c r="M1068" s="5">
        <v>1</v>
      </c>
      <c r="N1068" s="5"/>
      <c r="O1068" s="5">
        <v>1</v>
      </c>
      <c r="P1068" s="5"/>
      <c r="Q1068" s="5">
        <v>1</v>
      </c>
      <c r="R1068" s="5">
        <v>1</v>
      </c>
      <c r="S1068" s="5">
        <v>1</v>
      </c>
      <c r="T1068" s="5">
        <v>1</v>
      </c>
      <c r="U1068" s="5">
        <v>1</v>
      </c>
      <c r="V1068" s="5">
        <v>1</v>
      </c>
      <c r="W1068" s="5">
        <v>1</v>
      </c>
      <c r="X1068" s="5">
        <v>1</v>
      </c>
      <c r="Y1068" s="5">
        <v>1</v>
      </c>
      <c r="Z1068" s="5">
        <v>1</v>
      </c>
      <c r="AA1068" s="5">
        <v>1</v>
      </c>
      <c r="AB1068" s="5">
        <v>1</v>
      </c>
      <c r="AC1068" s="5">
        <v>1</v>
      </c>
      <c r="AD1068" s="5">
        <v>1</v>
      </c>
      <c r="AE1068" s="5"/>
      <c r="AF1068" s="5">
        <v>1</v>
      </c>
      <c r="AG1068" s="5">
        <v>1</v>
      </c>
      <c r="AH1068" s="5">
        <v>1</v>
      </c>
      <c r="AI1068" s="5">
        <v>1</v>
      </c>
      <c r="AJ1068" s="5"/>
      <c r="AK1068" s="5">
        <v>1</v>
      </c>
      <c r="AL1068" s="5">
        <v>1</v>
      </c>
      <c r="AM1068" s="5">
        <v>1</v>
      </c>
    </row>
    <row r="1069" spans="1:39" s="7" customFormat="1" x14ac:dyDescent="0.25">
      <c r="A1069" s="5">
        <v>443</v>
      </c>
      <c r="B1069" s="6"/>
      <c r="C1069" s="5">
        <v>1</v>
      </c>
      <c r="D1069" s="6"/>
      <c r="E1069" s="6"/>
      <c r="F1069" s="5">
        <v>1</v>
      </c>
      <c r="G1069" s="5">
        <v>1</v>
      </c>
      <c r="H1069" s="5">
        <v>1</v>
      </c>
      <c r="I1069" s="5">
        <v>1</v>
      </c>
      <c r="J1069" s="5">
        <v>1</v>
      </c>
      <c r="K1069" s="5">
        <v>1</v>
      </c>
      <c r="L1069" s="5">
        <v>1</v>
      </c>
      <c r="M1069" s="5">
        <v>1</v>
      </c>
      <c r="N1069" s="6"/>
      <c r="O1069" s="5">
        <v>1</v>
      </c>
      <c r="P1069" s="5">
        <v>1</v>
      </c>
      <c r="Q1069" s="5">
        <v>1</v>
      </c>
      <c r="R1069" s="5">
        <v>1</v>
      </c>
      <c r="S1069" s="5">
        <v>1</v>
      </c>
      <c r="T1069" s="5">
        <v>1</v>
      </c>
      <c r="U1069" s="6"/>
      <c r="V1069" s="5">
        <v>1</v>
      </c>
      <c r="W1069" s="5">
        <v>1</v>
      </c>
      <c r="X1069" s="5">
        <v>1</v>
      </c>
      <c r="Y1069" s="6"/>
      <c r="Z1069" s="5">
        <v>1</v>
      </c>
      <c r="AA1069" s="5">
        <v>1</v>
      </c>
      <c r="AB1069" s="5">
        <v>1</v>
      </c>
      <c r="AC1069" s="5">
        <v>1</v>
      </c>
      <c r="AD1069" s="5">
        <v>1</v>
      </c>
      <c r="AE1069" s="5">
        <v>1</v>
      </c>
      <c r="AF1069" s="5">
        <v>1</v>
      </c>
      <c r="AG1069" s="6"/>
      <c r="AH1069" s="5">
        <v>1</v>
      </c>
      <c r="AI1069" s="5">
        <v>1</v>
      </c>
      <c r="AJ1069" s="5">
        <v>1</v>
      </c>
      <c r="AK1069" s="5">
        <v>1</v>
      </c>
      <c r="AL1069" s="6"/>
      <c r="AM1069" s="5">
        <v>1</v>
      </c>
    </row>
    <row r="1070" spans="1:39" s="7" customFormat="1" x14ac:dyDescent="0.25">
      <c r="A1070" s="5">
        <v>444</v>
      </c>
      <c r="B1070" s="6"/>
      <c r="C1070" s="5">
        <v>1</v>
      </c>
      <c r="D1070" s="6"/>
      <c r="E1070" s="6"/>
      <c r="F1070" s="5">
        <v>1</v>
      </c>
      <c r="G1070" s="5">
        <v>1</v>
      </c>
      <c r="H1070" s="5">
        <v>1</v>
      </c>
      <c r="I1070" s="5">
        <v>1</v>
      </c>
      <c r="J1070" s="5">
        <v>1</v>
      </c>
      <c r="K1070" s="5">
        <v>1</v>
      </c>
      <c r="L1070" s="5">
        <v>1</v>
      </c>
      <c r="M1070" s="5">
        <v>1</v>
      </c>
      <c r="N1070" s="6"/>
      <c r="O1070" s="5">
        <v>1</v>
      </c>
      <c r="P1070" s="5">
        <v>1</v>
      </c>
      <c r="Q1070" s="5">
        <v>1</v>
      </c>
      <c r="R1070" s="5">
        <v>1</v>
      </c>
      <c r="S1070" s="5">
        <v>1</v>
      </c>
      <c r="T1070" s="5">
        <v>1</v>
      </c>
      <c r="U1070" s="6"/>
      <c r="V1070" s="5">
        <v>1</v>
      </c>
      <c r="W1070" s="5">
        <v>1</v>
      </c>
      <c r="X1070" s="5">
        <v>1</v>
      </c>
      <c r="Y1070" s="6"/>
      <c r="Z1070" s="5">
        <v>1</v>
      </c>
      <c r="AA1070" s="5">
        <v>1</v>
      </c>
      <c r="AB1070" s="5">
        <v>1</v>
      </c>
      <c r="AC1070" s="5">
        <v>1</v>
      </c>
      <c r="AD1070" s="5">
        <v>1</v>
      </c>
      <c r="AE1070" s="5">
        <v>1</v>
      </c>
      <c r="AF1070" s="5">
        <v>1</v>
      </c>
      <c r="AG1070" s="6"/>
      <c r="AH1070" s="5">
        <v>1</v>
      </c>
      <c r="AI1070" s="5">
        <v>1</v>
      </c>
      <c r="AJ1070" s="5">
        <v>1</v>
      </c>
      <c r="AK1070" s="5">
        <v>1</v>
      </c>
      <c r="AL1070" s="6"/>
      <c r="AM1070" s="5">
        <v>1</v>
      </c>
    </row>
    <row r="1071" spans="1:39" s="7" customFormat="1" x14ac:dyDescent="0.25">
      <c r="A1071" s="5">
        <v>445</v>
      </c>
      <c r="B1071" s="6"/>
      <c r="C1071" s="5">
        <v>1</v>
      </c>
      <c r="D1071" s="6"/>
      <c r="E1071" s="6"/>
      <c r="F1071" s="5">
        <v>1</v>
      </c>
      <c r="G1071" s="5">
        <v>1</v>
      </c>
      <c r="H1071" s="5">
        <v>1</v>
      </c>
      <c r="I1071" s="5">
        <v>1</v>
      </c>
      <c r="J1071" s="5">
        <v>1</v>
      </c>
      <c r="K1071" s="5">
        <v>1</v>
      </c>
      <c r="L1071" s="5">
        <v>1</v>
      </c>
      <c r="M1071" s="5">
        <v>1</v>
      </c>
      <c r="N1071" s="6"/>
      <c r="O1071" s="5">
        <v>1</v>
      </c>
      <c r="P1071" s="5">
        <v>1</v>
      </c>
      <c r="Q1071" s="5">
        <v>1</v>
      </c>
      <c r="R1071" s="5">
        <v>1</v>
      </c>
      <c r="S1071" s="5">
        <v>1</v>
      </c>
      <c r="T1071" s="5">
        <v>1</v>
      </c>
      <c r="U1071" s="6"/>
      <c r="V1071" s="5">
        <v>1</v>
      </c>
      <c r="W1071" s="5">
        <v>1</v>
      </c>
      <c r="X1071" s="5">
        <v>1</v>
      </c>
      <c r="Y1071" s="6"/>
      <c r="Z1071" s="5">
        <v>1</v>
      </c>
      <c r="AA1071" s="5">
        <v>1</v>
      </c>
      <c r="AB1071" s="5">
        <v>1</v>
      </c>
      <c r="AC1071" s="5">
        <v>1</v>
      </c>
      <c r="AD1071" s="5">
        <v>1</v>
      </c>
      <c r="AE1071" s="5">
        <v>1</v>
      </c>
      <c r="AF1071" s="5">
        <v>1</v>
      </c>
      <c r="AG1071" s="6"/>
      <c r="AH1071" s="5">
        <v>1</v>
      </c>
      <c r="AI1071" s="5">
        <v>1</v>
      </c>
      <c r="AJ1071" s="5">
        <v>1</v>
      </c>
      <c r="AK1071" s="5">
        <v>1</v>
      </c>
      <c r="AL1071" s="6"/>
      <c r="AM1071" s="5">
        <v>1</v>
      </c>
    </row>
    <row r="1072" spans="1:39" s="7" customFormat="1" x14ac:dyDescent="0.25">
      <c r="A1072" s="5">
        <v>446</v>
      </c>
      <c r="B1072" s="6"/>
      <c r="C1072" s="5">
        <v>1</v>
      </c>
      <c r="D1072" s="6"/>
      <c r="E1072" s="6"/>
      <c r="F1072" s="5">
        <v>1</v>
      </c>
      <c r="G1072" s="5">
        <v>1</v>
      </c>
      <c r="H1072" s="5">
        <v>1</v>
      </c>
      <c r="I1072" s="5">
        <v>1</v>
      </c>
      <c r="J1072" s="5">
        <v>1</v>
      </c>
      <c r="K1072" s="5">
        <v>1</v>
      </c>
      <c r="L1072" s="5">
        <v>1</v>
      </c>
      <c r="M1072" s="5">
        <v>1</v>
      </c>
      <c r="N1072" s="6"/>
      <c r="O1072" s="5">
        <v>1</v>
      </c>
      <c r="P1072" s="5">
        <v>1</v>
      </c>
      <c r="Q1072" s="5">
        <v>1</v>
      </c>
      <c r="R1072" s="5">
        <v>1</v>
      </c>
      <c r="S1072" s="5">
        <v>1</v>
      </c>
      <c r="T1072" s="5">
        <v>1</v>
      </c>
      <c r="U1072" s="6"/>
      <c r="V1072" s="5">
        <v>1</v>
      </c>
      <c r="W1072" s="5">
        <v>1</v>
      </c>
      <c r="X1072" s="5">
        <v>1</v>
      </c>
      <c r="Y1072" s="6"/>
      <c r="Z1072" s="5">
        <v>1</v>
      </c>
      <c r="AA1072" s="5">
        <v>1</v>
      </c>
      <c r="AB1072" s="5">
        <v>1</v>
      </c>
      <c r="AC1072" s="5">
        <v>1</v>
      </c>
      <c r="AD1072" s="5">
        <v>1</v>
      </c>
      <c r="AE1072" s="5">
        <v>1</v>
      </c>
      <c r="AF1072" s="5">
        <v>1</v>
      </c>
      <c r="AG1072" s="6"/>
      <c r="AH1072" s="5">
        <v>1</v>
      </c>
      <c r="AI1072" s="5">
        <v>1</v>
      </c>
      <c r="AJ1072" s="5">
        <v>1</v>
      </c>
      <c r="AK1072" s="5">
        <v>1</v>
      </c>
      <c r="AL1072" s="6"/>
      <c r="AM1072" s="5">
        <v>1</v>
      </c>
    </row>
    <row r="1073" spans="1:39" s="7" customFormat="1" x14ac:dyDescent="0.25">
      <c r="A1073" s="5">
        <v>447</v>
      </c>
      <c r="B1073" s="6"/>
      <c r="C1073" s="6"/>
      <c r="D1073" s="5">
        <v>1</v>
      </c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5">
        <v>1</v>
      </c>
      <c r="AM1073" s="6"/>
    </row>
    <row r="1074" spans="1:39" s="7" customFormat="1" x14ac:dyDescent="0.25">
      <c r="A1074" s="5">
        <v>447</v>
      </c>
      <c r="B1074" s="5">
        <v>1</v>
      </c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5">
        <v>1</v>
      </c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5">
        <v>1</v>
      </c>
      <c r="Z1074" s="6"/>
      <c r="AA1074" s="6"/>
      <c r="AB1074" s="6"/>
      <c r="AC1074" s="6"/>
      <c r="AD1074" s="5">
        <v>1</v>
      </c>
      <c r="AE1074" s="6"/>
      <c r="AF1074" s="5">
        <v>1</v>
      </c>
      <c r="AG1074" s="6"/>
      <c r="AH1074" s="6"/>
      <c r="AI1074" s="6"/>
      <c r="AJ1074" s="6"/>
      <c r="AK1074" s="6"/>
      <c r="AL1074" s="6"/>
      <c r="AM1074" s="6"/>
    </row>
    <row r="1075" spans="1:39" s="7" customFormat="1" x14ac:dyDescent="0.25">
      <c r="A1075" s="5">
        <v>447</v>
      </c>
      <c r="B1075" s="6"/>
      <c r="C1075" s="6"/>
      <c r="D1075" s="6"/>
      <c r="E1075" s="6"/>
      <c r="F1075" s="5">
        <v>1</v>
      </c>
      <c r="G1075" s="6"/>
      <c r="H1075" s="6"/>
      <c r="I1075" s="6"/>
      <c r="J1075" s="6"/>
      <c r="K1075" s="5">
        <v>1</v>
      </c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</row>
    <row r="1076" spans="1:39" s="7" customFormat="1" x14ac:dyDescent="0.25">
      <c r="A1076" s="5">
        <v>447</v>
      </c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5">
        <v>1</v>
      </c>
      <c r="M1076" s="6"/>
      <c r="N1076" s="6"/>
      <c r="O1076" s="6"/>
      <c r="P1076" s="6"/>
      <c r="Q1076" s="6"/>
      <c r="R1076" s="6"/>
      <c r="S1076" s="6"/>
      <c r="T1076" s="6"/>
      <c r="U1076" s="5">
        <v>1</v>
      </c>
      <c r="V1076" s="6"/>
      <c r="W1076" s="6"/>
      <c r="X1076" s="5">
        <v>1</v>
      </c>
      <c r="Y1076" s="6"/>
      <c r="Z1076" s="6"/>
      <c r="AA1076" s="6"/>
      <c r="AB1076" s="6"/>
      <c r="AC1076" s="5">
        <v>1</v>
      </c>
      <c r="AD1076" s="6"/>
      <c r="AE1076" s="6"/>
      <c r="AF1076" s="6"/>
      <c r="AG1076" s="6"/>
      <c r="AH1076" s="6"/>
      <c r="AI1076" s="5">
        <v>1</v>
      </c>
      <c r="AJ1076" s="6"/>
      <c r="AK1076" s="6"/>
      <c r="AL1076" s="6"/>
      <c r="AM1076" s="6"/>
    </row>
    <row r="1077" spans="1:39" s="7" customFormat="1" x14ac:dyDescent="0.25">
      <c r="A1077" s="5">
        <v>447</v>
      </c>
      <c r="B1077" s="6"/>
      <c r="C1077" s="6"/>
      <c r="D1077" s="6"/>
      <c r="E1077" s="5">
        <v>1</v>
      </c>
      <c r="F1077" s="6"/>
      <c r="G1077" s="6"/>
      <c r="H1077" s="6"/>
      <c r="I1077" s="5">
        <v>1</v>
      </c>
      <c r="J1077" s="6"/>
      <c r="K1077" s="6"/>
      <c r="L1077" s="6"/>
      <c r="M1077" s="6"/>
      <c r="N1077" s="5">
        <v>1</v>
      </c>
      <c r="O1077" s="6"/>
      <c r="P1077" s="5">
        <v>1</v>
      </c>
      <c r="Q1077" s="5">
        <v>1</v>
      </c>
      <c r="R1077" s="6"/>
      <c r="S1077" s="6"/>
      <c r="T1077" s="5">
        <v>1</v>
      </c>
      <c r="U1077" s="6"/>
      <c r="V1077" s="6"/>
      <c r="W1077" s="6"/>
      <c r="X1077" s="6"/>
      <c r="Y1077" s="6"/>
      <c r="Z1077" s="6"/>
      <c r="AA1077" s="5">
        <v>1</v>
      </c>
      <c r="AB1077" s="6"/>
      <c r="AC1077" s="6"/>
      <c r="AD1077" s="6"/>
      <c r="AE1077" s="6"/>
      <c r="AF1077" s="6"/>
      <c r="AG1077" s="5">
        <v>1</v>
      </c>
      <c r="AH1077" s="5">
        <v>1</v>
      </c>
      <c r="AI1077" s="6"/>
      <c r="AJ1077" s="6"/>
      <c r="AK1077" s="5">
        <v>1</v>
      </c>
      <c r="AL1077" s="6"/>
      <c r="AM1077" s="6"/>
    </row>
    <row r="1078" spans="1:39" s="7" customFormat="1" x14ac:dyDescent="0.25">
      <c r="A1078" s="5">
        <v>447</v>
      </c>
      <c r="B1078" s="6"/>
      <c r="C1078" s="6"/>
      <c r="D1078" s="6"/>
      <c r="E1078" s="6"/>
      <c r="F1078" s="6"/>
      <c r="G1078" s="6"/>
      <c r="H1078" s="5">
        <v>1</v>
      </c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5">
        <v>1</v>
      </c>
      <c r="W1078" s="5">
        <v>1</v>
      </c>
      <c r="X1078" s="6"/>
      <c r="Y1078" s="6"/>
      <c r="Z1078" s="5">
        <v>1</v>
      </c>
      <c r="AA1078" s="6"/>
      <c r="AB1078" s="6"/>
      <c r="AC1078" s="6"/>
      <c r="AD1078" s="6"/>
      <c r="AE1078" s="5">
        <v>1</v>
      </c>
      <c r="AF1078" s="6"/>
      <c r="AG1078" s="6"/>
      <c r="AH1078" s="6"/>
      <c r="AI1078" s="6"/>
      <c r="AJ1078" s="6"/>
      <c r="AK1078" s="6"/>
      <c r="AL1078" s="6"/>
      <c r="AM1078" s="6"/>
    </row>
    <row r="1079" spans="1:39" s="7" customFormat="1" x14ac:dyDescent="0.25">
      <c r="A1079" s="5">
        <v>447</v>
      </c>
      <c r="B1079" s="6"/>
      <c r="C1079" s="5">
        <v>1</v>
      </c>
      <c r="D1079" s="6"/>
      <c r="E1079" s="6"/>
      <c r="F1079" s="6"/>
      <c r="G1079" s="5">
        <v>1</v>
      </c>
      <c r="H1079" s="6"/>
      <c r="I1079" s="6"/>
      <c r="J1079" s="5">
        <v>1</v>
      </c>
      <c r="K1079" s="6"/>
      <c r="L1079" s="6"/>
      <c r="M1079" s="6"/>
      <c r="N1079" s="6"/>
      <c r="O1079" s="5">
        <v>1</v>
      </c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5">
        <v>1</v>
      </c>
    </row>
    <row r="1080" spans="1:39" s="7" customFormat="1" x14ac:dyDescent="0.25">
      <c r="A1080" s="5">
        <v>447</v>
      </c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5">
        <v>1</v>
      </c>
      <c r="S1080" s="5">
        <v>1</v>
      </c>
      <c r="T1080" s="6"/>
      <c r="U1080" s="6"/>
      <c r="V1080" s="6"/>
      <c r="W1080" s="6"/>
      <c r="X1080" s="6"/>
      <c r="Y1080" s="6"/>
      <c r="Z1080" s="6"/>
      <c r="AA1080" s="6"/>
      <c r="AB1080" s="5">
        <v>1</v>
      </c>
      <c r="AC1080" s="6"/>
      <c r="AD1080" s="6"/>
      <c r="AE1080" s="6"/>
      <c r="AF1080" s="6"/>
      <c r="AG1080" s="6"/>
      <c r="AH1080" s="6"/>
      <c r="AI1080" s="6"/>
      <c r="AJ1080" s="5">
        <v>1</v>
      </c>
      <c r="AK1080" s="6"/>
      <c r="AL1080" s="6"/>
      <c r="AM1080" s="6"/>
    </row>
    <row r="1081" spans="1:39" s="7" customFormat="1" x14ac:dyDescent="0.25">
      <c r="A1081" s="5">
        <v>448</v>
      </c>
      <c r="B1081" s="5">
        <v>1</v>
      </c>
      <c r="C1081" s="5">
        <v>1</v>
      </c>
      <c r="D1081" s="5">
        <v>1</v>
      </c>
      <c r="E1081" s="5">
        <v>1</v>
      </c>
      <c r="F1081" s="5">
        <v>1</v>
      </c>
      <c r="G1081" s="5">
        <v>1</v>
      </c>
      <c r="H1081" s="5">
        <v>1</v>
      </c>
      <c r="I1081" s="5">
        <v>1</v>
      </c>
      <c r="J1081" s="5">
        <v>1</v>
      </c>
      <c r="K1081" s="5">
        <v>1</v>
      </c>
      <c r="L1081" s="5">
        <v>1</v>
      </c>
      <c r="M1081" s="5">
        <v>1</v>
      </c>
      <c r="N1081" s="5">
        <v>1</v>
      </c>
      <c r="O1081" s="5">
        <v>1</v>
      </c>
      <c r="P1081" s="5">
        <v>1</v>
      </c>
      <c r="Q1081" s="5">
        <v>1</v>
      </c>
      <c r="R1081" s="5">
        <v>1</v>
      </c>
      <c r="S1081" s="5">
        <v>1</v>
      </c>
      <c r="T1081" s="5">
        <v>1</v>
      </c>
      <c r="U1081" s="5">
        <v>1</v>
      </c>
      <c r="V1081" s="5">
        <v>1</v>
      </c>
      <c r="W1081" s="5">
        <v>1</v>
      </c>
      <c r="X1081" s="5">
        <v>1</v>
      </c>
      <c r="Y1081" s="5">
        <v>1</v>
      </c>
      <c r="Z1081" s="5">
        <v>1</v>
      </c>
      <c r="AA1081" s="5">
        <v>1</v>
      </c>
      <c r="AB1081" s="5">
        <v>1</v>
      </c>
      <c r="AC1081" s="5">
        <v>1</v>
      </c>
      <c r="AD1081" s="5">
        <v>1</v>
      </c>
      <c r="AE1081" s="5">
        <v>1</v>
      </c>
      <c r="AF1081" s="5">
        <v>1</v>
      </c>
      <c r="AG1081" s="5">
        <v>1</v>
      </c>
      <c r="AH1081" s="5">
        <v>1</v>
      </c>
      <c r="AI1081" s="5">
        <v>1</v>
      </c>
      <c r="AJ1081" s="5">
        <v>1</v>
      </c>
      <c r="AK1081" s="5">
        <v>1</v>
      </c>
      <c r="AL1081" s="5">
        <v>1</v>
      </c>
      <c r="AM1081" s="5">
        <v>1</v>
      </c>
    </row>
    <row r="1082" spans="1:39" s="7" customFormat="1" x14ac:dyDescent="0.25">
      <c r="A1082" s="5">
        <v>449</v>
      </c>
      <c r="B1082" s="5">
        <v>1</v>
      </c>
      <c r="C1082" s="5">
        <v>1</v>
      </c>
      <c r="D1082" s="5">
        <v>1</v>
      </c>
      <c r="E1082" s="5">
        <v>1</v>
      </c>
      <c r="F1082" s="5">
        <v>1</v>
      </c>
      <c r="G1082" s="5">
        <v>1</v>
      </c>
      <c r="H1082" s="5">
        <v>1</v>
      </c>
      <c r="I1082" s="5">
        <v>1</v>
      </c>
      <c r="J1082" s="5">
        <v>1</v>
      </c>
      <c r="K1082" s="5">
        <v>1</v>
      </c>
      <c r="L1082" s="5">
        <v>1</v>
      </c>
      <c r="M1082" s="5">
        <v>1</v>
      </c>
      <c r="N1082" s="5">
        <v>1</v>
      </c>
      <c r="O1082" s="5">
        <v>1</v>
      </c>
      <c r="P1082" s="5">
        <v>1</v>
      </c>
      <c r="Q1082" s="5">
        <v>1</v>
      </c>
      <c r="R1082" s="5">
        <v>1</v>
      </c>
      <c r="S1082" s="5">
        <v>1</v>
      </c>
      <c r="T1082" s="5">
        <v>1</v>
      </c>
      <c r="U1082" s="5">
        <v>1</v>
      </c>
      <c r="V1082" s="5">
        <v>1</v>
      </c>
      <c r="W1082" s="5">
        <v>1</v>
      </c>
      <c r="X1082" s="5">
        <v>1</v>
      </c>
      <c r="Y1082" s="5">
        <v>1</v>
      </c>
      <c r="Z1082" s="5">
        <v>1</v>
      </c>
      <c r="AA1082" s="5">
        <v>1</v>
      </c>
      <c r="AB1082" s="5">
        <v>1</v>
      </c>
      <c r="AC1082" s="5">
        <v>1</v>
      </c>
      <c r="AD1082" s="5">
        <v>1</v>
      </c>
      <c r="AE1082" s="5">
        <v>1</v>
      </c>
      <c r="AF1082" s="5">
        <v>1</v>
      </c>
      <c r="AG1082" s="5">
        <v>1</v>
      </c>
      <c r="AH1082" s="5">
        <v>1</v>
      </c>
      <c r="AI1082" s="5">
        <v>1</v>
      </c>
      <c r="AJ1082" s="5">
        <v>1</v>
      </c>
      <c r="AK1082" s="5">
        <v>1</v>
      </c>
      <c r="AL1082" s="5">
        <v>1</v>
      </c>
      <c r="AM1082" s="5">
        <v>1</v>
      </c>
    </row>
    <row r="1083" spans="1:39" s="7" customFormat="1" x14ac:dyDescent="0.25">
      <c r="A1083" s="5">
        <v>450</v>
      </c>
      <c r="B1083" s="5">
        <v>1</v>
      </c>
      <c r="C1083" s="5">
        <v>1</v>
      </c>
      <c r="D1083" s="5">
        <v>1</v>
      </c>
      <c r="E1083" s="5">
        <v>1</v>
      </c>
      <c r="F1083" s="5">
        <v>1</v>
      </c>
      <c r="G1083" s="5">
        <v>1</v>
      </c>
      <c r="H1083" s="5">
        <v>1</v>
      </c>
      <c r="I1083" s="5">
        <v>1</v>
      </c>
      <c r="J1083" s="5">
        <v>1</v>
      </c>
      <c r="K1083" s="5">
        <v>1</v>
      </c>
      <c r="L1083" s="5">
        <v>1</v>
      </c>
      <c r="M1083" s="5">
        <v>1</v>
      </c>
      <c r="N1083" s="5">
        <v>1</v>
      </c>
      <c r="O1083" s="5">
        <v>1</v>
      </c>
      <c r="P1083" s="5">
        <v>1</v>
      </c>
      <c r="Q1083" s="5">
        <v>1</v>
      </c>
      <c r="R1083" s="5">
        <v>1</v>
      </c>
      <c r="S1083" s="5">
        <v>1</v>
      </c>
      <c r="T1083" s="5">
        <v>1</v>
      </c>
      <c r="U1083" s="5">
        <v>1</v>
      </c>
      <c r="V1083" s="5">
        <v>1</v>
      </c>
      <c r="W1083" s="5">
        <v>1</v>
      </c>
      <c r="X1083" s="5">
        <v>1</v>
      </c>
      <c r="Y1083" s="5">
        <v>1</v>
      </c>
      <c r="Z1083" s="5">
        <v>1</v>
      </c>
      <c r="AA1083" s="5">
        <v>1</v>
      </c>
      <c r="AB1083" s="5">
        <v>1</v>
      </c>
      <c r="AC1083" s="5">
        <v>1</v>
      </c>
      <c r="AD1083" s="5">
        <v>1</v>
      </c>
      <c r="AE1083" s="5">
        <v>1</v>
      </c>
      <c r="AF1083" s="5">
        <v>1</v>
      </c>
      <c r="AG1083" s="5">
        <v>1</v>
      </c>
      <c r="AH1083" s="5">
        <v>1</v>
      </c>
      <c r="AI1083" s="5">
        <v>1</v>
      </c>
      <c r="AJ1083" s="5">
        <v>1</v>
      </c>
      <c r="AK1083" s="5">
        <v>1</v>
      </c>
      <c r="AL1083" s="5">
        <v>1</v>
      </c>
      <c r="AM1083" s="5">
        <v>1</v>
      </c>
    </row>
    <row r="1084" spans="1:39" s="7" customFormat="1" x14ac:dyDescent="0.25">
      <c r="A1084" s="5">
        <v>451</v>
      </c>
      <c r="B1084" s="5">
        <v>1</v>
      </c>
      <c r="C1084" s="5">
        <v>1</v>
      </c>
      <c r="D1084" s="5">
        <v>1</v>
      </c>
      <c r="E1084" s="5">
        <v>1</v>
      </c>
      <c r="F1084" s="5">
        <v>1</v>
      </c>
      <c r="G1084" s="5">
        <v>1</v>
      </c>
      <c r="H1084" s="5">
        <v>1</v>
      </c>
      <c r="I1084" s="5">
        <v>1</v>
      </c>
      <c r="J1084" s="5">
        <v>1</v>
      </c>
      <c r="K1084" s="5">
        <v>1</v>
      </c>
      <c r="L1084" s="5">
        <v>1</v>
      </c>
      <c r="M1084" s="5">
        <v>1</v>
      </c>
      <c r="N1084" s="5">
        <v>1</v>
      </c>
      <c r="O1084" s="5">
        <v>1</v>
      </c>
      <c r="P1084" s="5">
        <v>1</v>
      </c>
      <c r="Q1084" s="5">
        <v>1</v>
      </c>
      <c r="R1084" s="5">
        <v>1</v>
      </c>
      <c r="S1084" s="5">
        <v>1</v>
      </c>
      <c r="T1084" s="5">
        <v>1</v>
      </c>
      <c r="U1084" s="5">
        <v>1</v>
      </c>
      <c r="V1084" s="5">
        <v>1</v>
      </c>
      <c r="W1084" s="5">
        <v>1</v>
      </c>
      <c r="X1084" s="5">
        <v>1</v>
      </c>
      <c r="Y1084" s="5">
        <v>1</v>
      </c>
      <c r="Z1084" s="5">
        <v>1</v>
      </c>
      <c r="AA1084" s="5">
        <v>1</v>
      </c>
      <c r="AB1084" s="5">
        <v>1</v>
      </c>
      <c r="AC1084" s="5">
        <v>1</v>
      </c>
      <c r="AD1084" s="5">
        <v>1</v>
      </c>
      <c r="AE1084" s="5">
        <v>1</v>
      </c>
      <c r="AF1084" s="5">
        <v>1</v>
      </c>
      <c r="AG1084" s="5">
        <v>1</v>
      </c>
      <c r="AH1084" s="5">
        <v>1</v>
      </c>
      <c r="AI1084" s="5">
        <v>1</v>
      </c>
      <c r="AJ1084" s="5">
        <v>1</v>
      </c>
      <c r="AK1084" s="5">
        <v>1</v>
      </c>
      <c r="AL1084" s="5">
        <v>1</v>
      </c>
      <c r="AM1084" s="5">
        <v>1</v>
      </c>
    </row>
    <row r="1085" spans="1:39" s="7" customFormat="1" x14ac:dyDescent="0.25">
      <c r="A1085" s="5">
        <v>454</v>
      </c>
      <c r="B1085" s="9">
        <v>1</v>
      </c>
      <c r="C1085" s="8">
        <v>1</v>
      </c>
      <c r="D1085" s="9">
        <v>1</v>
      </c>
      <c r="E1085" s="9">
        <v>1</v>
      </c>
      <c r="F1085" s="8">
        <v>1</v>
      </c>
      <c r="G1085" s="8">
        <v>1</v>
      </c>
      <c r="H1085" s="8">
        <v>1</v>
      </c>
      <c r="I1085" s="9">
        <v>1</v>
      </c>
      <c r="J1085" s="8">
        <v>1</v>
      </c>
      <c r="K1085" s="9">
        <v>1</v>
      </c>
      <c r="L1085" s="9">
        <v>1</v>
      </c>
      <c r="M1085" s="9">
        <v>1</v>
      </c>
      <c r="N1085" s="9">
        <v>1</v>
      </c>
      <c r="O1085" s="8">
        <v>1</v>
      </c>
      <c r="P1085" s="9">
        <v>1</v>
      </c>
      <c r="Q1085" s="11"/>
      <c r="R1085" s="9">
        <v>1</v>
      </c>
      <c r="S1085" s="9">
        <v>1</v>
      </c>
      <c r="T1085" s="9">
        <v>1</v>
      </c>
      <c r="U1085" s="9">
        <v>1</v>
      </c>
      <c r="V1085" s="8">
        <v>1</v>
      </c>
      <c r="W1085" s="9">
        <v>1</v>
      </c>
      <c r="X1085" s="9">
        <v>1</v>
      </c>
      <c r="Y1085" s="9">
        <v>1</v>
      </c>
      <c r="Z1085" s="8">
        <v>1</v>
      </c>
      <c r="AA1085" s="8">
        <v>1</v>
      </c>
      <c r="AB1085" s="8">
        <v>1</v>
      </c>
      <c r="AC1085" s="9">
        <v>1</v>
      </c>
      <c r="AD1085" s="9">
        <v>1</v>
      </c>
      <c r="AE1085" s="9">
        <v>1</v>
      </c>
      <c r="AF1085" s="9">
        <v>1</v>
      </c>
      <c r="AG1085" s="9">
        <v>1</v>
      </c>
      <c r="AH1085" s="9">
        <v>1</v>
      </c>
      <c r="AI1085" s="9">
        <v>1</v>
      </c>
      <c r="AJ1085" s="9">
        <v>1</v>
      </c>
      <c r="AK1085" s="9">
        <v>1</v>
      </c>
      <c r="AL1085" s="9">
        <v>1</v>
      </c>
      <c r="AM1085" s="9">
        <v>1</v>
      </c>
    </row>
    <row r="1086" spans="1:39" s="7" customFormat="1" x14ac:dyDescent="0.25">
      <c r="A1086" s="5">
        <v>455</v>
      </c>
      <c r="B1086" s="6"/>
      <c r="C1086" s="5">
        <v>1</v>
      </c>
      <c r="D1086" s="6"/>
      <c r="E1086" s="6"/>
      <c r="F1086" s="5"/>
      <c r="G1086" s="5">
        <v>1</v>
      </c>
      <c r="H1086" s="5">
        <v>1</v>
      </c>
      <c r="I1086" s="5">
        <v>1</v>
      </c>
      <c r="J1086" s="5">
        <v>1</v>
      </c>
      <c r="K1086" s="5"/>
      <c r="L1086" s="5"/>
      <c r="M1086" s="5"/>
      <c r="N1086" s="6"/>
      <c r="O1086" s="5">
        <v>1</v>
      </c>
      <c r="P1086" s="5">
        <v>1</v>
      </c>
      <c r="Q1086" s="5"/>
      <c r="R1086" s="5">
        <v>1</v>
      </c>
      <c r="S1086" s="5">
        <v>1</v>
      </c>
      <c r="T1086" s="5"/>
      <c r="U1086" s="6"/>
      <c r="V1086" s="5">
        <v>1</v>
      </c>
      <c r="W1086" s="5">
        <v>1</v>
      </c>
      <c r="X1086" s="5"/>
      <c r="Y1086" s="6"/>
      <c r="Z1086" s="5">
        <v>1</v>
      </c>
      <c r="AA1086" s="5"/>
      <c r="AB1086" s="5">
        <v>1</v>
      </c>
      <c r="AC1086" s="5">
        <v>1</v>
      </c>
      <c r="AD1086" s="5"/>
      <c r="AE1086" s="5">
        <v>1</v>
      </c>
      <c r="AF1086" s="5"/>
      <c r="AG1086" s="6"/>
      <c r="AH1086" s="5">
        <v>1</v>
      </c>
      <c r="AI1086" s="5"/>
      <c r="AJ1086" s="5">
        <v>1</v>
      </c>
      <c r="AK1086" s="5">
        <v>1</v>
      </c>
      <c r="AL1086" s="6"/>
      <c r="AM1086" s="5">
        <v>1</v>
      </c>
    </row>
    <row r="1087" spans="1:39" s="7" customFormat="1" x14ac:dyDescent="0.25">
      <c r="A1087" s="5">
        <v>455</v>
      </c>
      <c r="B1087" s="6"/>
      <c r="C1087" s="6"/>
      <c r="D1087" s="6"/>
      <c r="E1087" s="5">
        <v>1</v>
      </c>
      <c r="F1087" s="6"/>
      <c r="G1087" s="6"/>
      <c r="H1087" s="6"/>
      <c r="I1087" s="6"/>
      <c r="J1087" s="6"/>
      <c r="K1087" s="6"/>
      <c r="L1087" s="6"/>
      <c r="M1087" s="6"/>
      <c r="N1087" s="5">
        <v>1</v>
      </c>
      <c r="O1087" s="6"/>
      <c r="P1087" s="6"/>
      <c r="Q1087" s="6"/>
      <c r="R1087" s="6"/>
      <c r="S1087" s="6"/>
      <c r="T1087" s="6"/>
      <c r="U1087" s="5">
        <v>1</v>
      </c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5">
        <v>1</v>
      </c>
      <c r="AH1087" s="6"/>
      <c r="AI1087" s="6"/>
      <c r="AJ1087" s="6"/>
      <c r="AK1087" s="6"/>
      <c r="AL1087" s="6"/>
      <c r="AM1087" s="6"/>
    </row>
    <row r="1088" spans="1:39" s="7" customFormat="1" x14ac:dyDescent="0.25">
      <c r="A1088" s="5">
        <v>455</v>
      </c>
      <c r="B1088" s="5">
        <v>1</v>
      </c>
      <c r="C1088" s="6"/>
      <c r="D1088" s="5">
        <v>1</v>
      </c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5">
        <v>1</v>
      </c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5">
        <v>1</v>
      </c>
      <c r="AM1088" s="6"/>
    </row>
    <row r="1089" spans="1:39" s="7" customFormat="1" x14ac:dyDescent="0.25">
      <c r="A1089" s="5">
        <v>456</v>
      </c>
      <c r="B1089" s="6"/>
      <c r="C1089" s="5">
        <v>1</v>
      </c>
      <c r="D1089" s="6"/>
      <c r="E1089" s="6"/>
      <c r="F1089" s="5"/>
      <c r="G1089" s="5">
        <v>1</v>
      </c>
      <c r="H1089" s="5">
        <v>1</v>
      </c>
      <c r="I1089" s="5">
        <v>1</v>
      </c>
      <c r="J1089" s="5">
        <v>1</v>
      </c>
      <c r="K1089" s="5"/>
      <c r="L1089" s="5"/>
      <c r="M1089" s="5"/>
      <c r="N1089" s="6"/>
      <c r="O1089" s="5">
        <v>1</v>
      </c>
      <c r="P1089" s="5">
        <v>1</v>
      </c>
      <c r="Q1089" s="5"/>
      <c r="R1089" s="5">
        <v>1</v>
      </c>
      <c r="S1089" s="5">
        <v>1</v>
      </c>
      <c r="T1089" s="5"/>
      <c r="U1089" s="6"/>
      <c r="V1089" s="5">
        <v>1</v>
      </c>
      <c r="W1089" s="5">
        <v>1</v>
      </c>
      <c r="X1089" s="5"/>
      <c r="Y1089" s="6"/>
      <c r="Z1089" s="5">
        <v>1</v>
      </c>
      <c r="AA1089" s="5"/>
      <c r="AB1089" s="5">
        <v>1</v>
      </c>
      <c r="AC1089" s="5">
        <v>1</v>
      </c>
      <c r="AD1089" s="5"/>
      <c r="AE1089" s="5">
        <v>1</v>
      </c>
      <c r="AF1089" s="5"/>
      <c r="AG1089" s="6"/>
      <c r="AH1089" s="5">
        <v>1</v>
      </c>
      <c r="AI1089" s="5"/>
      <c r="AJ1089" s="5">
        <v>1</v>
      </c>
      <c r="AK1089" s="5">
        <v>1</v>
      </c>
      <c r="AL1089" s="6"/>
      <c r="AM1089" s="5">
        <v>1</v>
      </c>
    </row>
    <row r="1090" spans="1:39" s="7" customFormat="1" x14ac:dyDescent="0.25">
      <c r="A1090" s="5">
        <v>456</v>
      </c>
      <c r="B1090" s="6"/>
      <c r="C1090" s="6"/>
      <c r="D1090" s="6"/>
      <c r="E1090" s="5">
        <v>1</v>
      </c>
      <c r="F1090" s="6"/>
      <c r="G1090" s="6"/>
      <c r="H1090" s="6"/>
      <c r="I1090" s="6"/>
      <c r="J1090" s="6"/>
      <c r="K1090" s="6"/>
      <c r="L1090" s="6"/>
      <c r="M1090" s="6"/>
      <c r="N1090" s="5">
        <v>1</v>
      </c>
      <c r="O1090" s="6"/>
      <c r="P1090" s="6"/>
      <c r="Q1090" s="6"/>
      <c r="R1090" s="6"/>
      <c r="S1090" s="6"/>
      <c r="T1090" s="6"/>
      <c r="U1090" s="5">
        <v>1</v>
      </c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5">
        <v>1</v>
      </c>
      <c r="AH1090" s="6"/>
      <c r="AI1090" s="6"/>
      <c r="AJ1090" s="6"/>
      <c r="AK1090" s="6"/>
      <c r="AL1090" s="6"/>
      <c r="AM1090" s="6"/>
    </row>
    <row r="1091" spans="1:39" s="7" customFormat="1" x14ac:dyDescent="0.25">
      <c r="A1091" s="5">
        <v>456</v>
      </c>
      <c r="B1091" s="5">
        <v>1</v>
      </c>
      <c r="C1091" s="6"/>
      <c r="D1091" s="5">
        <v>1</v>
      </c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5">
        <v>1</v>
      </c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5">
        <v>1</v>
      </c>
      <c r="AM1091" s="6"/>
    </row>
    <row r="1092" spans="1:39" s="7" customFormat="1" x14ac:dyDescent="0.25">
      <c r="A1092" s="5">
        <v>457</v>
      </c>
      <c r="B1092" s="6"/>
      <c r="C1092" s="5">
        <v>1</v>
      </c>
      <c r="D1092" s="6"/>
      <c r="E1092" s="6"/>
      <c r="F1092" s="5">
        <v>1</v>
      </c>
      <c r="G1092" s="5">
        <v>1</v>
      </c>
      <c r="H1092" s="5">
        <v>1</v>
      </c>
      <c r="I1092" s="5">
        <v>1</v>
      </c>
      <c r="J1092" s="5">
        <v>1</v>
      </c>
      <c r="K1092" s="5">
        <v>1</v>
      </c>
      <c r="L1092" s="5">
        <v>1</v>
      </c>
      <c r="M1092" s="5">
        <v>1</v>
      </c>
      <c r="N1092" s="6"/>
      <c r="O1092" s="5">
        <v>1</v>
      </c>
      <c r="P1092" s="5">
        <v>1</v>
      </c>
      <c r="Q1092" s="5">
        <v>1</v>
      </c>
      <c r="R1092" s="5">
        <v>1</v>
      </c>
      <c r="S1092" s="5">
        <v>1</v>
      </c>
      <c r="T1092" s="5">
        <v>1</v>
      </c>
      <c r="U1092" s="6"/>
      <c r="V1092" s="5">
        <v>1</v>
      </c>
      <c r="W1092" s="5">
        <v>1</v>
      </c>
      <c r="X1092" s="5">
        <v>1</v>
      </c>
      <c r="Y1092" s="6"/>
      <c r="Z1092" s="5">
        <v>1</v>
      </c>
      <c r="AA1092" s="5">
        <v>1</v>
      </c>
      <c r="AB1092" s="5">
        <v>1</v>
      </c>
      <c r="AC1092" s="5">
        <v>1</v>
      </c>
      <c r="AD1092" s="5">
        <v>1</v>
      </c>
      <c r="AE1092" s="5">
        <v>1</v>
      </c>
      <c r="AF1092" s="5">
        <v>1</v>
      </c>
      <c r="AG1092" s="6"/>
      <c r="AH1092" s="5">
        <v>1</v>
      </c>
      <c r="AI1092" s="5">
        <v>1</v>
      </c>
      <c r="AJ1092" s="5">
        <v>1</v>
      </c>
      <c r="AK1092" s="5">
        <v>1</v>
      </c>
      <c r="AL1092" s="6"/>
      <c r="AM1092" s="5">
        <v>1</v>
      </c>
    </row>
    <row r="1093" spans="1:39" s="7" customFormat="1" x14ac:dyDescent="0.25">
      <c r="A1093" s="5">
        <v>457</v>
      </c>
      <c r="B1093" s="5">
        <v>1</v>
      </c>
      <c r="C1093" s="6"/>
      <c r="D1093" s="5">
        <v>1</v>
      </c>
      <c r="E1093" s="5">
        <v>1</v>
      </c>
      <c r="F1093" s="6"/>
      <c r="G1093" s="6"/>
      <c r="H1093" s="6"/>
      <c r="I1093" s="6"/>
      <c r="J1093" s="6"/>
      <c r="K1093" s="6"/>
      <c r="L1093" s="6"/>
      <c r="M1093" s="6"/>
      <c r="N1093" s="5">
        <v>1</v>
      </c>
      <c r="O1093" s="6"/>
      <c r="P1093" s="6"/>
      <c r="Q1093" s="6"/>
      <c r="R1093" s="6"/>
      <c r="S1093" s="6"/>
      <c r="T1093" s="6"/>
      <c r="U1093" s="5">
        <v>1</v>
      </c>
      <c r="V1093" s="6"/>
      <c r="W1093" s="6"/>
      <c r="X1093" s="6"/>
      <c r="Y1093" s="5">
        <v>1</v>
      </c>
      <c r="Z1093" s="6"/>
      <c r="AA1093" s="6"/>
      <c r="AB1093" s="6"/>
      <c r="AC1093" s="6"/>
      <c r="AD1093" s="6"/>
      <c r="AE1093" s="6"/>
      <c r="AF1093" s="6"/>
      <c r="AG1093" s="5">
        <v>1</v>
      </c>
      <c r="AH1093" s="6"/>
      <c r="AI1093" s="6"/>
      <c r="AJ1093" s="6"/>
      <c r="AK1093" s="6"/>
      <c r="AL1093" s="5">
        <v>1</v>
      </c>
      <c r="AM1093" s="6"/>
    </row>
    <row r="1094" spans="1:39" s="7" customFormat="1" x14ac:dyDescent="0.25">
      <c r="A1094" s="5">
        <v>458</v>
      </c>
      <c r="B1094" s="5">
        <v>1</v>
      </c>
      <c r="C1094" s="6"/>
      <c r="D1094" s="5">
        <v>1</v>
      </c>
      <c r="E1094" s="5">
        <v>1</v>
      </c>
      <c r="F1094" s="5">
        <v>1</v>
      </c>
      <c r="G1094" s="6"/>
      <c r="H1094" s="5">
        <v>1</v>
      </c>
      <c r="I1094" s="5">
        <v>1</v>
      </c>
      <c r="J1094" s="6"/>
      <c r="K1094" s="5">
        <v>1</v>
      </c>
      <c r="L1094" s="6"/>
      <c r="M1094" s="5">
        <v>1</v>
      </c>
      <c r="N1094" s="5">
        <v>1</v>
      </c>
      <c r="O1094" s="6"/>
      <c r="P1094" s="5">
        <v>1</v>
      </c>
      <c r="Q1094" s="6"/>
      <c r="R1094" s="6"/>
      <c r="S1094" s="6"/>
      <c r="T1094" s="6"/>
      <c r="U1094" s="5">
        <v>1</v>
      </c>
      <c r="V1094" s="6"/>
      <c r="W1094" s="5">
        <v>1</v>
      </c>
      <c r="X1094" s="6"/>
      <c r="Y1094" s="5">
        <v>1</v>
      </c>
      <c r="Z1094" s="6"/>
      <c r="AA1094" s="6"/>
      <c r="AB1094" s="6"/>
      <c r="AC1094" s="5">
        <v>1</v>
      </c>
      <c r="AD1094" s="5">
        <v>1</v>
      </c>
      <c r="AE1094" s="5">
        <v>1</v>
      </c>
      <c r="AF1094" s="5">
        <v>1</v>
      </c>
      <c r="AG1094" s="5">
        <v>1</v>
      </c>
      <c r="AH1094" s="5">
        <v>1</v>
      </c>
      <c r="AI1094" s="6"/>
      <c r="AJ1094" s="6"/>
      <c r="AK1094" s="5">
        <v>1</v>
      </c>
      <c r="AL1094" s="5">
        <v>1</v>
      </c>
      <c r="AM1094" s="6"/>
    </row>
    <row r="1095" spans="1:39" s="7" customFormat="1" x14ac:dyDescent="0.25">
      <c r="A1095" s="5">
        <v>458</v>
      </c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5">
        <v>1</v>
      </c>
      <c r="M1095" s="6"/>
      <c r="N1095" s="6"/>
      <c r="O1095" s="6"/>
      <c r="P1095" s="6"/>
      <c r="Q1095" s="5">
        <v>1</v>
      </c>
      <c r="R1095" s="6"/>
      <c r="S1095" s="6"/>
      <c r="T1095" s="5">
        <v>1</v>
      </c>
      <c r="U1095" s="6"/>
      <c r="V1095" s="6"/>
      <c r="W1095" s="6"/>
      <c r="X1095" s="5">
        <v>1</v>
      </c>
      <c r="Y1095" s="6"/>
      <c r="Z1095" s="6"/>
      <c r="AA1095" s="5">
        <v>1</v>
      </c>
      <c r="AB1095" s="6"/>
      <c r="AC1095" s="6"/>
      <c r="AD1095" s="6"/>
      <c r="AE1095" s="6"/>
      <c r="AF1095" s="6"/>
      <c r="AG1095" s="6"/>
      <c r="AH1095" s="6"/>
      <c r="AI1095" s="5">
        <v>1</v>
      </c>
      <c r="AJ1095" s="6"/>
      <c r="AK1095" s="6"/>
      <c r="AL1095" s="6"/>
      <c r="AM1095" s="6"/>
    </row>
    <row r="1096" spans="1:39" s="7" customFormat="1" x14ac:dyDescent="0.25">
      <c r="A1096" s="5">
        <v>458</v>
      </c>
      <c r="B1096" s="6"/>
      <c r="C1096" s="5">
        <v>1</v>
      </c>
      <c r="D1096" s="6"/>
      <c r="E1096" s="6"/>
      <c r="F1096" s="6"/>
      <c r="G1096" s="5">
        <v>1</v>
      </c>
      <c r="H1096" s="6"/>
      <c r="I1096" s="6"/>
      <c r="J1096" s="5">
        <v>1</v>
      </c>
      <c r="K1096" s="6"/>
      <c r="L1096" s="6"/>
      <c r="M1096" s="6"/>
      <c r="N1096" s="6"/>
      <c r="O1096" s="5">
        <v>1</v>
      </c>
      <c r="P1096" s="6"/>
      <c r="Q1096" s="6"/>
      <c r="R1096" s="5">
        <v>1</v>
      </c>
      <c r="S1096" s="5">
        <v>1</v>
      </c>
      <c r="T1096" s="6"/>
      <c r="U1096" s="6"/>
      <c r="V1096" s="5">
        <v>1</v>
      </c>
      <c r="W1096" s="6"/>
      <c r="X1096" s="6"/>
      <c r="Y1096" s="6"/>
      <c r="Z1096" s="5">
        <v>1</v>
      </c>
      <c r="AA1096" s="6"/>
      <c r="AB1096" s="5">
        <v>1</v>
      </c>
      <c r="AC1096" s="6"/>
      <c r="AD1096" s="6"/>
      <c r="AE1096" s="6"/>
      <c r="AF1096" s="6"/>
      <c r="AG1096" s="6"/>
      <c r="AH1096" s="6"/>
      <c r="AI1096" s="6"/>
      <c r="AJ1096" s="5">
        <v>1</v>
      </c>
      <c r="AK1096" s="6"/>
      <c r="AL1096" s="6"/>
      <c r="AM1096" s="5">
        <v>1</v>
      </c>
    </row>
    <row r="1097" spans="1:39" s="7" customFormat="1" x14ac:dyDescent="0.25">
      <c r="A1097" s="5">
        <v>459</v>
      </c>
      <c r="B1097" s="5">
        <v>1</v>
      </c>
      <c r="C1097" s="5">
        <v>1</v>
      </c>
      <c r="D1097" s="5">
        <v>1</v>
      </c>
      <c r="E1097" s="5">
        <v>1</v>
      </c>
      <c r="F1097" s="5">
        <v>1</v>
      </c>
      <c r="G1097" s="5">
        <v>1</v>
      </c>
      <c r="H1097" s="5">
        <v>1</v>
      </c>
      <c r="I1097" s="5">
        <v>1</v>
      </c>
      <c r="J1097" s="5">
        <v>1</v>
      </c>
      <c r="K1097" s="5">
        <v>1</v>
      </c>
      <c r="L1097" s="5">
        <v>1</v>
      </c>
      <c r="M1097" s="5">
        <v>1</v>
      </c>
      <c r="N1097" s="6"/>
      <c r="O1097" s="5">
        <v>1</v>
      </c>
      <c r="P1097" s="6"/>
      <c r="Q1097" s="5">
        <v>1</v>
      </c>
      <c r="R1097" s="5">
        <v>1</v>
      </c>
      <c r="S1097" s="5">
        <v>1</v>
      </c>
      <c r="T1097" s="5">
        <v>1</v>
      </c>
      <c r="U1097" s="5">
        <v>1</v>
      </c>
      <c r="V1097" s="5">
        <v>1</v>
      </c>
      <c r="W1097" s="5">
        <v>1</v>
      </c>
      <c r="X1097" s="5">
        <v>1</v>
      </c>
      <c r="Y1097" s="5">
        <v>1</v>
      </c>
      <c r="Z1097" s="5">
        <v>1</v>
      </c>
      <c r="AA1097" s="5">
        <v>1</v>
      </c>
      <c r="AB1097" s="5">
        <v>1</v>
      </c>
      <c r="AC1097" s="5">
        <v>1</v>
      </c>
      <c r="AD1097" s="5">
        <v>1</v>
      </c>
      <c r="AE1097" s="6"/>
      <c r="AF1097" s="5">
        <v>1</v>
      </c>
      <c r="AG1097" s="5">
        <v>1</v>
      </c>
      <c r="AH1097" s="5">
        <v>1</v>
      </c>
      <c r="AI1097" s="5">
        <v>1</v>
      </c>
      <c r="AJ1097" s="6"/>
      <c r="AK1097" s="5">
        <v>1</v>
      </c>
      <c r="AL1097" s="5">
        <v>1</v>
      </c>
      <c r="AM1097" s="5">
        <v>1</v>
      </c>
    </row>
    <row r="1098" spans="1:39" s="7" customFormat="1" x14ac:dyDescent="0.25">
      <c r="A1098" s="5">
        <v>459</v>
      </c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5">
        <v>1</v>
      </c>
      <c r="O1098" s="6"/>
      <c r="P1098" s="5">
        <v>1</v>
      </c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5">
        <v>1</v>
      </c>
      <c r="AF1098" s="6"/>
      <c r="AG1098" s="6"/>
      <c r="AH1098" s="6"/>
      <c r="AI1098" s="6"/>
      <c r="AJ1098" s="5">
        <v>1</v>
      </c>
      <c r="AK1098" s="6"/>
      <c r="AL1098" s="6"/>
      <c r="AM1098" s="6"/>
    </row>
    <row r="1099" spans="1:39" s="7" customFormat="1" x14ac:dyDescent="0.25">
      <c r="A1099" s="5">
        <v>461</v>
      </c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5">
        <v>1</v>
      </c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5">
        <v>1</v>
      </c>
      <c r="AH1099" s="6"/>
      <c r="AI1099" s="6"/>
      <c r="AJ1099" s="6"/>
      <c r="AK1099" s="6"/>
      <c r="AL1099" s="6"/>
      <c r="AM1099" s="6"/>
    </row>
    <row r="1100" spans="1:39" s="7" customFormat="1" x14ac:dyDescent="0.25">
      <c r="A1100" s="5">
        <v>461</v>
      </c>
      <c r="B1100" s="6"/>
      <c r="C1100" s="6"/>
      <c r="D1100" s="6"/>
      <c r="E1100" s="6"/>
      <c r="F1100" s="6"/>
      <c r="G1100" s="6"/>
      <c r="H1100" s="5">
        <v>1</v>
      </c>
      <c r="I1100" s="6"/>
      <c r="J1100" s="6"/>
      <c r="K1100" s="6"/>
      <c r="L1100" s="6"/>
      <c r="M1100" s="6"/>
      <c r="N1100" s="6"/>
      <c r="O1100" s="6"/>
      <c r="P1100" s="5">
        <v>1</v>
      </c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5">
        <v>1</v>
      </c>
      <c r="AF1100" s="6"/>
      <c r="AG1100" s="6"/>
      <c r="AH1100" s="5">
        <v>1</v>
      </c>
      <c r="AI1100" s="6"/>
      <c r="AJ1100" s="6"/>
      <c r="AK1100" s="6"/>
      <c r="AL1100" s="6"/>
      <c r="AM1100" s="6"/>
    </row>
    <row r="1101" spans="1:39" s="7" customFormat="1" x14ac:dyDescent="0.25">
      <c r="A1101" s="5">
        <v>461</v>
      </c>
      <c r="B1101" s="6"/>
      <c r="C1101" s="6"/>
      <c r="D1101" s="6"/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5">
        <v>1</v>
      </c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5">
        <v>1</v>
      </c>
      <c r="AK1101" s="6"/>
      <c r="AL1101" s="6"/>
      <c r="AM1101" s="6"/>
    </row>
    <row r="1102" spans="1:39" s="7" customFormat="1" x14ac:dyDescent="0.25">
      <c r="A1102" s="5">
        <v>461</v>
      </c>
      <c r="B1102" s="6"/>
      <c r="C1102" s="6"/>
      <c r="D1102" s="6"/>
      <c r="E1102" s="5">
        <v>1</v>
      </c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</row>
    <row r="1103" spans="1:39" s="7" customFormat="1" x14ac:dyDescent="0.25">
      <c r="A1103" s="5">
        <v>461</v>
      </c>
      <c r="B1103" s="6"/>
      <c r="C1103" s="6"/>
      <c r="D1103" s="6"/>
      <c r="E1103" s="6"/>
      <c r="F1103" s="6"/>
      <c r="G1103" s="6"/>
      <c r="H1103" s="6"/>
      <c r="I1103" s="5">
        <v>1</v>
      </c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5">
        <v>1</v>
      </c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</row>
    <row r="1104" spans="1:39" s="7" customFormat="1" x14ac:dyDescent="0.25">
      <c r="A1104" s="5">
        <v>461</v>
      </c>
      <c r="B1104" s="6"/>
      <c r="C1104" s="6"/>
      <c r="D1104" s="6"/>
      <c r="E1104" s="6"/>
      <c r="F1104" s="6"/>
      <c r="G1104" s="6"/>
      <c r="H1104" s="6"/>
      <c r="I1104" s="6"/>
      <c r="J1104" s="5">
        <v>1</v>
      </c>
      <c r="K1104" s="6"/>
      <c r="L1104" s="6"/>
      <c r="M1104" s="6"/>
      <c r="N1104" s="6"/>
      <c r="O1104" s="5">
        <v>1</v>
      </c>
      <c r="P1104" s="6"/>
      <c r="Q1104" s="6"/>
      <c r="R1104" s="5">
        <v>1</v>
      </c>
      <c r="S1104" s="6"/>
      <c r="T1104" s="6"/>
      <c r="U1104" s="6"/>
      <c r="V1104" s="6"/>
      <c r="W1104" s="6"/>
      <c r="X1104" s="6"/>
      <c r="Y1104" s="6"/>
      <c r="Z1104" s="6"/>
      <c r="AA1104" s="6"/>
      <c r="AB1104" s="5">
        <v>1</v>
      </c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</row>
    <row r="1105" spans="1:39" s="7" customFormat="1" x14ac:dyDescent="0.25">
      <c r="A1105" s="5">
        <v>461</v>
      </c>
      <c r="B1105" s="5">
        <v>1</v>
      </c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5">
        <v>1</v>
      </c>
      <c r="AG1105" s="6"/>
      <c r="AH1105" s="6"/>
      <c r="AI1105" s="6"/>
      <c r="AJ1105" s="6"/>
      <c r="AK1105" s="6"/>
      <c r="AL1105" s="6"/>
      <c r="AM1105" s="6"/>
    </row>
    <row r="1106" spans="1:39" s="7" customFormat="1" x14ac:dyDescent="0.25">
      <c r="A1106" s="5">
        <v>461</v>
      </c>
      <c r="B1106" s="6"/>
      <c r="C1106" s="6"/>
      <c r="D1106" s="6"/>
      <c r="E1106" s="6"/>
      <c r="F1106" s="5">
        <v>1</v>
      </c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</row>
    <row r="1107" spans="1:39" s="7" customFormat="1" x14ac:dyDescent="0.25">
      <c r="A1107" s="5">
        <v>461</v>
      </c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5">
        <v>1</v>
      </c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</row>
    <row r="1108" spans="1:39" s="7" customFormat="1" x14ac:dyDescent="0.25">
      <c r="A1108" s="5">
        <v>461</v>
      </c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5">
        <v>1</v>
      </c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</row>
    <row r="1109" spans="1:39" s="7" customFormat="1" x14ac:dyDescent="0.25">
      <c r="A1109" s="5">
        <v>461</v>
      </c>
      <c r="B1109" s="6"/>
      <c r="C1109" s="6"/>
      <c r="D1109" s="6"/>
      <c r="E1109" s="6"/>
      <c r="F1109" s="6"/>
      <c r="G1109" s="6"/>
      <c r="H1109" s="6"/>
      <c r="I1109" s="6"/>
      <c r="J1109" s="6"/>
      <c r="K1109" s="5">
        <v>1</v>
      </c>
      <c r="L1109" s="6"/>
      <c r="M1109" s="5">
        <v>1</v>
      </c>
      <c r="N1109" s="6"/>
      <c r="O1109" s="6"/>
      <c r="P1109" s="6"/>
      <c r="Q1109" s="6"/>
      <c r="R1109" s="6"/>
      <c r="S1109" s="6"/>
      <c r="T1109" s="6"/>
      <c r="U1109" s="5">
        <v>1</v>
      </c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</row>
    <row r="1110" spans="1:39" s="7" customFormat="1" x14ac:dyDescent="0.25">
      <c r="A1110" s="5">
        <v>461</v>
      </c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5">
        <v>1</v>
      </c>
      <c r="AD1110" s="6"/>
      <c r="AE1110" s="6"/>
      <c r="AF1110" s="6"/>
      <c r="AG1110" s="6"/>
      <c r="AH1110" s="6"/>
      <c r="AI1110" s="6"/>
      <c r="AJ1110" s="6"/>
      <c r="AK1110" s="5">
        <v>1</v>
      </c>
      <c r="AL1110" s="6"/>
      <c r="AM1110" s="6"/>
    </row>
    <row r="1111" spans="1:39" s="7" customFormat="1" x14ac:dyDescent="0.25">
      <c r="A1111" s="5">
        <v>461</v>
      </c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5">
        <v>1</v>
      </c>
      <c r="M1111" s="6"/>
      <c r="N1111" s="6"/>
      <c r="O1111" s="6"/>
      <c r="P1111" s="6"/>
      <c r="Q1111" s="5">
        <v>1</v>
      </c>
      <c r="R1111" s="6"/>
      <c r="S1111" s="6"/>
      <c r="T1111" s="5">
        <v>1</v>
      </c>
      <c r="U1111" s="6"/>
      <c r="V1111" s="6"/>
      <c r="W1111" s="6"/>
      <c r="X1111" s="5">
        <v>1</v>
      </c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</row>
    <row r="1112" spans="1:39" s="7" customFormat="1" x14ac:dyDescent="0.25">
      <c r="A1112" s="5">
        <v>461</v>
      </c>
      <c r="B1112" s="6"/>
      <c r="C1112" s="5">
        <v>1</v>
      </c>
      <c r="D1112" s="6"/>
      <c r="E1112" s="6"/>
      <c r="F1112" s="6"/>
      <c r="G1112" s="5">
        <v>1</v>
      </c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5">
        <v>1</v>
      </c>
      <c r="W1112" s="6"/>
      <c r="X1112" s="6"/>
      <c r="Y1112" s="6"/>
      <c r="Z1112" s="5">
        <v>1</v>
      </c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5">
        <v>1</v>
      </c>
    </row>
    <row r="1113" spans="1:39" s="7" customFormat="1" x14ac:dyDescent="0.25">
      <c r="A1113" s="5">
        <v>461</v>
      </c>
      <c r="B1113" s="6"/>
      <c r="C1113" s="6"/>
      <c r="D1113" s="5">
        <v>1</v>
      </c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5">
        <v>1</v>
      </c>
      <c r="AM1113" s="6"/>
    </row>
    <row r="1114" spans="1:39" s="7" customFormat="1" x14ac:dyDescent="0.25">
      <c r="A1114" s="5">
        <v>461</v>
      </c>
      <c r="B1114" s="6"/>
      <c r="C1114" s="6"/>
      <c r="D1114" s="6"/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5">
        <v>1</v>
      </c>
      <c r="AE1114" s="6"/>
      <c r="AF1114" s="6"/>
      <c r="AG1114" s="6"/>
      <c r="AH1114" s="6"/>
      <c r="AI1114" s="6"/>
      <c r="AJ1114" s="6"/>
      <c r="AK1114" s="6"/>
      <c r="AL1114" s="6"/>
      <c r="AM1114" s="6"/>
    </row>
    <row r="1115" spans="1:39" s="7" customFormat="1" x14ac:dyDescent="0.25">
      <c r="A1115" s="5">
        <v>461</v>
      </c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5">
        <v>1</v>
      </c>
      <c r="AJ1115" s="6"/>
      <c r="AK1115" s="6"/>
      <c r="AL1115" s="6"/>
      <c r="AM1115" s="6"/>
    </row>
    <row r="1116" spans="1:39" s="7" customFormat="1" x14ac:dyDescent="0.25">
      <c r="A1116" s="5">
        <v>462</v>
      </c>
      <c r="B1116" s="6"/>
      <c r="C1116" s="6"/>
      <c r="D1116" s="5">
        <v>1</v>
      </c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5">
        <v>1</v>
      </c>
      <c r="AM1116" s="6"/>
    </row>
    <row r="1117" spans="1:39" s="7" customFormat="1" x14ac:dyDescent="0.25">
      <c r="A1117" s="5">
        <v>462</v>
      </c>
      <c r="B1117" s="5">
        <v>1</v>
      </c>
      <c r="C1117" s="6"/>
      <c r="D1117" s="6"/>
      <c r="E1117" s="6"/>
      <c r="F1117" s="6"/>
      <c r="G1117" s="6"/>
      <c r="H1117" s="6"/>
      <c r="I1117" s="6"/>
      <c r="J1117" s="6"/>
      <c r="K1117" s="6"/>
      <c r="L1117" s="6"/>
      <c r="M1117" s="5">
        <v>1</v>
      </c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5">
        <v>1</v>
      </c>
      <c r="Z1117" s="6"/>
      <c r="AA1117" s="6"/>
      <c r="AB1117" s="6"/>
      <c r="AC1117" s="6"/>
      <c r="AD1117" s="5">
        <v>1</v>
      </c>
      <c r="AE1117" s="6"/>
      <c r="AF1117" s="5">
        <v>1</v>
      </c>
      <c r="AG1117" s="6"/>
      <c r="AH1117" s="6"/>
      <c r="AI1117" s="6"/>
      <c r="AJ1117" s="6"/>
      <c r="AK1117" s="6"/>
      <c r="AL1117" s="6"/>
      <c r="AM1117" s="6"/>
    </row>
    <row r="1118" spans="1:39" s="7" customFormat="1" x14ac:dyDescent="0.25">
      <c r="A1118" s="5">
        <v>462</v>
      </c>
      <c r="B1118" s="6"/>
      <c r="C1118" s="6"/>
      <c r="D1118" s="6"/>
      <c r="E1118" s="6"/>
      <c r="F1118" s="5">
        <v>1</v>
      </c>
      <c r="G1118" s="6"/>
      <c r="H1118" s="6"/>
      <c r="I1118" s="6"/>
      <c r="J1118" s="6"/>
      <c r="K1118" s="5">
        <v>1</v>
      </c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</row>
    <row r="1119" spans="1:39" s="7" customFormat="1" x14ac:dyDescent="0.25">
      <c r="A1119" s="5">
        <v>462</v>
      </c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5">
        <v>1</v>
      </c>
      <c r="M1119" s="6"/>
      <c r="N1119" s="6"/>
      <c r="O1119" s="6"/>
      <c r="P1119" s="6"/>
      <c r="Q1119" s="6"/>
      <c r="R1119" s="6"/>
      <c r="S1119" s="6"/>
      <c r="T1119" s="6"/>
      <c r="U1119" s="5">
        <v>1</v>
      </c>
      <c r="V1119" s="6"/>
      <c r="W1119" s="6"/>
      <c r="X1119" s="5">
        <v>1</v>
      </c>
      <c r="Y1119" s="6"/>
      <c r="Z1119" s="6"/>
      <c r="AA1119" s="6"/>
      <c r="AB1119" s="6"/>
      <c r="AC1119" s="5">
        <v>1</v>
      </c>
      <c r="AD1119" s="6"/>
      <c r="AE1119" s="6"/>
      <c r="AF1119" s="6"/>
      <c r="AG1119" s="6"/>
      <c r="AH1119" s="6"/>
      <c r="AI1119" s="5">
        <v>1</v>
      </c>
      <c r="AJ1119" s="6"/>
      <c r="AK1119" s="6"/>
      <c r="AL1119" s="6"/>
      <c r="AM1119" s="6"/>
    </row>
    <row r="1120" spans="1:39" s="7" customFormat="1" x14ac:dyDescent="0.25">
      <c r="A1120" s="5">
        <v>462</v>
      </c>
      <c r="B1120" s="6"/>
      <c r="C1120" s="6"/>
      <c r="D1120" s="6"/>
      <c r="E1120" s="5">
        <v>1</v>
      </c>
      <c r="F1120" s="6"/>
      <c r="G1120" s="6"/>
      <c r="H1120" s="6"/>
      <c r="I1120" s="5">
        <v>1</v>
      </c>
      <c r="J1120" s="6"/>
      <c r="K1120" s="6"/>
      <c r="L1120" s="6"/>
      <c r="M1120" s="6"/>
      <c r="N1120" s="5">
        <v>1</v>
      </c>
      <c r="O1120" s="6"/>
      <c r="P1120" s="5">
        <v>1</v>
      </c>
      <c r="Q1120" s="5">
        <v>1</v>
      </c>
      <c r="R1120" s="6"/>
      <c r="S1120" s="6"/>
      <c r="T1120" s="5">
        <v>1</v>
      </c>
      <c r="U1120" s="6"/>
      <c r="V1120" s="6"/>
      <c r="W1120" s="6"/>
      <c r="X1120" s="6"/>
      <c r="Y1120" s="6"/>
      <c r="Z1120" s="6"/>
      <c r="AA1120" s="5">
        <v>1</v>
      </c>
      <c r="AB1120" s="6"/>
      <c r="AC1120" s="6"/>
      <c r="AD1120" s="6"/>
      <c r="AE1120" s="6"/>
      <c r="AF1120" s="6"/>
      <c r="AG1120" s="5">
        <v>1</v>
      </c>
      <c r="AH1120" s="5">
        <v>1</v>
      </c>
      <c r="AI1120" s="6"/>
      <c r="AJ1120" s="6"/>
      <c r="AK1120" s="5">
        <v>1</v>
      </c>
      <c r="AL1120" s="6"/>
      <c r="AM1120" s="6"/>
    </row>
    <row r="1121" spans="1:39" s="7" customFormat="1" x14ac:dyDescent="0.25">
      <c r="A1121" s="5">
        <v>462</v>
      </c>
      <c r="B1121" s="6"/>
      <c r="C1121" s="6"/>
      <c r="D1121" s="6"/>
      <c r="E1121" s="6"/>
      <c r="F1121" s="6"/>
      <c r="G1121" s="6"/>
      <c r="H1121" s="5">
        <v>1</v>
      </c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5">
        <v>1</v>
      </c>
      <c r="W1121" s="5">
        <v>1</v>
      </c>
      <c r="X1121" s="6"/>
      <c r="Y1121" s="6"/>
      <c r="Z1121" s="5">
        <v>1</v>
      </c>
      <c r="AA1121" s="6"/>
      <c r="AB1121" s="6"/>
      <c r="AC1121" s="6"/>
      <c r="AD1121" s="6"/>
      <c r="AE1121" s="5">
        <v>1</v>
      </c>
      <c r="AF1121" s="6"/>
      <c r="AG1121" s="6"/>
      <c r="AH1121" s="6"/>
      <c r="AI1121" s="6"/>
      <c r="AJ1121" s="6"/>
      <c r="AK1121" s="6"/>
      <c r="AL1121" s="6"/>
      <c r="AM1121" s="6"/>
    </row>
    <row r="1122" spans="1:39" s="7" customFormat="1" x14ac:dyDescent="0.25">
      <c r="A1122" s="5">
        <v>462</v>
      </c>
      <c r="B1122" s="6"/>
      <c r="C1122" s="5">
        <v>1</v>
      </c>
      <c r="D1122" s="6"/>
      <c r="E1122" s="6"/>
      <c r="F1122" s="6"/>
      <c r="G1122" s="5">
        <v>1</v>
      </c>
      <c r="H1122" s="6"/>
      <c r="I1122" s="6"/>
      <c r="J1122" s="5">
        <v>1</v>
      </c>
      <c r="K1122" s="6"/>
      <c r="L1122" s="6"/>
      <c r="M1122" s="6"/>
      <c r="N1122" s="6"/>
      <c r="O1122" s="5">
        <v>1</v>
      </c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5">
        <v>1</v>
      </c>
    </row>
    <row r="1123" spans="1:39" s="7" customFormat="1" x14ac:dyDescent="0.25">
      <c r="A1123" s="5">
        <v>462</v>
      </c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5">
        <v>1</v>
      </c>
      <c r="S1123" s="5">
        <v>1</v>
      </c>
      <c r="T1123" s="6"/>
      <c r="U1123" s="6"/>
      <c r="V1123" s="6"/>
      <c r="W1123" s="6"/>
      <c r="X1123" s="6"/>
      <c r="Y1123" s="6"/>
      <c r="Z1123" s="6"/>
      <c r="AA1123" s="6"/>
      <c r="AB1123" s="5">
        <v>1</v>
      </c>
      <c r="AC1123" s="6"/>
      <c r="AD1123" s="6"/>
      <c r="AE1123" s="6"/>
      <c r="AF1123" s="6"/>
      <c r="AG1123" s="6"/>
      <c r="AH1123" s="6"/>
      <c r="AI1123" s="6"/>
      <c r="AJ1123" s="5">
        <v>1</v>
      </c>
      <c r="AK1123" s="6"/>
      <c r="AL1123" s="6"/>
      <c r="AM1123" s="6"/>
    </row>
    <row r="1124" spans="1:39" s="7" customFormat="1" x14ac:dyDescent="0.25">
      <c r="A1124" s="5">
        <v>463</v>
      </c>
      <c r="B1124" s="6"/>
      <c r="C1124" s="5">
        <v>1</v>
      </c>
      <c r="D1124" s="6"/>
      <c r="E1124" s="6"/>
      <c r="F1124" s="5"/>
      <c r="G1124" s="5">
        <v>1</v>
      </c>
      <c r="H1124" s="5">
        <v>1</v>
      </c>
      <c r="I1124" s="5">
        <v>1</v>
      </c>
      <c r="J1124" s="5">
        <v>1</v>
      </c>
      <c r="K1124" s="5"/>
      <c r="L1124" s="5"/>
      <c r="M1124" s="5"/>
      <c r="N1124" s="6"/>
      <c r="O1124" s="5">
        <v>1</v>
      </c>
      <c r="P1124" s="5">
        <v>1</v>
      </c>
      <c r="Q1124" s="5"/>
      <c r="R1124" s="5">
        <v>1</v>
      </c>
      <c r="S1124" s="5">
        <v>1</v>
      </c>
      <c r="T1124" s="5"/>
      <c r="U1124" s="6"/>
      <c r="V1124" s="5">
        <v>1</v>
      </c>
      <c r="W1124" s="5">
        <v>1</v>
      </c>
      <c r="X1124" s="5"/>
      <c r="Y1124" s="6"/>
      <c r="Z1124" s="5">
        <v>1</v>
      </c>
      <c r="AA1124" s="5"/>
      <c r="AB1124" s="5">
        <v>1</v>
      </c>
      <c r="AC1124" s="5">
        <v>1</v>
      </c>
      <c r="AD1124" s="5"/>
      <c r="AE1124" s="5">
        <v>1</v>
      </c>
      <c r="AF1124" s="5"/>
      <c r="AG1124" s="6"/>
      <c r="AH1124" s="5">
        <v>1</v>
      </c>
      <c r="AI1124" s="5"/>
      <c r="AJ1124" s="5">
        <v>1</v>
      </c>
      <c r="AK1124" s="5">
        <v>1</v>
      </c>
      <c r="AL1124" s="6"/>
      <c r="AM1124" s="5">
        <v>1</v>
      </c>
    </row>
    <row r="1125" spans="1:39" s="7" customFormat="1" x14ac:dyDescent="0.25">
      <c r="A1125" s="5">
        <v>463</v>
      </c>
      <c r="B1125" s="6"/>
      <c r="C1125" s="6"/>
      <c r="D1125" s="6"/>
      <c r="E1125" s="5">
        <v>1</v>
      </c>
      <c r="F1125" s="6"/>
      <c r="G1125" s="6"/>
      <c r="H1125" s="6"/>
      <c r="I1125" s="6"/>
      <c r="J1125" s="6"/>
      <c r="K1125" s="6"/>
      <c r="L1125" s="6"/>
      <c r="M1125" s="6"/>
      <c r="N1125" s="5">
        <v>1</v>
      </c>
      <c r="O1125" s="6"/>
      <c r="P1125" s="6"/>
      <c r="Q1125" s="6"/>
      <c r="R1125" s="6"/>
      <c r="S1125" s="6"/>
      <c r="T1125" s="6"/>
      <c r="U1125" s="5">
        <v>1</v>
      </c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5">
        <v>1</v>
      </c>
      <c r="AH1125" s="6"/>
      <c r="AI1125" s="6"/>
      <c r="AJ1125" s="6"/>
      <c r="AK1125" s="6"/>
      <c r="AL1125" s="6"/>
      <c r="AM1125" s="6"/>
    </row>
    <row r="1126" spans="1:39" s="7" customFormat="1" x14ac:dyDescent="0.25">
      <c r="A1126" s="5">
        <v>463</v>
      </c>
      <c r="B1126" s="5">
        <v>1</v>
      </c>
      <c r="C1126" s="6"/>
      <c r="D1126" s="5">
        <v>1</v>
      </c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5">
        <v>1</v>
      </c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6"/>
      <c r="AL1126" s="5">
        <v>1</v>
      </c>
      <c r="AM1126" s="6"/>
    </row>
    <row r="1127" spans="1:39" s="7" customFormat="1" x14ac:dyDescent="0.25">
      <c r="A1127" s="5">
        <v>464</v>
      </c>
      <c r="B1127" s="6"/>
      <c r="C1127" s="6"/>
      <c r="D1127" s="5">
        <v>1</v>
      </c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6"/>
      <c r="AL1127" s="5">
        <v>1</v>
      </c>
      <c r="AM1127" s="6"/>
    </row>
    <row r="1128" spans="1:39" s="7" customFormat="1" x14ac:dyDescent="0.25">
      <c r="A1128" s="5">
        <v>464</v>
      </c>
      <c r="B1128" s="5">
        <v>1</v>
      </c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5">
        <v>1</v>
      </c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5">
        <v>1</v>
      </c>
      <c r="Z1128" s="6"/>
      <c r="AA1128" s="6"/>
      <c r="AB1128" s="6"/>
      <c r="AC1128" s="6"/>
      <c r="AD1128" s="5">
        <v>1</v>
      </c>
      <c r="AE1128" s="6"/>
      <c r="AF1128" s="5">
        <v>1</v>
      </c>
      <c r="AG1128" s="6"/>
      <c r="AH1128" s="6"/>
      <c r="AI1128" s="6"/>
      <c r="AJ1128" s="6"/>
      <c r="AK1128" s="6"/>
      <c r="AL1128" s="6"/>
      <c r="AM1128" s="6"/>
    </row>
    <row r="1129" spans="1:39" s="7" customFormat="1" x14ac:dyDescent="0.25">
      <c r="A1129" s="5">
        <v>464</v>
      </c>
      <c r="B1129" s="6"/>
      <c r="C1129" s="6"/>
      <c r="D1129" s="6"/>
      <c r="E1129" s="6"/>
      <c r="F1129" s="5">
        <v>1</v>
      </c>
      <c r="G1129" s="6"/>
      <c r="H1129" s="6"/>
      <c r="I1129" s="6"/>
      <c r="J1129" s="6"/>
      <c r="K1129" s="5">
        <v>1</v>
      </c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6"/>
      <c r="AL1129" s="6"/>
      <c r="AM1129" s="6"/>
    </row>
    <row r="1130" spans="1:39" s="7" customFormat="1" x14ac:dyDescent="0.25">
      <c r="A1130" s="5">
        <v>464</v>
      </c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5">
        <v>1</v>
      </c>
      <c r="M1130" s="6"/>
      <c r="N1130" s="6"/>
      <c r="O1130" s="6"/>
      <c r="P1130" s="6"/>
      <c r="Q1130" s="6"/>
      <c r="R1130" s="6"/>
      <c r="S1130" s="6"/>
      <c r="T1130" s="6"/>
      <c r="U1130" s="5">
        <v>1</v>
      </c>
      <c r="V1130" s="6"/>
      <c r="W1130" s="6"/>
      <c r="X1130" s="5">
        <v>1</v>
      </c>
      <c r="Y1130" s="6"/>
      <c r="Z1130" s="6"/>
      <c r="AA1130" s="6"/>
      <c r="AB1130" s="6"/>
      <c r="AC1130" s="5">
        <v>1</v>
      </c>
      <c r="AD1130" s="6"/>
      <c r="AE1130" s="6"/>
      <c r="AF1130" s="6"/>
      <c r="AG1130" s="6"/>
      <c r="AH1130" s="6"/>
      <c r="AI1130" s="5">
        <v>1</v>
      </c>
      <c r="AJ1130" s="6"/>
      <c r="AK1130" s="6"/>
      <c r="AL1130" s="6"/>
      <c r="AM1130" s="6"/>
    </row>
    <row r="1131" spans="1:39" s="7" customFormat="1" x14ac:dyDescent="0.25">
      <c r="A1131" s="5">
        <v>464</v>
      </c>
      <c r="B1131" s="6"/>
      <c r="C1131" s="6"/>
      <c r="D1131" s="6"/>
      <c r="E1131" s="5">
        <v>1</v>
      </c>
      <c r="F1131" s="6"/>
      <c r="G1131" s="6"/>
      <c r="H1131" s="6"/>
      <c r="I1131" s="5">
        <v>1</v>
      </c>
      <c r="J1131" s="6"/>
      <c r="K1131" s="6"/>
      <c r="L1131" s="6"/>
      <c r="M1131" s="6"/>
      <c r="N1131" s="5">
        <v>1</v>
      </c>
      <c r="O1131" s="6"/>
      <c r="P1131" s="5">
        <v>1</v>
      </c>
      <c r="Q1131" s="5">
        <v>1</v>
      </c>
      <c r="R1131" s="6"/>
      <c r="S1131" s="6"/>
      <c r="T1131" s="5">
        <v>1</v>
      </c>
      <c r="U1131" s="6"/>
      <c r="V1131" s="6"/>
      <c r="W1131" s="6"/>
      <c r="X1131" s="6"/>
      <c r="Y1131" s="6"/>
      <c r="Z1131" s="6"/>
      <c r="AA1131" s="5">
        <v>1</v>
      </c>
      <c r="AB1131" s="6"/>
      <c r="AC1131" s="6"/>
      <c r="AD1131" s="6"/>
      <c r="AE1131" s="6"/>
      <c r="AF1131" s="6"/>
      <c r="AG1131" s="5">
        <v>1</v>
      </c>
      <c r="AH1131" s="5">
        <v>1</v>
      </c>
      <c r="AI1131" s="6"/>
      <c r="AJ1131" s="6"/>
      <c r="AK1131" s="5">
        <v>1</v>
      </c>
      <c r="AL1131" s="6"/>
      <c r="AM1131" s="6"/>
    </row>
    <row r="1132" spans="1:39" s="7" customFormat="1" x14ac:dyDescent="0.25">
      <c r="A1132" s="5">
        <v>464</v>
      </c>
      <c r="B1132" s="6"/>
      <c r="C1132" s="6"/>
      <c r="D1132" s="6"/>
      <c r="E1132" s="6"/>
      <c r="F1132" s="6"/>
      <c r="G1132" s="6"/>
      <c r="H1132" s="5">
        <v>1</v>
      </c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5">
        <v>1</v>
      </c>
      <c r="W1132" s="5">
        <v>1</v>
      </c>
      <c r="X1132" s="6"/>
      <c r="Y1132" s="6"/>
      <c r="Z1132" s="5">
        <v>1</v>
      </c>
      <c r="AA1132" s="6"/>
      <c r="AB1132" s="6"/>
      <c r="AC1132" s="6"/>
      <c r="AD1132" s="6"/>
      <c r="AE1132" s="5">
        <v>1</v>
      </c>
      <c r="AF1132" s="6"/>
      <c r="AG1132" s="6"/>
      <c r="AH1132" s="6"/>
      <c r="AI1132" s="6"/>
      <c r="AJ1132" s="6"/>
      <c r="AK1132" s="6"/>
      <c r="AL1132" s="6"/>
      <c r="AM1132" s="6"/>
    </row>
    <row r="1133" spans="1:39" s="7" customFormat="1" x14ac:dyDescent="0.25">
      <c r="A1133" s="5">
        <v>464</v>
      </c>
      <c r="B1133" s="6"/>
      <c r="C1133" s="5">
        <v>1</v>
      </c>
      <c r="D1133" s="6"/>
      <c r="E1133" s="6"/>
      <c r="F1133" s="6"/>
      <c r="G1133" s="5">
        <v>1</v>
      </c>
      <c r="H1133" s="6"/>
      <c r="I1133" s="6"/>
      <c r="J1133" s="5">
        <v>1</v>
      </c>
      <c r="K1133" s="6"/>
      <c r="L1133" s="6"/>
      <c r="M1133" s="6"/>
      <c r="N1133" s="6"/>
      <c r="O1133" s="5">
        <v>1</v>
      </c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6"/>
      <c r="AL1133" s="6"/>
      <c r="AM1133" s="5">
        <v>1</v>
      </c>
    </row>
    <row r="1134" spans="1:39" s="7" customFormat="1" x14ac:dyDescent="0.25">
      <c r="A1134" s="5">
        <v>464</v>
      </c>
      <c r="B1134" s="6"/>
      <c r="C1134" s="6"/>
      <c r="D1134" s="6"/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5">
        <v>1</v>
      </c>
      <c r="S1134" s="5">
        <v>1</v>
      </c>
      <c r="T1134" s="6"/>
      <c r="U1134" s="6"/>
      <c r="V1134" s="6"/>
      <c r="W1134" s="6"/>
      <c r="X1134" s="6"/>
      <c r="Y1134" s="6"/>
      <c r="Z1134" s="6"/>
      <c r="AA1134" s="6"/>
      <c r="AB1134" s="5">
        <v>1</v>
      </c>
      <c r="AC1134" s="6"/>
      <c r="AD1134" s="6"/>
      <c r="AE1134" s="6"/>
      <c r="AF1134" s="6"/>
      <c r="AG1134" s="6"/>
      <c r="AH1134" s="6"/>
      <c r="AI1134" s="6"/>
      <c r="AJ1134" s="5">
        <v>1</v>
      </c>
      <c r="AK1134" s="6"/>
      <c r="AL1134" s="6"/>
      <c r="AM1134" s="6"/>
    </row>
    <row r="1135" spans="1:39" s="7" customFormat="1" x14ac:dyDescent="0.25">
      <c r="A1135" s="5">
        <v>465</v>
      </c>
      <c r="B1135" s="6"/>
      <c r="C1135" s="6"/>
      <c r="D1135" s="5">
        <v>1</v>
      </c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6"/>
      <c r="AL1135" s="5">
        <v>1</v>
      </c>
      <c r="AM1135" s="6"/>
    </row>
    <row r="1136" spans="1:39" s="7" customFormat="1" x14ac:dyDescent="0.25">
      <c r="A1136" s="5">
        <v>465</v>
      </c>
      <c r="B1136" s="5">
        <v>1</v>
      </c>
      <c r="C1136" s="6"/>
      <c r="D1136" s="6"/>
      <c r="E1136" s="6"/>
      <c r="F1136" s="6"/>
      <c r="G1136" s="6"/>
      <c r="H1136" s="6"/>
      <c r="I1136" s="6"/>
      <c r="J1136" s="6"/>
      <c r="K1136" s="6"/>
      <c r="L1136" s="6"/>
      <c r="M1136" s="5">
        <v>1</v>
      </c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5">
        <v>1</v>
      </c>
      <c r="Z1136" s="6"/>
      <c r="AA1136" s="6"/>
      <c r="AB1136" s="6"/>
      <c r="AC1136" s="6"/>
      <c r="AD1136" s="5">
        <v>1</v>
      </c>
      <c r="AE1136" s="6"/>
      <c r="AF1136" s="5">
        <v>1</v>
      </c>
      <c r="AG1136" s="6"/>
      <c r="AH1136" s="6"/>
      <c r="AI1136" s="6"/>
      <c r="AJ1136" s="6"/>
      <c r="AK1136" s="6"/>
      <c r="AL1136" s="6"/>
      <c r="AM1136" s="6"/>
    </row>
    <row r="1137" spans="1:39" s="7" customFormat="1" x14ac:dyDescent="0.25">
      <c r="A1137" s="5">
        <v>465</v>
      </c>
      <c r="B1137" s="6"/>
      <c r="C1137" s="6"/>
      <c r="D1137" s="6"/>
      <c r="E1137" s="6"/>
      <c r="F1137" s="5">
        <v>1</v>
      </c>
      <c r="G1137" s="6"/>
      <c r="H1137" s="6"/>
      <c r="I1137" s="6"/>
      <c r="J1137" s="6"/>
      <c r="K1137" s="5">
        <v>1</v>
      </c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  <c r="AM1137" s="6"/>
    </row>
    <row r="1138" spans="1:39" s="7" customFormat="1" x14ac:dyDescent="0.25">
      <c r="A1138" s="5">
        <v>465</v>
      </c>
      <c r="B1138" s="6"/>
      <c r="C1138" s="6"/>
      <c r="D1138" s="6"/>
      <c r="E1138" s="6"/>
      <c r="F1138" s="6"/>
      <c r="G1138" s="6"/>
      <c r="H1138" s="6"/>
      <c r="I1138" s="6"/>
      <c r="J1138" s="6"/>
      <c r="K1138" s="6"/>
      <c r="L1138" s="5">
        <v>1</v>
      </c>
      <c r="M1138" s="6"/>
      <c r="N1138" s="6"/>
      <c r="O1138" s="6"/>
      <c r="P1138" s="6"/>
      <c r="Q1138" s="6"/>
      <c r="R1138" s="6"/>
      <c r="S1138" s="6"/>
      <c r="T1138" s="6"/>
      <c r="U1138" s="5">
        <v>1</v>
      </c>
      <c r="V1138" s="6"/>
      <c r="W1138" s="6"/>
      <c r="X1138" s="5">
        <v>1</v>
      </c>
      <c r="Y1138" s="6"/>
      <c r="Z1138" s="6"/>
      <c r="AA1138" s="6"/>
      <c r="AB1138" s="6"/>
      <c r="AC1138" s="5">
        <v>1</v>
      </c>
      <c r="AD1138" s="6"/>
      <c r="AE1138" s="6"/>
      <c r="AF1138" s="6"/>
      <c r="AG1138" s="6"/>
      <c r="AH1138" s="6"/>
      <c r="AI1138" s="5">
        <v>1</v>
      </c>
      <c r="AJ1138" s="6"/>
      <c r="AK1138" s="6"/>
      <c r="AL1138" s="6"/>
      <c r="AM1138" s="6"/>
    </row>
    <row r="1139" spans="1:39" s="7" customFormat="1" x14ac:dyDescent="0.25">
      <c r="A1139" s="5">
        <v>465</v>
      </c>
      <c r="B1139" s="6"/>
      <c r="C1139" s="6"/>
      <c r="D1139" s="6"/>
      <c r="E1139" s="5">
        <v>1</v>
      </c>
      <c r="F1139" s="6"/>
      <c r="G1139" s="6"/>
      <c r="H1139" s="6"/>
      <c r="I1139" s="5">
        <v>1</v>
      </c>
      <c r="J1139" s="6"/>
      <c r="K1139" s="6"/>
      <c r="L1139" s="6"/>
      <c r="M1139" s="6"/>
      <c r="N1139" s="5">
        <v>1</v>
      </c>
      <c r="O1139" s="6"/>
      <c r="P1139" s="5">
        <v>1</v>
      </c>
      <c r="Q1139" s="5">
        <v>1</v>
      </c>
      <c r="R1139" s="6"/>
      <c r="S1139" s="6"/>
      <c r="T1139" s="5">
        <v>1</v>
      </c>
      <c r="U1139" s="6"/>
      <c r="V1139" s="6"/>
      <c r="W1139" s="6"/>
      <c r="X1139" s="6"/>
      <c r="Y1139" s="6"/>
      <c r="Z1139" s="6"/>
      <c r="AA1139" s="5">
        <v>1</v>
      </c>
      <c r="AB1139" s="6"/>
      <c r="AC1139" s="6"/>
      <c r="AD1139" s="6"/>
      <c r="AE1139" s="6"/>
      <c r="AF1139" s="6"/>
      <c r="AG1139" s="5">
        <v>1</v>
      </c>
      <c r="AH1139" s="5">
        <v>1</v>
      </c>
      <c r="AI1139" s="6"/>
      <c r="AJ1139" s="6"/>
      <c r="AK1139" s="5">
        <v>1</v>
      </c>
      <c r="AL1139" s="6"/>
      <c r="AM1139" s="6"/>
    </row>
    <row r="1140" spans="1:39" s="7" customFormat="1" x14ac:dyDescent="0.25">
      <c r="A1140" s="5">
        <v>465</v>
      </c>
      <c r="B1140" s="6"/>
      <c r="C1140" s="6"/>
      <c r="D1140" s="6"/>
      <c r="E1140" s="6"/>
      <c r="F1140" s="6"/>
      <c r="G1140" s="6"/>
      <c r="H1140" s="5">
        <v>1</v>
      </c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5">
        <v>1</v>
      </c>
      <c r="W1140" s="5">
        <v>1</v>
      </c>
      <c r="X1140" s="6"/>
      <c r="Y1140" s="6"/>
      <c r="Z1140" s="5">
        <v>1</v>
      </c>
      <c r="AA1140" s="6"/>
      <c r="AB1140" s="6"/>
      <c r="AC1140" s="6"/>
      <c r="AD1140" s="6"/>
      <c r="AE1140" s="5">
        <v>1</v>
      </c>
      <c r="AF1140" s="6"/>
      <c r="AG1140" s="6"/>
      <c r="AH1140" s="6"/>
      <c r="AI1140" s="6"/>
      <c r="AJ1140" s="6"/>
      <c r="AK1140" s="6"/>
      <c r="AL1140" s="6"/>
      <c r="AM1140" s="6"/>
    </row>
    <row r="1141" spans="1:39" s="7" customFormat="1" x14ac:dyDescent="0.25">
      <c r="A1141" s="5">
        <v>465</v>
      </c>
      <c r="B1141" s="6"/>
      <c r="C1141" s="5">
        <v>1</v>
      </c>
      <c r="D1141" s="6"/>
      <c r="E1141" s="6"/>
      <c r="F1141" s="6"/>
      <c r="G1141" s="5">
        <v>1</v>
      </c>
      <c r="H1141" s="6"/>
      <c r="I1141" s="6"/>
      <c r="J1141" s="5">
        <v>1</v>
      </c>
      <c r="K1141" s="6"/>
      <c r="L1141" s="6"/>
      <c r="M1141" s="6"/>
      <c r="N1141" s="6"/>
      <c r="O1141" s="5">
        <v>1</v>
      </c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5">
        <v>1</v>
      </c>
    </row>
    <row r="1142" spans="1:39" s="7" customFormat="1" x14ac:dyDescent="0.25">
      <c r="A1142" s="5">
        <v>465</v>
      </c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5">
        <v>1</v>
      </c>
      <c r="S1142" s="5">
        <v>1</v>
      </c>
      <c r="T1142" s="6"/>
      <c r="U1142" s="6"/>
      <c r="V1142" s="6"/>
      <c r="W1142" s="6"/>
      <c r="X1142" s="6"/>
      <c r="Y1142" s="6"/>
      <c r="Z1142" s="6"/>
      <c r="AA1142" s="6"/>
      <c r="AB1142" s="5">
        <v>1</v>
      </c>
      <c r="AC1142" s="6"/>
      <c r="AD1142" s="6"/>
      <c r="AE1142" s="6"/>
      <c r="AF1142" s="6"/>
      <c r="AG1142" s="6"/>
      <c r="AH1142" s="6"/>
      <c r="AI1142" s="6"/>
      <c r="AJ1142" s="5">
        <v>1</v>
      </c>
      <c r="AK1142" s="6"/>
      <c r="AL1142" s="6"/>
      <c r="AM1142" s="6"/>
    </row>
    <row r="1143" spans="1:39" s="7" customFormat="1" x14ac:dyDescent="0.25">
      <c r="A1143" s="5">
        <v>466</v>
      </c>
      <c r="B1143" s="5">
        <v>1</v>
      </c>
      <c r="C1143" s="5">
        <v>1</v>
      </c>
      <c r="D1143" s="5">
        <v>1</v>
      </c>
      <c r="E1143" s="5">
        <v>1</v>
      </c>
      <c r="F1143" s="5">
        <v>1</v>
      </c>
      <c r="G1143" s="5">
        <v>1</v>
      </c>
      <c r="H1143" s="5">
        <v>1</v>
      </c>
      <c r="I1143" s="5">
        <v>1</v>
      </c>
      <c r="J1143" s="5">
        <v>1</v>
      </c>
      <c r="K1143" s="5">
        <v>1</v>
      </c>
      <c r="L1143" s="5">
        <v>1</v>
      </c>
      <c r="M1143" s="5">
        <v>1</v>
      </c>
      <c r="N1143" s="5">
        <v>1</v>
      </c>
      <c r="O1143" s="5">
        <v>1</v>
      </c>
      <c r="P1143" s="5">
        <v>1</v>
      </c>
      <c r="Q1143" s="5">
        <v>1</v>
      </c>
      <c r="R1143" s="5">
        <v>1</v>
      </c>
      <c r="S1143" s="5">
        <v>1</v>
      </c>
      <c r="T1143" s="5">
        <v>1</v>
      </c>
      <c r="U1143" s="5">
        <v>1</v>
      </c>
      <c r="V1143" s="5">
        <v>1</v>
      </c>
      <c r="W1143" s="5">
        <v>1</v>
      </c>
      <c r="X1143" s="5">
        <v>1</v>
      </c>
      <c r="Y1143" s="5">
        <v>1</v>
      </c>
      <c r="Z1143" s="5">
        <v>1</v>
      </c>
      <c r="AA1143" s="5">
        <v>1</v>
      </c>
      <c r="AB1143" s="5">
        <v>1</v>
      </c>
      <c r="AC1143" s="5">
        <v>1</v>
      </c>
      <c r="AD1143" s="5">
        <v>1</v>
      </c>
      <c r="AE1143" s="5">
        <v>1</v>
      </c>
      <c r="AF1143" s="5">
        <v>1</v>
      </c>
      <c r="AG1143" s="5">
        <v>1</v>
      </c>
      <c r="AH1143" s="5">
        <v>1</v>
      </c>
      <c r="AI1143" s="5">
        <v>1</v>
      </c>
      <c r="AJ1143" s="5">
        <v>1</v>
      </c>
      <c r="AK1143" s="5">
        <v>1</v>
      </c>
      <c r="AL1143" s="5">
        <v>1</v>
      </c>
      <c r="AM1143" s="5">
        <v>1</v>
      </c>
    </row>
    <row r="1144" spans="1:39" s="7" customFormat="1" x14ac:dyDescent="0.25">
      <c r="A1144" s="5">
        <v>467</v>
      </c>
      <c r="B1144" s="5">
        <v>1</v>
      </c>
      <c r="C1144" s="5">
        <v>1</v>
      </c>
      <c r="D1144" s="5">
        <v>1</v>
      </c>
      <c r="E1144" s="5">
        <v>1</v>
      </c>
      <c r="F1144" s="5">
        <v>1</v>
      </c>
      <c r="G1144" s="5">
        <v>1</v>
      </c>
      <c r="H1144" s="5">
        <v>1</v>
      </c>
      <c r="I1144" s="5">
        <v>1</v>
      </c>
      <c r="J1144" s="5">
        <v>1</v>
      </c>
      <c r="K1144" s="5">
        <v>1</v>
      </c>
      <c r="L1144" s="5">
        <v>1</v>
      </c>
      <c r="M1144" s="5">
        <v>1</v>
      </c>
      <c r="N1144" s="5">
        <v>1</v>
      </c>
      <c r="O1144" s="5">
        <v>1</v>
      </c>
      <c r="P1144" s="5">
        <v>1</v>
      </c>
      <c r="Q1144" s="5">
        <v>1</v>
      </c>
      <c r="R1144" s="5">
        <v>1</v>
      </c>
      <c r="S1144" s="5">
        <v>1</v>
      </c>
      <c r="T1144" s="5">
        <v>1</v>
      </c>
      <c r="U1144" s="5">
        <v>1</v>
      </c>
      <c r="V1144" s="5">
        <v>1</v>
      </c>
      <c r="W1144" s="5">
        <v>1</v>
      </c>
      <c r="X1144" s="5">
        <v>1</v>
      </c>
      <c r="Y1144" s="5">
        <v>1</v>
      </c>
      <c r="Z1144" s="5">
        <v>1</v>
      </c>
      <c r="AA1144" s="5">
        <v>1</v>
      </c>
      <c r="AB1144" s="5">
        <v>1</v>
      </c>
      <c r="AC1144" s="5">
        <v>1</v>
      </c>
      <c r="AD1144" s="5">
        <v>1</v>
      </c>
      <c r="AE1144" s="5">
        <v>1</v>
      </c>
      <c r="AF1144" s="5">
        <v>1</v>
      </c>
      <c r="AG1144" s="5">
        <v>1</v>
      </c>
      <c r="AH1144" s="5">
        <v>1</v>
      </c>
      <c r="AI1144" s="5">
        <v>1</v>
      </c>
      <c r="AJ1144" s="5">
        <v>1</v>
      </c>
      <c r="AK1144" s="5">
        <v>1</v>
      </c>
      <c r="AL1144" s="5">
        <v>1</v>
      </c>
      <c r="AM1144" s="5">
        <v>1</v>
      </c>
    </row>
    <row r="1145" spans="1:39" s="7" customFormat="1" x14ac:dyDescent="0.25">
      <c r="A1145" s="5">
        <v>468</v>
      </c>
      <c r="B1145" s="5">
        <v>1</v>
      </c>
      <c r="C1145" s="5">
        <v>1</v>
      </c>
      <c r="D1145" s="5">
        <v>1</v>
      </c>
      <c r="E1145" s="5">
        <v>1</v>
      </c>
      <c r="F1145" s="5">
        <v>1</v>
      </c>
      <c r="G1145" s="5">
        <v>1</v>
      </c>
      <c r="H1145" s="5">
        <v>1</v>
      </c>
      <c r="I1145" s="5">
        <v>1</v>
      </c>
      <c r="J1145" s="5">
        <v>1</v>
      </c>
      <c r="K1145" s="5">
        <v>1</v>
      </c>
      <c r="L1145" s="5">
        <v>1</v>
      </c>
      <c r="M1145" s="5">
        <v>1</v>
      </c>
      <c r="N1145" s="5">
        <v>1</v>
      </c>
      <c r="O1145" s="5">
        <v>1</v>
      </c>
      <c r="P1145" s="5">
        <v>1</v>
      </c>
      <c r="Q1145" s="5">
        <v>1</v>
      </c>
      <c r="R1145" s="5">
        <v>1</v>
      </c>
      <c r="S1145" s="5">
        <v>1</v>
      </c>
      <c r="T1145" s="5">
        <v>1</v>
      </c>
      <c r="U1145" s="5">
        <v>1</v>
      </c>
      <c r="V1145" s="5">
        <v>1</v>
      </c>
      <c r="W1145" s="5">
        <v>1</v>
      </c>
      <c r="X1145" s="5">
        <v>1</v>
      </c>
      <c r="Y1145" s="5">
        <v>1</v>
      </c>
      <c r="Z1145" s="5">
        <v>1</v>
      </c>
      <c r="AA1145" s="5">
        <v>1</v>
      </c>
      <c r="AB1145" s="5">
        <v>1</v>
      </c>
      <c r="AC1145" s="5">
        <v>1</v>
      </c>
      <c r="AD1145" s="5">
        <v>1</v>
      </c>
      <c r="AE1145" s="5">
        <v>1</v>
      </c>
      <c r="AF1145" s="5">
        <v>1</v>
      </c>
      <c r="AG1145" s="5">
        <v>1</v>
      </c>
      <c r="AH1145" s="5">
        <v>1</v>
      </c>
      <c r="AI1145" s="5">
        <v>1</v>
      </c>
      <c r="AJ1145" s="5">
        <v>1</v>
      </c>
      <c r="AK1145" s="5">
        <v>1</v>
      </c>
      <c r="AL1145" s="5">
        <v>1</v>
      </c>
      <c r="AM1145" s="5">
        <v>1</v>
      </c>
    </row>
    <row r="1146" spans="1:39" s="7" customFormat="1" x14ac:dyDescent="0.25">
      <c r="A1146" s="5">
        <v>470</v>
      </c>
      <c r="B1146" s="6"/>
      <c r="C1146" s="6"/>
      <c r="D1146" s="5">
        <v>1</v>
      </c>
      <c r="E1146" s="6"/>
      <c r="F1146" s="6"/>
      <c r="G1146" s="6"/>
      <c r="H1146" s="6"/>
      <c r="I1146" s="6"/>
      <c r="J1146" s="6"/>
      <c r="K1146" s="6"/>
      <c r="L1146" s="6"/>
      <c r="M1146" s="5">
        <v>1</v>
      </c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5">
        <v>1</v>
      </c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5">
        <v>1</v>
      </c>
      <c r="AM1146" s="6"/>
    </row>
    <row r="1147" spans="1:39" s="7" customFormat="1" x14ac:dyDescent="0.25">
      <c r="A1147" s="5">
        <v>470</v>
      </c>
      <c r="B1147" s="6"/>
      <c r="C1147" s="6"/>
      <c r="D1147" s="6"/>
      <c r="E1147" s="5">
        <v>1</v>
      </c>
      <c r="F1147" s="6"/>
      <c r="G1147" s="6"/>
      <c r="H1147" s="6"/>
      <c r="I1147" s="5">
        <v>1</v>
      </c>
      <c r="J1147" s="6"/>
      <c r="K1147" s="5">
        <v>1</v>
      </c>
      <c r="L1147" s="6"/>
      <c r="M1147" s="6"/>
      <c r="N1147" s="6"/>
      <c r="O1147" s="6"/>
      <c r="P1147" s="6"/>
      <c r="Q1147" s="6"/>
      <c r="R1147" s="6"/>
      <c r="S1147" s="6"/>
      <c r="T1147" s="6"/>
      <c r="U1147" s="5">
        <v>1</v>
      </c>
      <c r="V1147" s="6"/>
      <c r="W1147" s="6"/>
      <c r="X1147" s="6"/>
      <c r="Y1147" s="6"/>
      <c r="Z1147" s="6"/>
      <c r="AA1147" s="6"/>
      <c r="AB1147" s="6"/>
      <c r="AC1147" s="5">
        <v>1</v>
      </c>
      <c r="AD1147" s="5">
        <v>1</v>
      </c>
      <c r="AE1147" s="6"/>
      <c r="AF1147" s="6"/>
      <c r="AG1147" s="6"/>
      <c r="AH1147" s="6"/>
      <c r="AI1147" s="6"/>
      <c r="AJ1147" s="6"/>
      <c r="AK1147" s="6"/>
      <c r="AL1147" s="6"/>
      <c r="AM1147" s="6"/>
    </row>
    <row r="1148" spans="1:39" s="7" customFormat="1" x14ac:dyDescent="0.25">
      <c r="A1148" s="5">
        <v>470</v>
      </c>
      <c r="B1148" s="6"/>
      <c r="C1148" s="6"/>
      <c r="D1148" s="6"/>
      <c r="E1148" s="6"/>
      <c r="F1148" s="6"/>
      <c r="G1148" s="6"/>
      <c r="H1148" s="6"/>
      <c r="I1148" s="6"/>
      <c r="J1148" s="6"/>
      <c r="K1148" s="6"/>
      <c r="L1148" s="5">
        <v>1</v>
      </c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5">
        <v>1</v>
      </c>
      <c r="X1148" s="5">
        <v>1</v>
      </c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5">
        <v>1</v>
      </c>
      <c r="AL1148" s="6"/>
      <c r="AM1148" s="6"/>
    </row>
    <row r="1149" spans="1:39" s="7" customFormat="1" x14ac:dyDescent="0.25">
      <c r="A1149" s="5">
        <v>470</v>
      </c>
      <c r="B1149" s="6"/>
      <c r="C1149" s="6"/>
      <c r="D1149" s="6"/>
      <c r="E1149" s="6"/>
      <c r="F1149" s="6"/>
      <c r="G1149" s="6"/>
      <c r="H1149" s="6"/>
      <c r="I1149" s="6"/>
      <c r="J1149" s="5">
        <v>1</v>
      </c>
      <c r="K1149" s="6"/>
      <c r="L1149" s="6"/>
      <c r="M1149" s="6"/>
      <c r="N1149" s="6"/>
      <c r="O1149" s="5">
        <v>1</v>
      </c>
      <c r="P1149" s="6"/>
      <c r="Q1149" s="5">
        <v>1</v>
      </c>
      <c r="R1149" s="6"/>
      <c r="S1149" s="6"/>
      <c r="T1149" s="5">
        <v>1</v>
      </c>
      <c r="U1149" s="6"/>
      <c r="V1149" s="5">
        <v>1</v>
      </c>
      <c r="W1149" s="6"/>
      <c r="X1149" s="6"/>
      <c r="Y1149" s="6"/>
      <c r="Z1149" s="5">
        <v>1</v>
      </c>
      <c r="AA1149" s="6"/>
      <c r="AB1149" s="6"/>
      <c r="AC1149" s="6"/>
      <c r="AD1149" s="6"/>
      <c r="AE1149" s="6"/>
      <c r="AF1149" s="6"/>
      <c r="AG1149" s="6"/>
      <c r="AH1149" s="6"/>
      <c r="AI1149" s="5">
        <v>1</v>
      </c>
      <c r="AJ1149" s="6"/>
      <c r="AK1149" s="6"/>
      <c r="AL1149" s="6"/>
      <c r="AM1149" s="6"/>
    </row>
    <row r="1150" spans="1:39" s="7" customFormat="1" x14ac:dyDescent="0.25">
      <c r="A1150" s="5">
        <v>470</v>
      </c>
      <c r="B1150" s="6"/>
      <c r="C1150" s="5">
        <v>1</v>
      </c>
      <c r="D1150" s="6"/>
      <c r="E1150" s="6"/>
      <c r="F1150" s="6"/>
      <c r="G1150" s="5">
        <v>1</v>
      </c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5">
        <v>1</v>
      </c>
      <c r="S1150" s="6"/>
      <c r="T1150" s="6"/>
      <c r="U1150" s="6"/>
      <c r="V1150" s="6"/>
      <c r="W1150" s="6"/>
      <c r="X1150" s="6"/>
      <c r="Y1150" s="6"/>
      <c r="Z1150" s="6"/>
      <c r="AA1150" s="6"/>
      <c r="AB1150" s="5">
        <v>1</v>
      </c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5">
        <v>1</v>
      </c>
    </row>
    <row r="1151" spans="1:39" s="7" customFormat="1" x14ac:dyDescent="0.25">
      <c r="A1151" s="5">
        <v>470</v>
      </c>
      <c r="B1151" s="5">
        <v>1</v>
      </c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5">
        <v>1</v>
      </c>
      <c r="AG1151" s="6"/>
      <c r="AH1151" s="6"/>
      <c r="AI1151" s="6"/>
      <c r="AJ1151" s="6"/>
      <c r="AK1151" s="6"/>
      <c r="AL1151" s="6"/>
      <c r="AM1151" s="6"/>
    </row>
    <row r="1152" spans="1:39" s="7" customFormat="1" x14ac:dyDescent="0.25">
      <c r="A1152" s="5">
        <v>470</v>
      </c>
      <c r="B1152" s="6"/>
      <c r="C1152" s="6"/>
      <c r="D1152" s="6"/>
      <c r="E1152" s="6"/>
      <c r="F1152" s="5">
        <v>1</v>
      </c>
      <c r="G1152" s="6"/>
      <c r="H1152" s="6"/>
      <c r="I1152" s="6"/>
      <c r="J1152" s="6"/>
      <c r="K1152" s="6"/>
      <c r="L1152" s="6"/>
      <c r="M1152" s="6"/>
      <c r="N1152" s="5">
        <v>1</v>
      </c>
      <c r="O1152" s="6"/>
      <c r="P1152" s="5">
        <v>1</v>
      </c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5">
        <v>1</v>
      </c>
      <c r="AH1152" s="5">
        <v>1</v>
      </c>
      <c r="AI1152" s="6"/>
      <c r="AJ1152" s="6"/>
      <c r="AK1152" s="6"/>
      <c r="AL1152" s="6"/>
      <c r="AM1152" s="6"/>
    </row>
    <row r="1153" spans="1:39" s="7" customFormat="1" x14ac:dyDescent="0.25">
      <c r="A1153" s="5">
        <v>470</v>
      </c>
      <c r="B1153" s="6"/>
      <c r="C1153" s="6"/>
      <c r="D1153" s="6"/>
      <c r="E1153" s="6"/>
      <c r="F1153" s="6"/>
      <c r="G1153" s="6"/>
      <c r="H1153" s="5">
        <v>1</v>
      </c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5">
        <v>1</v>
      </c>
      <c r="AF1153" s="6"/>
      <c r="AG1153" s="6"/>
      <c r="AH1153" s="6"/>
      <c r="AI1153" s="6"/>
      <c r="AJ1153" s="6"/>
      <c r="AK1153" s="6"/>
      <c r="AL1153" s="6"/>
      <c r="AM1153" s="6"/>
    </row>
    <row r="1154" spans="1:39" s="7" customFormat="1" x14ac:dyDescent="0.25">
      <c r="A1154" s="5">
        <v>470</v>
      </c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5">
        <v>1</v>
      </c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</row>
    <row r="1155" spans="1:39" s="7" customFormat="1" x14ac:dyDescent="0.25">
      <c r="A1155" s="5">
        <v>470</v>
      </c>
      <c r="B1155" s="6"/>
      <c r="C1155" s="6"/>
      <c r="D1155" s="6"/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5">
        <v>1</v>
      </c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5">
        <v>1</v>
      </c>
      <c r="AK1155" s="6"/>
      <c r="AL1155" s="6"/>
      <c r="AM1155" s="6"/>
    </row>
    <row r="1156" spans="1:39" s="7" customFormat="1" x14ac:dyDescent="0.25">
      <c r="A1156" s="5">
        <v>471</v>
      </c>
      <c r="B1156" s="5">
        <v>1</v>
      </c>
      <c r="C1156" s="5">
        <v>1</v>
      </c>
      <c r="D1156" s="5">
        <v>1</v>
      </c>
      <c r="E1156" s="5">
        <v>1</v>
      </c>
      <c r="F1156" s="5">
        <v>1</v>
      </c>
      <c r="G1156" s="5">
        <v>1</v>
      </c>
      <c r="H1156" s="5">
        <v>1</v>
      </c>
      <c r="I1156" s="5">
        <v>1</v>
      </c>
      <c r="J1156" s="5">
        <v>1</v>
      </c>
      <c r="K1156" s="5">
        <v>1</v>
      </c>
      <c r="L1156" s="5">
        <v>1</v>
      </c>
      <c r="M1156" s="5">
        <v>1</v>
      </c>
      <c r="N1156" s="5">
        <v>1</v>
      </c>
      <c r="O1156" s="5">
        <v>1</v>
      </c>
      <c r="P1156" s="5">
        <v>1</v>
      </c>
      <c r="Q1156" s="5">
        <v>1</v>
      </c>
      <c r="R1156" s="5">
        <v>1</v>
      </c>
      <c r="S1156" s="5">
        <v>1</v>
      </c>
      <c r="T1156" s="5">
        <v>1</v>
      </c>
      <c r="U1156" s="5">
        <v>1</v>
      </c>
      <c r="V1156" s="5">
        <v>1</v>
      </c>
      <c r="W1156" s="5">
        <v>1</v>
      </c>
      <c r="X1156" s="5">
        <v>1</v>
      </c>
      <c r="Y1156" s="5">
        <v>1</v>
      </c>
      <c r="Z1156" s="5">
        <v>1</v>
      </c>
      <c r="AA1156" s="5">
        <v>1</v>
      </c>
      <c r="AB1156" s="5">
        <v>1</v>
      </c>
      <c r="AC1156" s="5">
        <v>1</v>
      </c>
      <c r="AD1156" s="5">
        <v>1</v>
      </c>
      <c r="AE1156" s="5">
        <v>1</v>
      </c>
      <c r="AF1156" s="5">
        <v>1</v>
      </c>
      <c r="AG1156" s="5">
        <v>1</v>
      </c>
      <c r="AH1156" s="5">
        <v>1</v>
      </c>
      <c r="AI1156" s="5">
        <v>1</v>
      </c>
      <c r="AJ1156" s="5">
        <v>1</v>
      </c>
      <c r="AK1156" s="5">
        <v>1</v>
      </c>
      <c r="AL1156" s="5">
        <v>1</v>
      </c>
      <c r="AM1156" s="5">
        <v>1</v>
      </c>
    </row>
    <row r="1157" spans="1:39" s="7" customFormat="1" x14ac:dyDescent="0.25">
      <c r="A1157" s="5">
        <v>472</v>
      </c>
      <c r="B1157" s="5">
        <v>1</v>
      </c>
      <c r="C1157" s="5">
        <v>1</v>
      </c>
      <c r="D1157" s="5">
        <v>1</v>
      </c>
      <c r="E1157" s="5">
        <v>1</v>
      </c>
      <c r="F1157" s="5">
        <v>1</v>
      </c>
      <c r="G1157" s="5">
        <v>1</v>
      </c>
      <c r="H1157" s="5">
        <v>1</v>
      </c>
      <c r="I1157" s="5">
        <v>1</v>
      </c>
      <c r="J1157" s="5">
        <v>1</v>
      </c>
      <c r="K1157" s="5">
        <v>1</v>
      </c>
      <c r="L1157" s="5">
        <v>1</v>
      </c>
      <c r="M1157" s="5">
        <v>1</v>
      </c>
      <c r="N1157" s="5">
        <v>1</v>
      </c>
      <c r="O1157" s="5">
        <v>1</v>
      </c>
      <c r="P1157" s="5">
        <v>1</v>
      </c>
      <c r="Q1157" s="5">
        <v>1</v>
      </c>
      <c r="R1157" s="5">
        <v>1</v>
      </c>
      <c r="S1157" s="5">
        <v>1</v>
      </c>
      <c r="T1157" s="5">
        <v>1</v>
      </c>
      <c r="U1157" s="5">
        <v>1</v>
      </c>
      <c r="V1157" s="5">
        <v>1</v>
      </c>
      <c r="W1157" s="5">
        <v>1</v>
      </c>
      <c r="X1157" s="5">
        <v>1</v>
      </c>
      <c r="Y1157" s="5">
        <v>1</v>
      </c>
      <c r="Z1157" s="5">
        <v>1</v>
      </c>
      <c r="AA1157" s="5">
        <v>1</v>
      </c>
      <c r="AB1157" s="5">
        <v>1</v>
      </c>
      <c r="AC1157" s="5">
        <v>1</v>
      </c>
      <c r="AD1157" s="5">
        <v>1</v>
      </c>
      <c r="AE1157" s="5">
        <v>1</v>
      </c>
      <c r="AF1157" s="5">
        <v>1</v>
      </c>
      <c r="AG1157" s="5">
        <v>1</v>
      </c>
      <c r="AH1157" s="5">
        <v>1</v>
      </c>
      <c r="AI1157" s="5">
        <v>1</v>
      </c>
      <c r="AJ1157" s="5">
        <v>1</v>
      </c>
      <c r="AK1157" s="5">
        <v>1</v>
      </c>
      <c r="AL1157" s="5">
        <v>1</v>
      </c>
      <c r="AM1157" s="5">
        <v>1</v>
      </c>
    </row>
    <row r="1158" spans="1:39" s="7" customFormat="1" x14ac:dyDescent="0.25">
      <c r="A1158" s="5">
        <v>473</v>
      </c>
      <c r="B1158" s="5">
        <v>1</v>
      </c>
      <c r="C1158" s="5">
        <v>1</v>
      </c>
      <c r="D1158" s="5">
        <v>1</v>
      </c>
      <c r="E1158" s="5">
        <v>1</v>
      </c>
      <c r="F1158" s="5">
        <v>1</v>
      </c>
      <c r="G1158" s="5">
        <v>1</v>
      </c>
      <c r="H1158" s="5">
        <v>1</v>
      </c>
      <c r="I1158" s="5">
        <v>1</v>
      </c>
      <c r="J1158" s="5">
        <v>1</v>
      </c>
      <c r="K1158" s="5">
        <v>1</v>
      </c>
      <c r="L1158" s="5">
        <v>1</v>
      </c>
      <c r="M1158" s="5">
        <v>1</v>
      </c>
      <c r="N1158" s="5">
        <v>1</v>
      </c>
      <c r="O1158" s="5">
        <v>1</v>
      </c>
      <c r="P1158" s="5">
        <v>1</v>
      </c>
      <c r="Q1158" s="5">
        <v>1</v>
      </c>
      <c r="R1158" s="5">
        <v>1</v>
      </c>
      <c r="S1158" s="5">
        <v>1</v>
      </c>
      <c r="T1158" s="5">
        <v>1</v>
      </c>
      <c r="U1158" s="5">
        <v>1</v>
      </c>
      <c r="V1158" s="5">
        <v>1</v>
      </c>
      <c r="W1158" s="5">
        <v>1</v>
      </c>
      <c r="X1158" s="5">
        <v>1</v>
      </c>
      <c r="Y1158" s="5">
        <v>1</v>
      </c>
      <c r="Z1158" s="5">
        <v>1</v>
      </c>
      <c r="AA1158" s="5">
        <v>1</v>
      </c>
      <c r="AB1158" s="5">
        <v>1</v>
      </c>
      <c r="AC1158" s="5">
        <v>1</v>
      </c>
      <c r="AD1158" s="5">
        <v>1</v>
      </c>
      <c r="AE1158" s="5">
        <v>1</v>
      </c>
      <c r="AF1158" s="5">
        <v>1</v>
      </c>
      <c r="AG1158" s="5">
        <v>1</v>
      </c>
      <c r="AH1158" s="5">
        <v>1</v>
      </c>
      <c r="AI1158" s="5">
        <v>1</v>
      </c>
      <c r="AJ1158" s="5">
        <v>1</v>
      </c>
      <c r="AK1158" s="5">
        <v>1</v>
      </c>
      <c r="AL1158" s="5">
        <v>1</v>
      </c>
      <c r="AM1158" s="5">
        <v>1</v>
      </c>
    </row>
    <row r="1159" spans="1:39" s="7" customFormat="1" x14ac:dyDescent="0.25">
      <c r="A1159" s="5">
        <v>474</v>
      </c>
      <c r="B1159" s="5">
        <v>1</v>
      </c>
      <c r="C1159" s="5">
        <v>1</v>
      </c>
      <c r="D1159" s="5">
        <v>1</v>
      </c>
      <c r="E1159" s="5">
        <v>1</v>
      </c>
      <c r="F1159" s="5">
        <v>1</v>
      </c>
      <c r="G1159" s="5">
        <v>1</v>
      </c>
      <c r="H1159" s="5">
        <v>1</v>
      </c>
      <c r="I1159" s="5">
        <v>1</v>
      </c>
      <c r="J1159" s="5">
        <v>1</v>
      </c>
      <c r="K1159" s="5">
        <v>1</v>
      </c>
      <c r="L1159" s="5">
        <v>1</v>
      </c>
      <c r="M1159" s="5">
        <v>1</v>
      </c>
      <c r="N1159" s="5">
        <v>1</v>
      </c>
      <c r="O1159" s="5">
        <v>1</v>
      </c>
      <c r="P1159" s="5">
        <v>1</v>
      </c>
      <c r="Q1159" s="5">
        <v>1</v>
      </c>
      <c r="R1159" s="5">
        <v>1</v>
      </c>
      <c r="S1159" s="5">
        <v>1</v>
      </c>
      <c r="T1159" s="5">
        <v>1</v>
      </c>
      <c r="U1159" s="5">
        <v>1</v>
      </c>
      <c r="V1159" s="5">
        <v>1</v>
      </c>
      <c r="W1159" s="5">
        <v>1</v>
      </c>
      <c r="X1159" s="5">
        <v>1</v>
      </c>
      <c r="Y1159" s="5">
        <v>1</v>
      </c>
      <c r="Z1159" s="5">
        <v>1</v>
      </c>
      <c r="AA1159" s="5">
        <v>1</v>
      </c>
      <c r="AB1159" s="5">
        <v>1</v>
      </c>
      <c r="AC1159" s="5">
        <v>1</v>
      </c>
      <c r="AD1159" s="5">
        <v>1</v>
      </c>
      <c r="AE1159" s="5">
        <v>1</v>
      </c>
      <c r="AF1159" s="5">
        <v>1</v>
      </c>
      <c r="AG1159" s="5">
        <v>1</v>
      </c>
      <c r="AH1159" s="5">
        <v>1</v>
      </c>
      <c r="AI1159" s="5">
        <v>1</v>
      </c>
      <c r="AJ1159" s="5">
        <v>1</v>
      </c>
      <c r="AK1159" s="5">
        <v>1</v>
      </c>
      <c r="AL1159" s="5">
        <v>1</v>
      </c>
      <c r="AM1159" s="5">
        <v>1</v>
      </c>
    </row>
    <row r="1160" spans="1:39" s="7" customFormat="1" x14ac:dyDescent="0.25">
      <c r="A1160" s="5">
        <v>475</v>
      </c>
      <c r="B1160" s="5">
        <v>1</v>
      </c>
      <c r="C1160" s="5">
        <v>1</v>
      </c>
      <c r="D1160" s="5">
        <v>1</v>
      </c>
      <c r="E1160" s="5">
        <v>1</v>
      </c>
      <c r="F1160" s="5">
        <v>1</v>
      </c>
      <c r="G1160" s="5">
        <v>1</v>
      </c>
      <c r="H1160" s="5">
        <v>1</v>
      </c>
      <c r="I1160" s="5">
        <v>1</v>
      </c>
      <c r="J1160" s="5">
        <v>1</v>
      </c>
      <c r="K1160" s="5">
        <v>1</v>
      </c>
      <c r="L1160" s="5">
        <v>1</v>
      </c>
      <c r="M1160" s="5">
        <v>1</v>
      </c>
      <c r="N1160" s="5">
        <v>1</v>
      </c>
      <c r="O1160" s="5">
        <v>1</v>
      </c>
      <c r="P1160" s="5">
        <v>1</v>
      </c>
      <c r="Q1160" s="5">
        <v>1</v>
      </c>
      <c r="R1160" s="5">
        <v>1</v>
      </c>
      <c r="S1160" s="5">
        <v>1</v>
      </c>
      <c r="T1160" s="5">
        <v>1</v>
      </c>
      <c r="U1160" s="5">
        <v>1</v>
      </c>
      <c r="V1160" s="5">
        <v>1</v>
      </c>
      <c r="W1160" s="5">
        <v>1</v>
      </c>
      <c r="X1160" s="5">
        <v>1</v>
      </c>
      <c r="Y1160" s="5">
        <v>1</v>
      </c>
      <c r="Z1160" s="5">
        <v>1</v>
      </c>
      <c r="AA1160" s="5">
        <v>1</v>
      </c>
      <c r="AB1160" s="5">
        <v>1</v>
      </c>
      <c r="AC1160" s="5">
        <v>1</v>
      </c>
      <c r="AD1160" s="5">
        <v>1</v>
      </c>
      <c r="AE1160" s="5">
        <v>1</v>
      </c>
      <c r="AF1160" s="5">
        <v>1</v>
      </c>
      <c r="AG1160" s="5">
        <v>1</v>
      </c>
      <c r="AH1160" s="5">
        <v>1</v>
      </c>
      <c r="AI1160" s="5">
        <v>1</v>
      </c>
      <c r="AJ1160" s="5">
        <v>1</v>
      </c>
      <c r="AK1160" s="5">
        <v>1</v>
      </c>
      <c r="AL1160" s="5">
        <v>1</v>
      </c>
      <c r="AM1160" s="5">
        <v>1</v>
      </c>
    </row>
    <row r="1161" spans="1:39" s="7" customFormat="1" x14ac:dyDescent="0.25">
      <c r="A1161" s="5">
        <v>476</v>
      </c>
      <c r="B1161" s="5">
        <v>1</v>
      </c>
      <c r="C1161" s="5">
        <v>1</v>
      </c>
      <c r="D1161" s="5">
        <v>1</v>
      </c>
      <c r="E1161" s="5">
        <v>1</v>
      </c>
      <c r="F1161" s="5">
        <v>1</v>
      </c>
      <c r="G1161" s="5">
        <v>1</v>
      </c>
      <c r="H1161" s="5">
        <v>1</v>
      </c>
      <c r="I1161" s="5">
        <v>1</v>
      </c>
      <c r="J1161" s="5">
        <v>1</v>
      </c>
      <c r="K1161" s="5">
        <v>1</v>
      </c>
      <c r="L1161" s="5">
        <v>1</v>
      </c>
      <c r="M1161" s="5">
        <v>1</v>
      </c>
      <c r="N1161" s="5">
        <v>1</v>
      </c>
      <c r="O1161" s="5">
        <v>1</v>
      </c>
      <c r="P1161" s="5">
        <v>1</v>
      </c>
      <c r="Q1161" s="5">
        <v>1</v>
      </c>
      <c r="R1161" s="5">
        <v>1</v>
      </c>
      <c r="S1161" s="5">
        <v>1</v>
      </c>
      <c r="T1161" s="5">
        <v>1</v>
      </c>
      <c r="U1161" s="5">
        <v>1</v>
      </c>
      <c r="V1161" s="5">
        <v>1</v>
      </c>
      <c r="W1161" s="5">
        <v>1</v>
      </c>
      <c r="X1161" s="5">
        <v>1</v>
      </c>
      <c r="Y1161" s="5">
        <v>1</v>
      </c>
      <c r="Z1161" s="5">
        <v>1</v>
      </c>
      <c r="AA1161" s="5">
        <v>1</v>
      </c>
      <c r="AB1161" s="5">
        <v>1</v>
      </c>
      <c r="AC1161" s="5">
        <v>1</v>
      </c>
      <c r="AD1161" s="5">
        <v>1</v>
      </c>
      <c r="AE1161" s="5">
        <v>1</v>
      </c>
      <c r="AF1161" s="5">
        <v>1</v>
      </c>
      <c r="AG1161" s="5">
        <v>1</v>
      </c>
      <c r="AH1161" s="5">
        <v>1</v>
      </c>
      <c r="AI1161" s="5">
        <v>1</v>
      </c>
      <c r="AJ1161" s="5">
        <v>1</v>
      </c>
      <c r="AK1161" s="5">
        <v>1</v>
      </c>
      <c r="AL1161" s="5">
        <v>1</v>
      </c>
      <c r="AM1161" s="5">
        <v>1</v>
      </c>
    </row>
    <row r="1162" spans="1:39" s="7" customFormat="1" x14ac:dyDescent="0.25">
      <c r="A1162" s="5">
        <v>477</v>
      </c>
      <c r="B1162" s="5">
        <v>1</v>
      </c>
      <c r="C1162" s="5">
        <v>1</v>
      </c>
      <c r="D1162" s="5">
        <v>1</v>
      </c>
      <c r="E1162" s="5">
        <v>1</v>
      </c>
      <c r="F1162" s="5">
        <v>1</v>
      </c>
      <c r="G1162" s="5">
        <v>1</v>
      </c>
      <c r="H1162" s="5">
        <v>1</v>
      </c>
      <c r="I1162" s="5">
        <v>1</v>
      </c>
      <c r="J1162" s="5">
        <v>1</v>
      </c>
      <c r="K1162" s="5">
        <v>1</v>
      </c>
      <c r="L1162" s="5">
        <v>1</v>
      </c>
      <c r="M1162" s="5">
        <v>1</v>
      </c>
      <c r="N1162" s="5">
        <v>1</v>
      </c>
      <c r="O1162" s="5">
        <v>1</v>
      </c>
      <c r="P1162" s="5">
        <v>1</v>
      </c>
      <c r="Q1162" s="5">
        <v>1</v>
      </c>
      <c r="R1162" s="5">
        <v>1</v>
      </c>
      <c r="S1162" s="5">
        <v>1</v>
      </c>
      <c r="T1162" s="5">
        <v>1</v>
      </c>
      <c r="U1162" s="5">
        <v>1</v>
      </c>
      <c r="V1162" s="5">
        <v>1</v>
      </c>
      <c r="W1162" s="5">
        <v>1</v>
      </c>
      <c r="X1162" s="5">
        <v>1</v>
      </c>
      <c r="Y1162" s="5">
        <v>1</v>
      </c>
      <c r="Z1162" s="5">
        <v>1</v>
      </c>
      <c r="AA1162" s="5">
        <v>1</v>
      </c>
      <c r="AB1162" s="5">
        <v>1</v>
      </c>
      <c r="AC1162" s="5">
        <v>1</v>
      </c>
      <c r="AD1162" s="5">
        <v>1</v>
      </c>
      <c r="AE1162" s="5">
        <v>1</v>
      </c>
      <c r="AF1162" s="5">
        <v>1</v>
      </c>
      <c r="AG1162" s="5">
        <v>1</v>
      </c>
      <c r="AH1162" s="5">
        <v>1</v>
      </c>
      <c r="AI1162" s="5">
        <v>1</v>
      </c>
      <c r="AJ1162" s="5">
        <v>1</v>
      </c>
      <c r="AK1162" s="5">
        <v>1</v>
      </c>
      <c r="AL1162" s="5">
        <v>1</v>
      </c>
      <c r="AM1162" s="5">
        <v>1</v>
      </c>
    </row>
    <row r="1163" spans="1:39" s="7" customFormat="1" x14ac:dyDescent="0.25">
      <c r="A1163" s="5">
        <v>478</v>
      </c>
      <c r="B1163" s="6"/>
      <c r="C1163" s="6"/>
      <c r="D1163" s="5">
        <v>1</v>
      </c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5">
        <v>1</v>
      </c>
      <c r="AM1163" s="6"/>
    </row>
    <row r="1164" spans="1:39" s="7" customFormat="1" x14ac:dyDescent="0.25">
      <c r="A1164" s="5">
        <v>478</v>
      </c>
      <c r="B1164" s="5">
        <v>1</v>
      </c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5">
        <v>1</v>
      </c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5">
        <v>1</v>
      </c>
      <c r="Z1164" s="6"/>
      <c r="AA1164" s="6"/>
      <c r="AB1164" s="6"/>
      <c r="AC1164" s="6"/>
      <c r="AD1164" s="5">
        <v>1</v>
      </c>
      <c r="AE1164" s="6"/>
      <c r="AF1164" s="5">
        <v>1</v>
      </c>
      <c r="AG1164" s="6"/>
      <c r="AH1164" s="6"/>
      <c r="AI1164" s="6"/>
      <c r="AJ1164" s="6"/>
      <c r="AK1164" s="6"/>
      <c r="AL1164" s="6"/>
      <c r="AM1164" s="6"/>
    </row>
    <row r="1165" spans="1:39" s="7" customFormat="1" x14ac:dyDescent="0.25">
      <c r="A1165" s="5">
        <v>478</v>
      </c>
      <c r="B1165" s="6"/>
      <c r="C1165" s="6"/>
      <c r="D1165" s="6"/>
      <c r="E1165" s="6"/>
      <c r="F1165" s="5">
        <v>1</v>
      </c>
      <c r="G1165" s="6"/>
      <c r="H1165" s="6"/>
      <c r="I1165" s="6"/>
      <c r="J1165" s="6"/>
      <c r="K1165" s="5">
        <v>1</v>
      </c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</row>
    <row r="1166" spans="1:39" s="7" customFormat="1" x14ac:dyDescent="0.25">
      <c r="A1166" s="5">
        <v>478</v>
      </c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5">
        <v>1</v>
      </c>
      <c r="M1166" s="6"/>
      <c r="N1166" s="6"/>
      <c r="O1166" s="6"/>
      <c r="P1166" s="6"/>
      <c r="Q1166" s="6"/>
      <c r="R1166" s="6"/>
      <c r="S1166" s="6"/>
      <c r="T1166" s="6"/>
      <c r="U1166" s="5">
        <v>1</v>
      </c>
      <c r="V1166" s="6"/>
      <c r="W1166" s="6"/>
      <c r="X1166" s="5">
        <v>1</v>
      </c>
      <c r="Y1166" s="6"/>
      <c r="Z1166" s="6"/>
      <c r="AA1166" s="6"/>
      <c r="AB1166" s="6"/>
      <c r="AC1166" s="5">
        <v>1</v>
      </c>
      <c r="AD1166" s="6"/>
      <c r="AE1166" s="6"/>
      <c r="AF1166" s="6"/>
      <c r="AG1166" s="6"/>
      <c r="AH1166" s="6"/>
      <c r="AI1166" s="5">
        <v>1</v>
      </c>
      <c r="AJ1166" s="6"/>
      <c r="AK1166" s="6"/>
      <c r="AL1166" s="6"/>
      <c r="AM1166" s="6"/>
    </row>
    <row r="1167" spans="1:39" s="7" customFormat="1" x14ac:dyDescent="0.25">
      <c r="A1167" s="5">
        <v>478</v>
      </c>
      <c r="B1167" s="6"/>
      <c r="C1167" s="6"/>
      <c r="D1167" s="6"/>
      <c r="E1167" s="5">
        <v>1</v>
      </c>
      <c r="F1167" s="6"/>
      <c r="G1167" s="6"/>
      <c r="H1167" s="6"/>
      <c r="I1167" s="5">
        <v>1</v>
      </c>
      <c r="J1167" s="6"/>
      <c r="K1167" s="6"/>
      <c r="L1167" s="6"/>
      <c r="M1167" s="6"/>
      <c r="N1167" s="5">
        <v>1</v>
      </c>
      <c r="O1167" s="6"/>
      <c r="P1167" s="5">
        <v>1</v>
      </c>
      <c r="Q1167" s="5">
        <v>1</v>
      </c>
      <c r="R1167" s="6"/>
      <c r="S1167" s="6"/>
      <c r="T1167" s="5">
        <v>1</v>
      </c>
      <c r="U1167" s="6"/>
      <c r="V1167" s="6"/>
      <c r="W1167" s="6"/>
      <c r="X1167" s="6"/>
      <c r="Y1167" s="6"/>
      <c r="Z1167" s="6"/>
      <c r="AA1167" s="5">
        <v>1</v>
      </c>
      <c r="AB1167" s="6"/>
      <c r="AC1167" s="6"/>
      <c r="AD1167" s="6"/>
      <c r="AE1167" s="6"/>
      <c r="AF1167" s="6"/>
      <c r="AG1167" s="5">
        <v>1</v>
      </c>
      <c r="AH1167" s="5">
        <v>1</v>
      </c>
      <c r="AI1167" s="6"/>
      <c r="AJ1167" s="6"/>
      <c r="AK1167" s="5">
        <v>1</v>
      </c>
      <c r="AL1167" s="6"/>
      <c r="AM1167" s="6"/>
    </row>
    <row r="1168" spans="1:39" s="7" customFormat="1" x14ac:dyDescent="0.25">
      <c r="A1168" s="5">
        <v>478</v>
      </c>
      <c r="B1168" s="6"/>
      <c r="C1168" s="6"/>
      <c r="D1168" s="6"/>
      <c r="E1168" s="6"/>
      <c r="F1168" s="6"/>
      <c r="G1168" s="6"/>
      <c r="H1168" s="5">
        <v>1</v>
      </c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5">
        <v>1</v>
      </c>
      <c r="W1168" s="5">
        <v>1</v>
      </c>
      <c r="X1168" s="6"/>
      <c r="Y1168" s="6"/>
      <c r="Z1168" s="5">
        <v>1</v>
      </c>
      <c r="AA1168" s="6"/>
      <c r="AB1168" s="6"/>
      <c r="AC1168" s="6"/>
      <c r="AD1168" s="6"/>
      <c r="AE1168" s="5">
        <v>1</v>
      </c>
      <c r="AF1168" s="6"/>
      <c r="AG1168" s="6"/>
      <c r="AH1168" s="6"/>
      <c r="AI1168" s="6"/>
      <c r="AJ1168" s="6"/>
      <c r="AK1168" s="6"/>
      <c r="AL1168" s="6"/>
      <c r="AM1168" s="6"/>
    </row>
    <row r="1169" spans="1:39" s="7" customFormat="1" x14ac:dyDescent="0.25">
      <c r="A1169" s="5">
        <v>478</v>
      </c>
      <c r="B1169" s="6"/>
      <c r="C1169" s="5">
        <v>1</v>
      </c>
      <c r="D1169" s="6"/>
      <c r="E1169" s="6"/>
      <c r="F1169" s="6"/>
      <c r="G1169" s="5">
        <v>1</v>
      </c>
      <c r="H1169" s="6"/>
      <c r="I1169" s="6"/>
      <c r="J1169" s="5">
        <v>1</v>
      </c>
      <c r="K1169" s="6"/>
      <c r="L1169" s="6"/>
      <c r="M1169" s="6"/>
      <c r="N1169" s="6"/>
      <c r="O1169" s="5">
        <v>1</v>
      </c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5">
        <v>1</v>
      </c>
    </row>
    <row r="1170" spans="1:39" s="7" customFormat="1" x14ac:dyDescent="0.25">
      <c r="A1170" s="5">
        <v>478</v>
      </c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5">
        <v>1</v>
      </c>
      <c r="S1170" s="5">
        <v>1</v>
      </c>
      <c r="T1170" s="6"/>
      <c r="U1170" s="6"/>
      <c r="V1170" s="6"/>
      <c r="W1170" s="6"/>
      <c r="X1170" s="6"/>
      <c r="Y1170" s="6"/>
      <c r="Z1170" s="6"/>
      <c r="AA1170" s="6"/>
      <c r="AB1170" s="5">
        <v>1</v>
      </c>
      <c r="AC1170" s="6"/>
      <c r="AD1170" s="6"/>
      <c r="AE1170" s="6"/>
      <c r="AF1170" s="6"/>
      <c r="AG1170" s="6"/>
      <c r="AH1170" s="6"/>
      <c r="AI1170" s="6"/>
      <c r="AJ1170" s="5">
        <v>1</v>
      </c>
      <c r="AK1170" s="6"/>
      <c r="AL1170" s="6"/>
      <c r="AM1170" s="6"/>
    </row>
    <row r="1171" spans="1:39" s="7" customFormat="1" x14ac:dyDescent="0.25">
      <c r="A1171" s="5">
        <v>479</v>
      </c>
      <c r="B1171" s="6"/>
      <c r="C1171" s="6"/>
      <c r="D1171" s="5">
        <v>1</v>
      </c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5">
        <v>1</v>
      </c>
      <c r="AM1171" s="6"/>
    </row>
    <row r="1172" spans="1:39" s="7" customFormat="1" x14ac:dyDescent="0.25">
      <c r="A1172" s="5">
        <v>479</v>
      </c>
      <c r="B1172" s="5">
        <v>1</v>
      </c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5">
        <v>1</v>
      </c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5">
        <v>1</v>
      </c>
      <c r="Z1172" s="6"/>
      <c r="AA1172" s="6"/>
      <c r="AB1172" s="6"/>
      <c r="AC1172" s="6"/>
      <c r="AD1172" s="5">
        <v>1</v>
      </c>
      <c r="AE1172" s="6"/>
      <c r="AF1172" s="5">
        <v>1</v>
      </c>
      <c r="AG1172" s="6"/>
      <c r="AH1172" s="6"/>
      <c r="AI1172" s="6"/>
      <c r="AJ1172" s="6"/>
      <c r="AK1172" s="6"/>
      <c r="AL1172" s="6"/>
      <c r="AM1172" s="6"/>
    </row>
    <row r="1173" spans="1:39" s="7" customFormat="1" x14ac:dyDescent="0.25">
      <c r="A1173" s="5">
        <v>479</v>
      </c>
      <c r="B1173" s="6"/>
      <c r="C1173" s="6"/>
      <c r="D1173" s="6"/>
      <c r="E1173" s="6"/>
      <c r="F1173" s="5">
        <v>1</v>
      </c>
      <c r="G1173" s="6"/>
      <c r="H1173" s="6"/>
      <c r="I1173" s="6"/>
      <c r="J1173" s="6"/>
      <c r="K1173" s="5">
        <v>1</v>
      </c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</row>
    <row r="1174" spans="1:39" s="7" customFormat="1" x14ac:dyDescent="0.25">
      <c r="A1174" s="5">
        <v>479</v>
      </c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5">
        <v>1</v>
      </c>
      <c r="M1174" s="6"/>
      <c r="N1174" s="6"/>
      <c r="O1174" s="6"/>
      <c r="P1174" s="6"/>
      <c r="Q1174" s="6"/>
      <c r="R1174" s="6"/>
      <c r="S1174" s="6"/>
      <c r="T1174" s="6"/>
      <c r="U1174" s="5">
        <v>1</v>
      </c>
      <c r="V1174" s="6"/>
      <c r="W1174" s="6"/>
      <c r="X1174" s="5">
        <v>1</v>
      </c>
      <c r="Y1174" s="6"/>
      <c r="Z1174" s="6"/>
      <c r="AA1174" s="6"/>
      <c r="AB1174" s="6"/>
      <c r="AC1174" s="5">
        <v>1</v>
      </c>
      <c r="AD1174" s="6"/>
      <c r="AE1174" s="6"/>
      <c r="AF1174" s="6"/>
      <c r="AG1174" s="6"/>
      <c r="AH1174" s="6"/>
      <c r="AI1174" s="5">
        <v>1</v>
      </c>
      <c r="AJ1174" s="6"/>
      <c r="AK1174" s="6"/>
      <c r="AL1174" s="6"/>
      <c r="AM1174" s="6"/>
    </row>
    <row r="1175" spans="1:39" s="7" customFormat="1" x14ac:dyDescent="0.25">
      <c r="A1175" s="5">
        <v>479</v>
      </c>
      <c r="B1175" s="6"/>
      <c r="C1175" s="6"/>
      <c r="D1175" s="6"/>
      <c r="E1175" s="5">
        <v>1</v>
      </c>
      <c r="F1175" s="6"/>
      <c r="G1175" s="6"/>
      <c r="H1175" s="6"/>
      <c r="I1175" s="5">
        <v>1</v>
      </c>
      <c r="J1175" s="6"/>
      <c r="K1175" s="6"/>
      <c r="L1175" s="6"/>
      <c r="M1175" s="6"/>
      <c r="N1175" s="5">
        <v>1</v>
      </c>
      <c r="O1175" s="6"/>
      <c r="P1175" s="5">
        <v>1</v>
      </c>
      <c r="Q1175" s="5">
        <v>1</v>
      </c>
      <c r="R1175" s="6"/>
      <c r="S1175" s="6"/>
      <c r="T1175" s="5">
        <v>1</v>
      </c>
      <c r="U1175" s="6"/>
      <c r="V1175" s="6"/>
      <c r="W1175" s="6"/>
      <c r="X1175" s="6"/>
      <c r="Y1175" s="6"/>
      <c r="Z1175" s="6"/>
      <c r="AA1175" s="5">
        <v>1</v>
      </c>
      <c r="AB1175" s="6"/>
      <c r="AC1175" s="6"/>
      <c r="AD1175" s="6"/>
      <c r="AE1175" s="6"/>
      <c r="AF1175" s="6"/>
      <c r="AG1175" s="5">
        <v>1</v>
      </c>
      <c r="AH1175" s="5">
        <v>1</v>
      </c>
      <c r="AI1175" s="6"/>
      <c r="AJ1175" s="6"/>
      <c r="AK1175" s="5">
        <v>1</v>
      </c>
      <c r="AL1175" s="6"/>
      <c r="AM1175" s="6"/>
    </row>
    <row r="1176" spans="1:39" s="7" customFormat="1" x14ac:dyDescent="0.25">
      <c r="A1176" s="5">
        <v>479</v>
      </c>
      <c r="B1176" s="6"/>
      <c r="C1176" s="6"/>
      <c r="D1176" s="6"/>
      <c r="E1176" s="6"/>
      <c r="F1176" s="6"/>
      <c r="G1176" s="6"/>
      <c r="H1176" s="5">
        <v>1</v>
      </c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5">
        <v>1</v>
      </c>
      <c r="W1176" s="5">
        <v>1</v>
      </c>
      <c r="X1176" s="6"/>
      <c r="Y1176" s="6"/>
      <c r="Z1176" s="5">
        <v>1</v>
      </c>
      <c r="AA1176" s="6"/>
      <c r="AB1176" s="6"/>
      <c r="AC1176" s="6"/>
      <c r="AD1176" s="6"/>
      <c r="AE1176" s="5">
        <v>1</v>
      </c>
      <c r="AF1176" s="6"/>
      <c r="AG1176" s="6"/>
      <c r="AH1176" s="6"/>
      <c r="AI1176" s="6"/>
      <c r="AJ1176" s="6"/>
      <c r="AK1176" s="6"/>
      <c r="AL1176" s="6"/>
      <c r="AM1176" s="6"/>
    </row>
    <row r="1177" spans="1:39" s="7" customFormat="1" x14ac:dyDescent="0.25">
      <c r="A1177" s="5">
        <v>479</v>
      </c>
      <c r="B1177" s="6"/>
      <c r="C1177" s="5">
        <v>1</v>
      </c>
      <c r="D1177" s="6"/>
      <c r="E1177" s="6"/>
      <c r="F1177" s="6"/>
      <c r="G1177" s="5">
        <v>1</v>
      </c>
      <c r="H1177" s="6"/>
      <c r="I1177" s="6"/>
      <c r="J1177" s="5">
        <v>1</v>
      </c>
      <c r="K1177" s="6"/>
      <c r="L1177" s="6"/>
      <c r="M1177" s="6"/>
      <c r="N1177" s="6"/>
      <c r="O1177" s="5">
        <v>1</v>
      </c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5">
        <v>1</v>
      </c>
    </row>
    <row r="1178" spans="1:39" s="7" customFormat="1" x14ac:dyDescent="0.25">
      <c r="A1178" s="5">
        <v>479</v>
      </c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5">
        <v>1</v>
      </c>
      <c r="S1178" s="5">
        <v>1</v>
      </c>
      <c r="T1178" s="6"/>
      <c r="U1178" s="6"/>
      <c r="V1178" s="6"/>
      <c r="W1178" s="6"/>
      <c r="X1178" s="6"/>
      <c r="Y1178" s="6"/>
      <c r="Z1178" s="6"/>
      <c r="AA1178" s="6"/>
      <c r="AB1178" s="5">
        <v>1</v>
      </c>
      <c r="AC1178" s="6"/>
      <c r="AD1178" s="6"/>
      <c r="AE1178" s="6"/>
      <c r="AF1178" s="6"/>
      <c r="AG1178" s="6"/>
      <c r="AH1178" s="6"/>
      <c r="AI1178" s="6"/>
      <c r="AJ1178" s="5">
        <v>1</v>
      </c>
      <c r="AK1178" s="6"/>
      <c r="AL1178" s="6"/>
      <c r="AM1178" s="6"/>
    </row>
    <row r="1179" spans="1:39" s="7" customFormat="1" x14ac:dyDescent="0.25">
      <c r="A1179" s="5">
        <v>480</v>
      </c>
      <c r="B1179" s="5">
        <v>1</v>
      </c>
      <c r="C1179" s="5">
        <v>1</v>
      </c>
      <c r="D1179" s="5">
        <v>1</v>
      </c>
      <c r="E1179" s="5">
        <v>1</v>
      </c>
      <c r="F1179" s="5">
        <v>1</v>
      </c>
      <c r="G1179" s="5">
        <v>1</v>
      </c>
      <c r="H1179" s="5">
        <v>1</v>
      </c>
      <c r="I1179" s="5">
        <v>1</v>
      </c>
      <c r="J1179" s="5">
        <v>1</v>
      </c>
      <c r="K1179" s="5">
        <v>1</v>
      </c>
      <c r="L1179" s="5">
        <v>1</v>
      </c>
      <c r="M1179" s="5">
        <v>1</v>
      </c>
      <c r="N1179" s="5">
        <v>1</v>
      </c>
      <c r="O1179" s="5">
        <v>1</v>
      </c>
      <c r="P1179" s="5">
        <v>1</v>
      </c>
      <c r="Q1179" s="5">
        <v>1</v>
      </c>
      <c r="R1179" s="5">
        <v>1</v>
      </c>
      <c r="S1179" s="5">
        <v>1</v>
      </c>
      <c r="T1179" s="5">
        <v>1</v>
      </c>
      <c r="U1179" s="5">
        <v>1</v>
      </c>
      <c r="V1179" s="5">
        <v>1</v>
      </c>
      <c r="W1179" s="5">
        <v>1</v>
      </c>
      <c r="X1179" s="5">
        <v>1</v>
      </c>
      <c r="Y1179" s="5">
        <v>1</v>
      </c>
      <c r="Z1179" s="5">
        <v>1</v>
      </c>
      <c r="AA1179" s="5">
        <v>1</v>
      </c>
      <c r="AB1179" s="5">
        <v>1</v>
      </c>
      <c r="AC1179" s="5">
        <v>1</v>
      </c>
      <c r="AD1179" s="5">
        <v>1</v>
      </c>
      <c r="AE1179" s="5">
        <v>1</v>
      </c>
      <c r="AF1179" s="5">
        <v>1</v>
      </c>
      <c r="AG1179" s="5">
        <v>1</v>
      </c>
      <c r="AH1179" s="5">
        <v>1</v>
      </c>
      <c r="AI1179" s="5">
        <v>1</v>
      </c>
      <c r="AJ1179" s="5">
        <v>1</v>
      </c>
      <c r="AK1179" s="5">
        <v>1</v>
      </c>
      <c r="AL1179" s="5">
        <v>1</v>
      </c>
      <c r="AM1179" s="5">
        <v>1</v>
      </c>
    </row>
    <row r="1180" spans="1:39" s="7" customFormat="1" x14ac:dyDescent="0.25">
      <c r="A1180" s="5">
        <v>481</v>
      </c>
      <c r="B1180" s="6"/>
      <c r="C1180" s="6"/>
      <c r="D1180" s="5">
        <v>1</v>
      </c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5">
        <v>1</v>
      </c>
      <c r="AM1180" s="6"/>
    </row>
    <row r="1181" spans="1:39" s="7" customFormat="1" x14ac:dyDescent="0.25">
      <c r="A1181" s="5">
        <v>481</v>
      </c>
      <c r="B1181" s="5">
        <v>1</v>
      </c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5">
        <v>1</v>
      </c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5">
        <v>1</v>
      </c>
      <c r="Z1181" s="6"/>
      <c r="AA1181" s="6"/>
      <c r="AB1181" s="6"/>
      <c r="AC1181" s="6"/>
      <c r="AD1181" s="5">
        <v>1</v>
      </c>
      <c r="AE1181" s="6"/>
      <c r="AF1181" s="5">
        <v>1</v>
      </c>
      <c r="AG1181" s="6"/>
      <c r="AH1181" s="6"/>
      <c r="AI1181" s="6"/>
      <c r="AJ1181" s="6"/>
      <c r="AK1181" s="6"/>
      <c r="AL1181" s="6"/>
      <c r="AM1181" s="6"/>
    </row>
    <row r="1182" spans="1:39" s="7" customFormat="1" x14ac:dyDescent="0.25">
      <c r="A1182" s="5">
        <v>481</v>
      </c>
      <c r="B1182" s="6"/>
      <c r="C1182" s="6"/>
      <c r="D1182" s="6"/>
      <c r="E1182" s="6"/>
      <c r="F1182" s="5">
        <v>1</v>
      </c>
      <c r="G1182" s="6"/>
      <c r="H1182" s="6"/>
      <c r="I1182" s="6"/>
      <c r="J1182" s="6"/>
      <c r="K1182" s="5">
        <v>1</v>
      </c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</row>
    <row r="1183" spans="1:39" s="7" customFormat="1" x14ac:dyDescent="0.25">
      <c r="A1183" s="5">
        <v>481</v>
      </c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5">
        <v>1</v>
      </c>
      <c r="M1183" s="6"/>
      <c r="N1183" s="6"/>
      <c r="O1183" s="6"/>
      <c r="P1183" s="6"/>
      <c r="Q1183" s="6"/>
      <c r="R1183" s="6"/>
      <c r="S1183" s="6"/>
      <c r="T1183" s="6"/>
      <c r="U1183" s="5">
        <v>1</v>
      </c>
      <c r="V1183" s="6"/>
      <c r="W1183" s="6"/>
      <c r="X1183" s="5">
        <v>1</v>
      </c>
      <c r="Y1183" s="6"/>
      <c r="Z1183" s="6"/>
      <c r="AA1183" s="6"/>
      <c r="AB1183" s="6"/>
      <c r="AC1183" s="5">
        <v>1</v>
      </c>
      <c r="AD1183" s="6"/>
      <c r="AE1183" s="6"/>
      <c r="AF1183" s="6"/>
      <c r="AG1183" s="6"/>
      <c r="AH1183" s="6"/>
      <c r="AI1183" s="5">
        <v>1</v>
      </c>
      <c r="AJ1183" s="6"/>
      <c r="AK1183" s="6"/>
      <c r="AL1183" s="6"/>
      <c r="AM1183" s="6"/>
    </row>
    <row r="1184" spans="1:39" s="7" customFormat="1" x14ac:dyDescent="0.25">
      <c r="A1184" s="5">
        <v>481</v>
      </c>
      <c r="B1184" s="6"/>
      <c r="C1184" s="6"/>
      <c r="D1184" s="6"/>
      <c r="E1184" s="5">
        <v>1</v>
      </c>
      <c r="F1184" s="6"/>
      <c r="G1184" s="6"/>
      <c r="H1184" s="6"/>
      <c r="I1184" s="5">
        <v>1</v>
      </c>
      <c r="J1184" s="6"/>
      <c r="K1184" s="6"/>
      <c r="L1184" s="6"/>
      <c r="M1184" s="6"/>
      <c r="N1184" s="5">
        <v>1</v>
      </c>
      <c r="O1184" s="6"/>
      <c r="P1184" s="5">
        <v>1</v>
      </c>
      <c r="Q1184" s="5">
        <v>1</v>
      </c>
      <c r="R1184" s="6"/>
      <c r="S1184" s="6"/>
      <c r="T1184" s="5">
        <v>1</v>
      </c>
      <c r="U1184" s="6"/>
      <c r="V1184" s="6"/>
      <c r="W1184" s="6"/>
      <c r="X1184" s="6"/>
      <c r="Y1184" s="6"/>
      <c r="Z1184" s="6"/>
      <c r="AA1184" s="5">
        <v>1</v>
      </c>
      <c r="AB1184" s="6"/>
      <c r="AC1184" s="6"/>
      <c r="AD1184" s="6"/>
      <c r="AE1184" s="6"/>
      <c r="AF1184" s="6"/>
      <c r="AG1184" s="5">
        <v>1</v>
      </c>
      <c r="AH1184" s="5">
        <v>1</v>
      </c>
      <c r="AI1184" s="6"/>
      <c r="AJ1184" s="6"/>
      <c r="AK1184" s="5">
        <v>1</v>
      </c>
      <c r="AL1184" s="6"/>
      <c r="AM1184" s="6"/>
    </row>
    <row r="1185" spans="1:39" s="7" customFormat="1" x14ac:dyDescent="0.25">
      <c r="A1185" s="5">
        <v>481</v>
      </c>
      <c r="B1185" s="6"/>
      <c r="C1185" s="6"/>
      <c r="D1185" s="6"/>
      <c r="E1185" s="6"/>
      <c r="F1185" s="6"/>
      <c r="G1185" s="6"/>
      <c r="H1185" s="5">
        <v>1</v>
      </c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5">
        <v>1</v>
      </c>
      <c r="W1185" s="5">
        <v>1</v>
      </c>
      <c r="X1185" s="6"/>
      <c r="Y1185" s="6"/>
      <c r="Z1185" s="5">
        <v>1</v>
      </c>
      <c r="AA1185" s="6"/>
      <c r="AB1185" s="6"/>
      <c r="AC1185" s="6"/>
      <c r="AD1185" s="6"/>
      <c r="AE1185" s="5">
        <v>1</v>
      </c>
      <c r="AF1185" s="6"/>
      <c r="AG1185" s="6"/>
      <c r="AH1185" s="6"/>
      <c r="AI1185" s="6"/>
      <c r="AJ1185" s="6"/>
      <c r="AK1185" s="6"/>
      <c r="AL1185" s="6"/>
      <c r="AM1185" s="6"/>
    </row>
    <row r="1186" spans="1:39" s="7" customFormat="1" x14ac:dyDescent="0.25">
      <c r="A1186" s="5">
        <v>481</v>
      </c>
      <c r="B1186" s="6"/>
      <c r="C1186" s="5">
        <v>1</v>
      </c>
      <c r="D1186" s="6"/>
      <c r="E1186" s="6"/>
      <c r="F1186" s="6"/>
      <c r="G1186" s="5">
        <v>1</v>
      </c>
      <c r="H1186" s="6"/>
      <c r="I1186" s="6"/>
      <c r="J1186" s="5">
        <v>1</v>
      </c>
      <c r="K1186" s="6"/>
      <c r="L1186" s="6"/>
      <c r="M1186" s="6"/>
      <c r="N1186" s="6"/>
      <c r="O1186" s="5">
        <v>1</v>
      </c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5">
        <v>1</v>
      </c>
    </row>
    <row r="1187" spans="1:39" s="7" customFormat="1" x14ac:dyDescent="0.25">
      <c r="A1187" s="5">
        <v>481</v>
      </c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5">
        <v>1</v>
      </c>
      <c r="S1187" s="5">
        <v>1</v>
      </c>
      <c r="T1187" s="6"/>
      <c r="U1187" s="6"/>
      <c r="V1187" s="6"/>
      <c r="W1187" s="6"/>
      <c r="X1187" s="6"/>
      <c r="Y1187" s="6"/>
      <c r="Z1187" s="6"/>
      <c r="AA1187" s="6"/>
      <c r="AB1187" s="5">
        <v>1</v>
      </c>
      <c r="AC1187" s="6"/>
      <c r="AD1187" s="6"/>
      <c r="AE1187" s="6"/>
      <c r="AF1187" s="6"/>
      <c r="AG1187" s="6"/>
      <c r="AH1187" s="6"/>
      <c r="AI1187" s="6"/>
      <c r="AJ1187" s="5">
        <v>1</v>
      </c>
      <c r="AK1187" s="6"/>
      <c r="AL1187" s="6"/>
      <c r="AM1187" s="6"/>
    </row>
    <row r="1188" spans="1:39" s="7" customFormat="1" x14ac:dyDescent="0.25">
      <c r="A1188" s="5">
        <v>482</v>
      </c>
      <c r="B1188" s="5">
        <v>1</v>
      </c>
      <c r="C1188" s="5">
        <v>1</v>
      </c>
      <c r="D1188" s="5">
        <v>1</v>
      </c>
      <c r="E1188" s="5">
        <v>1</v>
      </c>
      <c r="F1188" s="5">
        <v>1</v>
      </c>
      <c r="G1188" s="5">
        <v>1</v>
      </c>
      <c r="H1188" s="5">
        <v>1</v>
      </c>
      <c r="I1188" s="5">
        <v>1</v>
      </c>
      <c r="J1188" s="5">
        <v>1</v>
      </c>
      <c r="K1188" s="5">
        <v>1</v>
      </c>
      <c r="L1188" s="5">
        <v>1</v>
      </c>
      <c r="M1188" s="5">
        <v>1</v>
      </c>
      <c r="N1188" s="5">
        <v>1</v>
      </c>
      <c r="O1188" s="5">
        <v>1</v>
      </c>
      <c r="P1188" s="5">
        <v>1</v>
      </c>
      <c r="Q1188" s="5">
        <v>1</v>
      </c>
      <c r="R1188" s="5">
        <v>1</v>
      </c>
      <c r="S1188" s="5">
        <v>1</v>
      </c>
      <c r="T1188" s="5">
        <v>1</v>
      </c>
      <c r="U1188" s="5">
        <v>1</v>
      </c>
      <c r="V1188" s="5">
        <v>1</v>
      </c>
      <c r="W1188" s="5">
        <v>1</v>
      </c>
      <c r="X1188" s="5">
        <v>1</v>
      </c>
      <c r="Y1188" s="5">
        <v>1</v>
      </c>
      <c r="Z1188" s="5">
        <v>1</v>
      </c>
      <c r="AA1188" s="5">
        <v>1</v>
      </c>
      <c r="AB1188" s="5">
        <v>1</v>
      </c>
      <c r="AC1188" s="5">
        <v>1</v>
      </c>
      <c r="AD1188" s="5">
        <v>1</v>
      </c>
      <c r="AE1188" s="5">
        <v>1</v>
      </c>
      <c r="AF1188" s="5">
        <v>1</v>
      </c>
      <c r="AG1188" s="5">
        <v>1</v>
      </c>
      <c r="AH1188" s="5">
        <v>1</v>
      </c>
      <c r="AI1188" s="5">
        <v>1</v>
      </c>
      <c r="AJ1188" s="5">
        <v>1</v>
      </c>
      <c r="AK1188" s="5">
        <v>1</v>
      </c>
      <c r="AL1188" s="5">
        <v>1</v>
      </c>
      <c r="AM1188" s="5">
        <v>1</v>
      </c>
    </row>
    <row r="1189" spans="1:39" s="7" customFormat="1" x14ac:dyDescent="0.25">
      <c r="A1189" s="5">
        <v>483</v>
      </c>
      <c r="B1189" s="5">
        <v>1</v>
      </c>
      <c r="C1189" s="5">
        <v>1</v>
      </c>
      <c r="D1189" s="6"/>
      <c r="E1189" s="5">
        <v>1</v>
      </c>
      <c r="F1189" s="5">
        <v>1</v>
      </c>
      <c r="G1189" s="5">
        <v>1</v>
      </c>
      <c r="H1189" s="5">
        <v>1</v>
      </c>
      <c r="I1189" s="5">
        <v>1</v>
      </c>
      <c r="J1189" s="5">
        <v>1</v>
      </c>
      <c r="K1189" s="5">
        <v>1</v>
      </c>
      <c r="L1189" s="5">
        <v>1</v>
      </c>
      <c r="M1189" s="5">
        <v>1</v>
      </c>
      <c r="N1189" s="5">
        <v>1</v>
      </c>
      <c r="O1189" s="5">
        <v>1</v>
      </c>
      <c r="P1189" s="5">
        <v>1</v>
      </c>
      <c r="Q1189" s="5">
        <v>1</v>
      </c>
      <c r="R1189" s="5">
        <v>1</v>
      </c>
      <c r="S1189" s="5">
        <v>1</v>
      </c>
      <c r="T1189" s="5">
        <v>1</v>
      </c>
      <c r="U1189" s="5">
        <v>1</v>
      </c>
      <c r="V1189" s="5">
        <v>1</v>
      </c>
      <c r="W1189" s="5">
        <v>1</v>
      </c>
      <c r="X1189" s="5">
        <v>1</v>
      </c>
      <c r="Y1189" s="5">
        <v>1</v>
      </c>
      <c r="Z1189" s="5">
        <v>1</v>
      </c>
      <c r="AA1189" s="5">
        <v>1</v>
      </c>
      <c r="AB1189" s="5">
        <v>1</v>
      </c>
      <c r="AC1189" s="5">
        <v>1</v>
      </c>
      <c r="AD1189" s="6"/>
      <c r="AE1189" s="5">
        <v>1</v>
      </c>
      <c r="AF1189" s="5">
        <v>1</v>
      </c>
      <c r="AG1189" s="5">
        <v>1</v>
      </c>
      <c r="AH1189" s="5">
        <v>1</v>
      </c>
      <c r="AI1189" s="6"/>
      <c r="AJ1189" s="5">
        <v>1</v>
      </c>
      <c r="AK1189" s="5">
        <v>1</v>
      </c>
      <c r="AL1189" s="6"/>
      <c r="AM1189" s="5">
        <v>1</v>
      </c>
    </row>
    <row r="1190" spans="1:39" s="7" customFormat="1" x14ac:dyDescent="0.25">
      <c r="A1190" s="5">
        <v>484</v>
      </c>
      <c r="B1190" s="5">
        <v>1</v>
      </c>
      <c r="C1190" s="5">
        <v>1</v>
      </c>
      <c r="D1190" s="5">
        <v>1</v>
      </c>
      <c r="E1190" s="5">
        <v>1</v>
      </c>
      <c r="F1190" s="5">
        <v>1</v>
      </c>
      <c r="G1190" s="5">
        <v>1</v>
      </c>
      <c r="H1190" s="5">
        <v>1</v>
      </c>
      <c r="I1190" s="5">
        <v>1</v>
      </c>
      <c r="J1190" s="5">
        <v>1</v>
      </c>
      <c r="K1190" s="5">
        <v>1</v>
      </c>
      <c r="L1190" s="5">
        <v>1</v>
      </c>
      <c r="M1190" s="5">
        <v>1</v>
      </c>
      <c r="N1190" s="5">
        <v>1</v>
      </c>
      <c r="O1190" s="5">
        <v>1</v>
      </c>
      <c r="P1190" s="5">
        <v>1</v>
      </c>
      <c r="Q1190" s="5">
        <v>1</v>
      </c>
      <c r="R1190" s="5">
        <v>1</v>
      </c>
      <c r="S1190" s="5">
        <v>1</v>
      </c>
      <c r="T1190" s="5">
        <v>1</v>
      </c>
      <c r="U1190" s="5">
        <v>1</v>
      </c>
      <c r="V1190" s="5">
        <v>1</v>
      </c>
      <c r="W1190" s="5">
        <v>1</v>
      </c>
      <c r="X1190" s="5">
        <v>1</v>
      </c>
      <c r="Y1190" s="5">
        <v>1</v>
      </c>
      <c r="Z1190" s="5">
        <v>1</v>
      </c>
      <c r="AA1190" s="5">
        <v>1</v>
      </c>
      <c r="AB1190" s="5">
        <v>1</v>
      </c>
      <c r="AC1190" s="5">
        <v>1</v>
      </c>
      <c r="AD1190" s="5">
        <v>1</v>
      </c>
      <c r="AE1190" s="5">
        <v>1</v>
      </c>
      <c r="AF1190" s="5">
        <v>1</v>
      </c>
      <c r="AG1190" s="5">
        <v>1</v>
      </c>
      <c r="AH1190" s="5">
        <v>1</v>
      </c>
      <c r="AI1190" s="5">
        <v>1</v>
      </c>
      <c r="AJ1190" s="5">
        <v>1</v>
      </c>
      <c r="AK1190" s="5">
        <v>1</v>
      </c>
      <c r="AL1190" s="6"/>
      <c r="AM1190" s="5">
        <v>1</v>
      </c>
    </row>
    <row r="1191" spans="1:39" s="7" customFormat="1" x14ac:dyDescent="0.25">
      <c r="A1191" s="5">
        <v>485</v>
      </c>
      <c r="B1191" s="5">
        <v>1</v>
      </c>
      <c r="C1191" s="5">
        <v>1</v>
      </c>
      <c r="D1191" s="5">
        <v>1</v>
      </c>
      <c r="E1191" s="5">
        <v>1</v>
      </c>
      <c r="F1191" s="5">
        <v>1</v>
      </c>
      <c r="G1191" s="5">
        <v>1</v>
      </c>
      <c r="H1191" s="5">
        <v>1</v>
      </c>
      <c r="I1191" s="5">
        <v>1</v>
      </c>
      <c r="J1191" s="5">
        <v>1</v>
      </c>
      <c r="K1191" s="5">
        <v>1</v>
      </c>
      <c r="L1191" s="5">
        <v>1</v>
      </c>
      <c r="M1191" s="5">
        <v>1</v>
      </c>
      <c r="N1191" s="5">
        <v>1</v>
      </c>
      <c r="O1191" s="5">
        <v>1</v>
      </c>
      <c r="P1191" s="5">
        <v>1</v>
      </c>
      <c r="Q1191" s="5">
        <v>1</v>
      </c>
      <c r="R1191" s="5">
        <v>1</v>
      </c>
      <c r="S1191" s="5">
        <v>1</v>
      </c>
      <c r="T1191" s="5">
        <v>1</v>
      </c>
      <c r="U1191" s="5">
        <v>1</v>
      </c>
      <c r="V1191" s="5">
        <v>1</v>
      </c>
      <c r="W1191" s="5">
        <v>1</v>
      </c>
      <c r="X1191" s="5">
        <v>1</v>
      </c>
      <c r="Y1191" s="5">
        <v>1</v>
      </c>
      <c r="Z1191" s="5">
        <v>1</v>
      </c>
      <c r="AA1191" s="5">
        <v>1</v>
      </c>
      <c r="AB1191" s="5">
        <v>1</v>
      </c>
      <c r="AC1191" s="5">
        <v>1</v>
      </c>
      <c r="AD1191" s="5">
        <v>1</v>
      </c>
      <c r="AE1191" s="5">
        <v>1</v>
      </c>
      <c r="AF1191" s="5">
        <v>1</v>
      </c>
      <c r="AG1191" s="5">
        <v>1</v>
      </c>
      <c r="AH1191" s="5">
        <v>1</v>
      </c>
      <c r="AI1191" s="5">
        <v>1</v>
      </c>
      <c r="AJ1191" s="5">
        <v>1</v>
      </c>
      <c r="AK1191" s="5">
        <v>1</v>
      </c>
      <c r="AL1191" s="5">
        <v>1</v>
      </c>
      <c r="AM1191" s="5">
        <v>1</v>
      </c>
    </row>
    <row r="1192" spans="1:39" s="7" customFormat="1" x14ac:dyDescent="0.25">
      <c r="A1192" s="5">
        <v>486</v>
      </c>
      <c r="B1192" s="5">
        <v>1</v>
      </c>
      <c r="C1192" s="5">
        <v>1</v>
      </c>
      <c r="D1192" s="5">
        <v>1</v>
      </c>
      <c r="E1192" s="5">
        <v>1</v>
      </c>
      <c r="F1192" s="5">
        <v>1</v>
      </c>
      <c r="G1192" s="5">
        <v>1</v>
      </c>
      <c r="H1192" s="5">
        <v>1</v>
      </c>
      <c r="I1192" s="5">
        <v>1</v>
      </c>
      <c r="J1192" s="5">
        <v>1</v>
      </c>
      <c r="K1192" s="5">
        <v>1</v>
      </c>
      <c r="L1192" s="5">
        <v>1</v>
      </c>
      <c r="M1192" s="5">
        <v>1</v>
      </c>
      <c r="N1192" s="5">
        <v>1</v>
      </c>
      <c r="O1192" s="5">
        <v>1</v>
      </c>
      <c r="P1192" s="5">
        <v>1</v>
      </c>
      <c r="Q1192" s="5">
        <v>1</v>
      </c>
      <c r="R1192" s="5">
        <v>1</v>
      </c>
      <c r="S1192" s="5">
        <v>1</v>
      </c>
      <c r="T1192" s="5">
        <v>1</v>
      </c>
      <c r="U1192" s="5">
        <v>1</v>
      </c>
      <c r="V1192" s="5">
        <v>1</v>
      </c>
      <c r="W1192" s="5">
        <v>1</v>
      </c>
      <c r="X1192" s="5">
        <v>1</v>
      </c>
      <c r="Y1192" s="5">
        <v>1</v>
      </c>
      <c r="Z1192" s="5">
        <v>1</v>
      </c>
      <c r="AA1192" s="5">
        <v>1</v>
      </c>
      <c r="AB1192" s="5">
        <v>1</v>
      </c>
      <c r="AC1192" s="5">
        <v>1</v>
      </c>
      <c r="AD1192" s="5">
        <v>1</v>
      </c>
      <c r="AE1192" s="5">
        <v>1</v>
      </c>
      <c r="AF1192" s="5">
        <v>1</v>
      </c>
      <c r="AG1192" s="5">
        <v>1</v>
      </c>
      <c r="AH1192" s="5">
        <v>1</v>
      </c>
      <c r="AI1192" s="5">
        <v>1</v>
      </c>
      <c r="AJ1192" s="5">
        <v>1</v>
      </c>
      <c r="AK1192" s="5">
        <v>1</v>
      </c>
      <c r="AL1192" s="5">
        <v>1</v>
      </c>
      <c r="AM1192" s="5">
        <v>1</v>
      </c>
    </row>
    <row r="1193" spans="1:39" s="7" customFormat="1" x14ac:dyDescent="0.25">
      <c r="A1193" s="5">
        <v>487</v>
      </c>
      <c r="B1193" s="5">
        <v>1</v>
      </c>
      <c r="C1193" s="6"/>
      <c r="D1193" s="5">
        <v>1</v>
      </c>
      <c r="E1193" s="5">
        <v>1</v>
      </c>
      <c r="F1193" s="6"/>
      <c r="G1193" s="6"/>
      <c r="H1193" s="6"/>
      <c r="I1193" s="6"/>
      <c r="J1193" s="6"/>
      <c r="K1193" s="6"/>
      <c r="L1193" s="6"/>
      <c r="M1193" s="6"/>
      <c r="N1193" s="5">
        <v>1</v>
      </c>
      <c r="O1193" s="6"/>
      <c r="P1193" s="6"/>
      <c r="Q1193" s="6"/>
      <c r="R1193" s="6"/>
      <c r="S1193" s="6"/>
      <c r="T1193" s="6"/>
      <c r="U1193" s="5">
        <v>1</v>
      </c>
      <c r="V1193" s="6"/>
      <c r="W1193" s="6"/>
      <c r="X1193" s="6"/>
      <c r="Y1193" s="5">
        <v>1</v>
      </c>
      <c r="Z1193" s="6"/>
      <c r="AA1193" s="6"/>
      <c r="AB1193" s="6"/>
      <c r="AC1193" s="6"/>
      <c r="AD1193" s="6"/>
      <c r="AE1193" s="6"/>
      <c r="AF1193" s="6"/>
      <c r="AG1193" s="5">
        <v>1</v>
      </c>
      <c r="AH1193" s="6"/>
      <c r="AI1193" s="6"/>
      <c r="AJ1193" s="6"/>
      <c r="AK1193" s="6"/>
      <c r="AL1193" s="5">
        <v>1</v>
      </c>
      <c r="AM1193" s="6"/>
    </row>
    <row r="1194" spans="1:39" s="7" customFormat="1" x14ac:dyDescent="0.25">
      <c r="A1194" s="5">
        <v>487</v>
      </c>
      <c r="B1194" s="6"/>
      <c r="C1194" s="5">
        <v>1</v>
      </c>
      <c r="D1194" s="6"/>
      <c r="E1194" s="6"/>
      <c r="F1194" s="5">
        <v>1</v>
      </c>
      <c r="G1194" s="5">
        <v>1</v>
      </c>
      <c r="H1194" s="5">
        <v>1</v>
      </c>
      <c r="I1194" s="5">
        <v>1</v>
      </c>
      <c r="J1194" s="5">
        <v>1</v>
      </c>
      <c r="K1194" s="5">
        <v>1</v>
      </c>
      <c r="L1194" s="5">
        <v>1</v>
      </c>
      <c r="M1194" s="5">
        <v>1</v>
      </c>
      <c r="N1194" s="6"/>
      <c r="O1194" s="5">
        <v>1</v>
      </c>
      <c r="P1194" s="5">
        <v>1</v>
      </c>
      <c r="Q1194" s="5">
        <v>1</v>
      </c>
      <c r="R1194" s="5">
        <v>1</v>
      </c>
      <c r="S1194" s="5">
        <v>1</v>
      </c>
      <c r="T1194" s="5">
        <v>1</v>
      </c>
      <c r="U1194" s="6"/>
      <c r="V1194" s="5">
        <v>1</v>
      </c>
      <c r="W1194" s="5">
        <v>1</v>
      </c>
      <c r="X1194" s="5">
        <v>1</v>
      </c>
      <c r="Y1194" s="6"/>
      <c r="Z1194" s="5">
        <v>1</v>
      </c>
      <c r="AA1194" s="5">
        <v>1</v>
      </c>
      <c r="AB1194" s="5">
        <v>1</v>
      </c>
      <c r="AC1194" s="5">
        <v>1</v>
      </c>
      <c r="AD1194" s="5">
        <v>1</v>
      </c>
      <c r="AE1194" s="5">
        <v>1</v>
      </c>
      <c r="AF1194" s="5">
        <v>1</v>
      </c>
      <c r="AG1194" s="6"/>
      <c r="AH1194" s="5">
        <v>1</v>
      </c>
      <c r="AI1194" s="5">
        <v>1</v>
      </c>
      <c r="AJ1194" s="5">
        <v>1</v>
      </c>
      <c r="AK1194" s="5">
        <v>1</v>
      </c>
      <c r="AL1194" s="6"/>
      <c r="AM1194" s="5">
        <v>1</v>
      </c>
    </row>
    <row r="1195" spans="1:39" s="7" customFormat="1" x14ac:dyDescent="0.25">
      <c r="A1195" s="5">
        <v>488</v>
      </c>
      <c r="B1195" s="5">
        <v>1</v>
      </c>
      <c r="C1195" s="6"/>
      <c r="D1195" s="5">
        <v>1</v>
      </c>
      <c r="E1195" s="5">
        <v>1</v>
      </c>
      <c r="F1195" s="6"/>
      <c r="G1195" s="6"/>
      <c r="H1195" s="6"/>
      <c r="I1195" s="6"/>
      <c r="J1195" s="6"/>
      <c r="K1195" s="6"/>
      <c r="L1195" s="6"/>
      <c r="M1195" s="6"/>
      <c r="N1195" s="5">
        <v>1</v>
      </c>
      <c r="O1195" s="6"/>
      <c r="P1195" s="6"/>
      <c r="Q1195" s="6"/>
      <c r="R1195" s="6"/>
      <c r="S1195" s="6"/>
      <c r="T1195" s="6"/>
      <c r="U1195" s="5">
        <v>1</v>
      </c>
      <c r="V1195" s="6"/>
      <c r="W1195" s="6"/>
      <c r="X1195" s="6"/>
      <c r="Y1195" s="5">
        <v>1</v>
      </c>
      <c r="Z1195" s="6"/>
      <c r="AA1195" s="6"/>
      <c r="AB1195" s="6"/>
      <c r="AC1195" s="6"/>
      <c r="AD1195" s="6"/>
      <c r="AE1195" s="6"/>
      <c r="AF1195" s="6"/>
      <c r="AG1195" s="5">
        <v>1</v>
      </c>
      <c r="AH1195" s="6"/>
      <c r="AI1195" s="6"/>
      <c r="AJ1195" s="6"/>
      <c r="AK1195" s="6"/>
      <c r="AL1195" s="5">
        <v>1</v>
      </c>
      <c r="AM1195" s="6"/>
    </row>
    <row r="1196" spans="1:39" s="7" customFormat="1" x14ac:dyDescent="0.25">
      <c r="A1196" s="5">
        <v>488</v>
      </c>
      <c r="B1196" s="6"/>
      <c r="C1196" s="5">
        <v>1</v>
      </c>
      <c r="D1196" s="6"/>
      <c r="E1196" s="6"/>
      <c r="F1196" s="5">
        <v>1</v>
      </c>
      <c r="G1196" s="5">
        <v>1</v>
      </c>
      <c r="H1196" s="5">
        <v>1</v>
      </c>
      <c r="I1196" s="5">
        <v>1</v>
      </c>
      <c r="J1196" s="5">
        <v>1</v>
      </c>
      <c r="K1196" s="5">
        <v>1</v>
      </c>
      <c r="L1196" s="5">
        <v>1</v>
      </c>
      <c r="M1196" s="5">
        <v>1</v>
      </c>
      <c r="N1196" s="6"/>
      <c r="O1196" s="5">
        <v>1</v>
      </c>
      <c r="P1196" s="5">
        <v>1</v>
      </c>
      <c r="Q1196" s="5">
        <v>1</v>
      </c>
      <c r="R1196" s="5">
        <v>1</v>
      </c>
      <c r="S1196" s="5">
        <v>1</v>
      </c>
      <c r="T1196" s="5">
        <v>1</v>
      </c>
      <c r="U1196" s="6"/>
      <c r="V1196" s="5">
        <v>1</v>
      </c>
      <c r="W1196" s="5">
        <v>1</v>
      </c>
      <c r="X1196" s="5">
        <v>1</v>
      </c>
      <c r="Y1196" s="6"/>
      <c r="Z1196" s="5">
        <v>1</v>
      </c>
      <c r="AA1196" s="5">
        <v>1</v>
      </c>
      <c r="AB1196" s="5">
        <v>1</v>
      </c>
      <c r="AC1196" s="5">
        <v>1</v>
      </c>
      <c r="AD1196" s="5">
        <v>1</v>
      </c>
      <c r="AE1196" s="5">
        <v>1</v>
      </c>
      <c r="AF1196" s="5">
        <v>1</v>
      </c>
      <c r="AG1196" s="6"/>
      <c r="AH1196" s="5">
        <v>1</v>
      </c>
      <c r="AI1196" s="5">
        <v>1</v>
      </c>
      <c r="AJ1196" s="5">
        <v>1</v>
      </c>
      <c r="AK1196" s="5">
        <v>1</v>
      </c>
      <c r="AL1196" s="6"/>
      <c r="AM1196" s="5">
        <v>1</v>
      </c>
    </row>
    <row r="1197" spans="1:39" s="7" customFormat="1" x14ac:dyDescent="0.25">
      <c r="A1197" s="5">
        <v>489</v>
      </c>
      <c r="B1197" s="5">
        <v>1</v>
      </c>
      <c r="C1197" s="6"/>
      <c r="D1197" s="5">
        <v>1</v>
      </c>
      <c r="E1197" s="5">
        <v>1</v>
      </c>
      <c r="F1197" s="6"/>
      <c r="G1197" s="6"/>
      <c r="H1197" s="6"/>
      <c r="I1197" s="6"/>
      <c r="J1197" s="6"/>
      <c r="K1197" s="6"/>
      <c r="L1197" s="6"/>
      <c r="M1197" s="6"/>
      <c r="N1197" s="5">
        <v>1</v>
      </c>
      <c r="O1197" s="6"/>
      <c r="P1197" s="6"/>
      <c r="Q1197" s="6"/>
      <c r="R1197" s="6"/>
      <c r="S1197" s="6"/>
      <c r="T1197" s="6"/>
      <c r="U1197" s="5">
        <v>1</v>
      </c>
      <c r="V1197" s="6"/>
      <c r="W1197" s="6"/>
      <c r="X1197" s="6"/>
      <c r="Y1197" s="5">
        <v>1</v>
      </c>
      <c r="Z1197" s="6"/>
      <c r="AA1197" s="6"/>
      <c r="AB1197" s="6"/>
      <c r="AC1197" s="6"/>
      <c r="AD1197" s="6"/>
      <c r="AE1197" s="6"/>
      <c r="AF1197" s="6"/>
      <c r="AG1197" s="5">
        <v>1</v>
      </c>
      <c r="AH1197" s="6"/>
      <c r="AI1197" s="6"/>
      <c r="AJ1197" s="6"/>
      <c r="AK1197" s="6"/>
      <c r="AL1197" s="5">
        <v>1</v>
      </c>
      <c r="AM1197" s="6"/>
    </row>
    <row r="1198" spans="1:39" s="7" customFormat="1" x14ac:dyDescent="0.25">
      <c r="A1198" s="5">
        <v>489</v>
      </c>
      <c r="B1198" s="6"/>
      <c r="C1198" s="5">
        <v>1</v>
      </c>
      <c r="D1198" s="6"/>
      <c r="E1198" s="6"/>
      <c r="F1198" s="5">
        <v>1</v>
      </c>
      <c r="G1198" s="5">
        <v>1</v>
      </c>
      <c r="H1198" s="5">
        <v>1</v>
      </c>
      <c r="I1198" s="5">
        <v>1</v>
      </c>
      <c r="J1198" s="5">
        <v>1</v>
      </c>
      <c r="K1198" s="5">
        <v>1</v>
      </c>
      <c r="L1198" s="5">
        <v>1</v>
      </c>
      <c r="M1198" s="5">
        <v>1</v>
      </c>
      <c r="N1198" s="6"/>
      <c r="O1198" s="5">
        <v>1</v>
      </c>
      <c r="P1198" s="5">
        <v>1</v>
      </c>
      <c r="Q1198" s="5">
        <v>1</v>
      </c>
      <c r="R1198" s="5">
        <v>1</v>
      </c>
      <c r="S1198" s="5">
        <v>1</v>
      </c>
      <c r="T1198" s="5">
        <v>1</v>
      </c>
      <c r="U1198" s="6"/>
      <c r="V1198" s="5">
        <v>1</v>
      </c>
      <c r="W1198" s="5">
        <v>1</v>
      </c>
      <c r="X1198" s="5">
        <v>1</v>
      </c>
      <c r="Y1198" s="6"/>
      <c r="Z1198" s="5">
        <v>1</v>
      </c>
      <c r="AA1198" s="5">
        <v>1</v>
      </c>
      <c r="AB1198" s="5">
        <v>1</v>
      </c>
      <c r="AC1198" s="5">
        <v>1</v>
      </c>
      <c r="AD1198" s="5">
        <v>1</v>
      </c>
      <c r="AE1198" s="5">
        <v>1</v>
      </c>
      <c r="AF1198" s="5">
        <v>1</v>
      </c>
      <c r="AG1198" s="6"/>
      <c r="AH1198" s="5">
        <v>1</v>
      </c>
      <c r="AI1198" s="5">
        <v>1</v>
      </c>
      <c r="AJ1198" s="5">
        <v>1</v>
      </c>
      <c r="AK1198" s="5">
        <v>1</v>
      </c>
      <c r="AL1198" s="6"/>
      <c r="AM1198" s="5">
        <v>1</v>
      </c>
    </row>
    <row r="1199" spans="1:39" s="7" customFormat="1" x14ac:dyDescent="0.25">
      <c r="A1199" s="5">
        <v>490</v>
      </c>
      <c r="B1199" s="5">
        <v>1</v>
      </c>
      <c r="C1199" s="5">
        <v>1</v>
      </c>
      <c r="D1199" s="5">
        <v>1</v>
      </c>
      <c r="E1199" s="5">
        <v>1</v>
      </c>
      <c r="F1199" s="5">
        <v>1</v>
      </c>
      <c r="G1199" s="5">
        <v>1</v>
      </c>
      <c r="H1199" s="5">
        <v>1</v>
      </c>
      <c r="I1199" s="5">
        <v>1</v>
      </c>
      <c r="J1199" s="5">
        <v>1</v>
      </c>
      <c r="K1199" s="5">
        <v>1</v>
      </c>
      <c r="L1199" s="5">
        <v>1</v>
      </c>
      <c r="M1199" s="5">
        <v>1</v>
      </c>
      <c r="N1199" s="5">
        <v>1</v>
      </c>
      <c r="O1199" s="5">
        <v>1</v>
      </c>
      <c r="P1199" s="5">
        <v>1</v>
      </c>
      <c r="Q1199" s="5">
        <v>1</v>
      </c>
      <c r="R1199" s="5">
        <v>1</v>
      </c>
      <c r="S1199" s="5">
        <v>1</v>
      </c>
      <c r="T1199" s="5">
        <v>1</v>
      </c>
      <c r="U1199" s="5">
        <v>1</v>
      </c>
      <c r="V1199" s="5">
        <v>1</v>
      </c>
      <c r="W1199" s="5">
        <v>1</v>
      </c>
      <c r="X1199" s="5">
        <v>1</v>
      </c>
      <c r="Y1199" s="5">
        <v>1</v>
      </c>
      <c r="Z1199" s="5">
        <v>1</v>
      </c>
      <c r="AA1199" s="5">
        <v>1</v>
      </c>
      <c r="AB1199" s="5">
        <v>1</v>
      </c>
      <c r="AC1199" s="5">
        <v>1</v>
      </c>
      <c r="AD1199" s="5">
        <v>1</v>
      </c>
      <c r="AE1199" s="5">
        <v>1</v>
      </c>
      <c r="AF1199" s="5">
        <v>1</v>
      </c>
      <c r="AG1199" s="5">
        <v>1</v>
      </c>
      <c r="AH1199" s="5">
        <v>1</v>
      </c>
      <c r="AI1199" s="5">
        <v>1</v>
      </c>
      <c r="AJ1199" s="5">
        <v>1</v>
      </c>
      <c r="AK1199" s="5">
        <v>1</v>
      </c>
      <c r="AL1199" s="5">
        <v>1</v>
      </c>
      <c r="AM1199" s="5">
        <v>1</v>
      </c>
    </row>
    <row r="1200" spans="1:39" s="7" customFormat="1" x14ac:dyDescent="0.25">
      <c r="A1200" s="5">
        <v>491</v>
      </c>
      <c r="B1200" s="5">
        <v>1</v>
      </c>
      <c r="C1200" s="5">
        <v>1</v>
      </c>
      <c r="D1200" s="5">
        <v>1</v>
      </c>
      <c r="E1200" s="5">
        <v>1</v>
      </c>
      <c r="F1200" s="5">
        <v>1</v>
      </c>
      <c r="G1200" s="5">
        <v>1</v>
      </c>
      <c r="H1200" s="5">
        <v>1</v>
      </c>
      <c r="I1200" s="5">
        <v>1</v>
      </c>
      <c r="J1200" s="5">
        <v>1</v>
      </c>
      <c r="K1200" s="5">
        <v>1</v>
      </c>
      <c r="L1200" s="5">
        <v>1</v>
      </c>
      <c r="M1200" s="5">
        <v>1</v>
      </c>
      <c r="N1200" s="5">
        <v>1</v>
      </c>
      <c r="O1200" s="5">
        <v>1</v>
      </c>
      <c r="P1200" s="5">
        <v>1</v>
      </c>
      <c r="Q1200" s="5">
        <v>1</v>
      </c>
      <c r="R1200" s="5">
        <v>1</v>
      </c>
      <c r="S1200" s="5">
        <v>1</v>
      </c>
      <c r="T1200" s="5">
        <v>1</v>
      </c>
      <c r="U1200" s="5">
        <v>1</v>
      </c>
      <c r="V1200" s="5">
        <v>1</v>
      </c>
      <c r="W1200" s="5">
        <v>1</v>
      </c>
      <c r="X1200" s="5">
        <v>1</v>
      </c>
      <c r="Y1200" s="5">
        <v>1</v>
      </c>
      <c r="Z1200" s="5">
        <v>1</v>
      </c>
      <c r="AA1200" s="5">
        <v>1</v>
      </c>
      <c r="AB1200" s="5">
        <v>1</v>
      </c>
      <c r="AC1200" s="5">
        <v>1</v>
      </c>
      <c r="AD1200" s="5">
        <v>1</v>
      </c>
      <c r="AE1200" s="5">
        <v>1</v>
      </c>
      <c r="AF1200" s="5">
        <v>1</v>
      </c>
      <c r="AG1200" s="5">
        <v>1</v>
      </c>
      <c r="AH1200" s="5">
        <v>1</v>
      </c>
      <c r="AI1200" s="5">
        <v>1</v>
      </c>
      <c r="AJ1200" s="5">
        <v>1</v>
      </c>
      <c r="AK1200" s="5">
        <v>1</v>
      </c>
      <c r="AL1200" s="5">
        <v>1</v>
      </c>
      <c r="AM1200" s="5">
        <v>1</v>
      </c>
    </row>
    <row r="1201" spans="1:39" s="7" customFormat="1" x14ac:dyDescent="0.25">
      <c r="A1201" s="5">
        <v>492</v>
      </c>
      <c r="B1201" s="6"/>
      <c r="C1201" s="6"/>
      <c r="D1201" s="5">
        <v>1</v>
      </c>
      <c r="E1201" s="6"/>
      <c r="F1201" s="6"/>
      <c r="G1201" s="6"/>
      <c r="H1201" s="6"/>
      <c r="I1201" s="6"/>
      <c r="J1201" s="6"/>
      <c r="K1201" s="6"/>
      <c r="L1201" s="6"/>
      <c r="M1201" s="5">
        <v>1</v>
      </c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5">
        <v>1</v>
      </c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5">
        <v>1</v>
      </c>
      <c r="AM1201" s="6"/>
    </row>
    <row r="1202" spans="1:39" s="7" customFormat="1" x14ac:dyDescent="0.25">
      <c r="A1202" s="5">
        <v>492</v>
      </c>
      <c r="B1202" s="6"/>
      <c r="C1202" s="6"/>
      <c r="D1202" s="6"/>
      <c r="E1202" s="5">
        <v>1</v>
      </c>
      <c r="F1202" s="6"/>
      <c r="G1202" s="6"/>
      <c r="H1202" s="6"/>
      <c r="I1202" s="5">
        <v>1</v>
      </c>
      <c r="J1202" s="6"/>
      <c r="K1202" s="5">
        <v>1</v>
      </c>
      <c r="L1202" s="6"/>
      <c r="M1202" s="6"/>
      <c r="N1202" s="6"/>
      <c r="O1202" s="6"/>
      <c r="P1202" s="6"/>
      <c r="Q1202" s="6"/>
      <c r="R1202" s="6"/>
      <c r="S1202" s="6"/>
      <c r="T1202" s="6"/>
      <c r="U1202" s="5">
        <v>1</v>
      </c>
      <c r="V1202" s="6"/>
      <c r="W1202" s="6"/>
      <c r="X1202" s="6"/>
      <c r="Y1202" s="6"/>
      <c r="Z1202" s="6"/>
      <c r="AA1202" s="6"/>
      <c r="AB1202" s="6"/>
      <c r="AC1202" s="5">
        <v>1</v>
      </c>
      <c r="AD1202" s="5">
        <v>1</v>
      </c>
      <c r="AE1202" s="6"/>
      <c r="AF1202" s="6"/>
      <c r="AG1202" s="6"/>
      <c r="AH1202" s="6"/>
      <c r="AI1202" s="6"/>
      <c r="AJ1202" s="6"/>
      <c r="AK1202" s="6"/>
      <c r="AL1202" s="6"/>
      <c r="AM1202" s="6"/>
    </row>
    <row r="1203" spans="1:39" s="7" customFormat="1" x14ac:dyDescent="0.25">
      <c r="A1203" s="5">
        <v>492</v>
      </c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5">
        <v>1</v>
      </c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5">
        <v>1</v>
      </c>
      <c r="X1203" s="5">
        <v>1</v>
      </c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5">
        <v>1</v>
      </c>
      <c r="AL1203" s="6"/>
      <c r="AM1203" s="6"/>
    </row>
    <row r="1204" spans="1:39" s="7" customFormat="1" x14ac:dyDescent="0.25">
      <c r="A1204" s="5">
        <v>492</v>
      </c>
      <c r="B1204" s="6"/>
      <c r="C1204" s="6"/>
      <c r="D1204" s="6"/>
      <c r="E1204" s="6"/>
      <c r="F1204" s="6"/>
      <c r="G1204" s="6"/>
      <c r="H1204" s="6"/>
      <c r="I1204" s="6"/>
      <c r="J1204" s="5">
        <v>1</v>
      </c>
      <c r="K1204" s="6"/>
      <c r="L1204" s="6"/>
      <c r="M1204" s="6"/>
      <c r="N1204" s="6"/>
      <c r="O1204" s="5">
        <v>1</v>
      </c>
      <c r="P1204" s="6"/>
      <c r="Q1204" s="5">
        <v>1</v>
      </c>
      <c r="R1204" s="6"/>
      <c r="S1204" s="6"/>
      <c r="T1204" s="5">
        <v>1</v>
      </c>
      <c r="U1204" s="6"/>
      <c r="V1204" s="5">
        <v>1</v>
      </c>
      <c r="W1204" s="6"/>
      <c r="X1204" s="6"/>
      <c r="Y1204" s="6"/>
      <c r="Z1204" s="5">
        <v>1</v>
      </c>
      <c r="AA1204" s="6"/>
      <c r="AB1204" s="6"/>
      <c r="AC1204" s="6"/>
      <c r="AD1204" s="6"/>
      <c r="AE1204" s="6"/>
      <c r="AF1204" s="6"/>
      <c r="AG1204" s="6"/>
      <c r="AH1204" s="6"/>
      <c r="AI1204" s="5">
        <v>1</v>
      </c>
      <c r="AJ1204" s="6"/>
      <c r="AK1204" s="6"/>
      <c r="AL1204" s="6"/>
      <c r="AM1204" s="6"/>
    </row>
    <row r="1205" spans="1:39" s="7" customFormat="1" x14ac:dyDescent="0.25">
      <c r="A1205" s="5">
        <v>492</v>
      </c>
      <c r="B1205" s="6"/>
      <c r="C1205" s="5">
        <v>1</v>
      </c>
      <c r="D1205" s="6"/>
      <c r="E1205" s="6"/>
      <c r="F1205" s="6"/>
      <c r="G1205" s="5">
        <v>1</v>
      </c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5">
        <v>1</v>
      </c>
      <c r="S1205" s="6"/>
      <c r="T1205" s="6"/>
      <c r="U1205" s="6"/>
      <c r="V1205" s="6"/>
      <c r="W1205" s="6"/>
      <c r="X1205" s="6"/>
      <c r="Y1205" s="6"/>
      <c r="Z1205" s="6"/>
      <c r="AA1205" s="6"/>
      <c r="AB1205" s="5">
        <v>1</v>
      </c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5">
        <v>1</v>
      </c>
    </row>
    <row r="1206" spans="1:39" s="7" customFormat="1" x14ac:dyDescent="0.25">
      <c r="A1206" s="5">
        <v>492</v>
      </c>
      <c r="B1206" s="5">
        <v>1</v>
      </c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5">
        <v>1</v>
      </c>
      <c r="AG1206" s="6"/>
      <c r="AH1206" s="6"/>
      <c r="AI1206" s="6"/>
      <c r="AJ1206" s="6"/>
      <c r="AK1206" s="6"/>
      <c r="AL1206" s="6"/>
      <c r="AM1206" s="6"/>
    </row>
    <row r="1207" spans="1:39" s="7" customFormat="1" x14ac:dyDescent="0.25">
      <c r="A1207" s="5">
        <v>492</v>
      </c>
      <c r="B1207" s="6"/>
      <c r="C1207" s="6"/>
      <c r="D1207" s="6"/>
      <c r="E1207" s="6"/>
      <c r="F1207" s="5">
        <v>1</v>
      </c>
      <c r="G1207" s="6"/>
      <c r="H1207" s="6"/>
      <c r="I1207" s="6"/>
      <c r="J1207" s="6"/>
      <c r="K1207" s="6"/>
      <c r="L1207" s="6"/>
      <c r="M1207" s="6"/>
      <c r="N1207" s="5">
        <v>1</v>
      </c>
      <c r="O1207" s="6"/>
      <c r="P1207" s="5">
        <v>1</v>
      </c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5">
        <v>1</v>
      </c>
      <c r="AH1207" s="5">
        <v>1</v>
      </c>
      <c r="AI1207" s="6"/>
      <c r="AJ1207" s="6"/>
      <c r="AK1207" s="6"/>
      <c r="AL1207" s="6"/>
      <c r="AM1207" s="6"/>
    </row>
    <row r="1208" spans="1:39" s="7" customFormat="1" x14ac:dyDescent="0.25">
      <c r="A1208" s="5">
        <v>492</v>
      </c>
      <c r="B1208" s="6"/>
      <c r="C1208" s="6"/>
      <c r="D1208" s="6"/>
      <c r="E1208" s="6"/>
      <c r="F1208" s="6"/>
      <c r="G1208" s="6"/>
      <c r="H1208" s="5">
        <v>1</v>
      </c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5">
        <v>1</v>
      </c>
      <c r="AF1208" s="6"/>
      <c r="AG1208" s="6"/>
      <c r="AH1208" s="6"/>
      <c r="AI1208" s="6"/>
      <c r="AJ1208" s="6"/>
      <c r="AK1208" s="6"/>
      <c r="AL1208" s="6"/>
      <c r="AM1208" s="6"/>
    </row>
    <row r="1209" spans="1:39" s="7" customFormat="1" x14ac:dyDescent="0.25">
      <c r="A1209" s="5">
        <v>492</v>
      </c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5">
        <v>1</v>
      </c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</row>
    <row r="1210" spans="1:39" s="7" customFormat="1" x14ac:dyDescent="0.25">
      <c r="A1210" s="5">
        <v>492</v>
      </c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5">
        <v>1</v>
      </c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5">
        <v>1</v>
      </c>
      <c r="AK1210" s="6"/>
      <c r="AL1210" s="6"/>
      <c r="AM1210" s="6"/>
    </row>
    <row r="1211" spans="1:39" s="7" customFormat="1" x14ac:dyDescent="0.25">
      <c r="A1211" s="5">
        <v>493</v>
      </c>
      <c r="B1211" s="5">
        <v>1</v>
      </c>
      <c r="C1211" s="5">
        <v>1</v>
      </c>
      <c r="D1211" s="5">
        <v>1</v>
      </c>
      <c r="E1211" s="5">
        <v>1</v>
      </c>
      <c r="F1211" s="5">
        <v>1</v>
      </c>
      <c r="G1211" s="5">
        <v>1</v>
      </c>
      <c r="H1211" s="5">
        <v>1</v>
      </c>
      <c r="I1211" s="5">
        <v>1</v>
      </c>
      <c r="J1211" s="5">
        <v>1</v>
      </c>
      <c r="K1211" s="5">
        <v>1</v>
      </c>
      <c r="L1211" s="5">
        <v>1</v>
      </c>
      <c r="M1211" s="5">
        <v>1</v>
      </c>
      <c r="N1211" s="5">
        <v>1</v>
      </c>
      <c r="O1211" s="5">
        <v>1</v>
      </c>
      <c r="P1211" s="5">
        <v>1</v>
      </c>
      <c r="Q1211" s="5">
        <v>1</v>
      </c>
      <c r="R1211" s="5">
        <v>1</v>
      </c>
      <c r="S1211" s="5">
        <v>1</v>
      </c>
      <c r="T1211" s="5">
        <v>1</v>
      </c>
      <c r="U1211" s="5">
        <v>1</v>
      </c>
      <c r="V1211" s="5">
        <v>1</v>
      </c>
      <c r="W1211" s="5">
        <v>1</v>
      </c>
      <c r="X1211" s="5">
        <v>1</v>
      </c>
      <c r="Y1211" s="5">
        <v>1</v>
      </c>
      <c r="Z1211" s="5">
        <v>1</v>
      </c>
      <c r="AA1211" s="5">
        <v>1</v>
      </c>
      <c r="AB1211" s="5">
        <v>1</v>
      </c>
      <c r="AC1211" s="5">
        <v>1</v>
      </c>
      <c r="AD1211" s="5">
        <v>1</v>
      </c>
      <c r="AE1211" s="5">
        <v>1</v>
      </c>
      <c r="AF1211" s="5">
        <v>1</v>
      </c>
      <c r="AG1211" s="5">
        <v>1</v>
      </c>
      <c r="AH1211" s="5">
        <v>1</v>
      </c>
      <c r="AI1211" s="5">
        <v>1</v>
      </c>
      <c r="AJ1211" s="5">
        <v>1</v>
      </c>
      <c r="AK1211" s="5">
        <v>1</v>
      </c>
      <c r="AL1211" s="5">
        <v>1</v>
      </c>
      <c r="AM1211" s="5">
        <v>1</v>
      </c>
    </row>
    <row r="1212" spans="1:39" s="7" customFormat="1" x14ac:dyDescent="0.25">
      <c r="A1212" s="5">
        <v>494</v>
      </c>
      <c r="B1212" s="6"/>
      <c r="C1212" s="6"/>
      <c r="D1212" s="5">
        <v>1</v>
      </c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5">
        <v>1</v>
      </c>
      <c r="AE1212" s="6"/>
      <c r="AF1212" s="6"/>
      <c r="AG1212" s="6"/>
      <c r="AH1212" s="6"/>
      <c r="AI1212" s="5">
        <v>1</v>
      </c>
      <c r="AJ1212" s="6"/>
      <c r="AK1212" s="6"/>
      <c r="AL1212" s="5">
        <v>1</v>
      </c>
      <c r="AM1212" s="6"/>
    </row>
    <row r="1213" spans="1:39" s="7" customFormat="1" x14ac:dyDescent="0.25">
      <c r="A1213" s="5">
        <v>494</v>
      </c>
      <c r="B1213" s="5">
        <v>1</v>
      </c>
      <c r="C1213" s="5">
        <v>1</v>
      </c>
      <c r="D1213" s="6"/>
      <c r="E1213" s="6"/>
      <c r="F1213" s="5">
        <v>1</v>
      </c>
      <c r="G1213" s="6"/>
      <c r="H1213" s="6"/>
      <c r="I1213" s="6"/>
      <c r="J1213" s="6"/>
      <c r="K1213" s="5">
        <v>1</v>
      </c>
      <c r="L1213" s="6"/>
      <c r="M1213" s="6"/>
      <c r="N1213" s="6"/>
      <c r="O1213" s="6"/>
      <c r="P1213" s="6"/>
      <c r="Q1213" s="6"/>
      <c r="R1213" s="6"/>
      <c r="S1213" s="6"/>
      <c r="T1213" s="5">
        <v>1</v>
      </c>
      <c r="U1213" s="5">
        <v>1</v>
      </c>
      <c r="V1213" s="6"/>
      <c r="W1213" s="6"/>
      <c r="X1213" s="6"/>
      <c r="Y1213" s="5">
        <v>1</v>
      </c>
      <c r="Z1213" s="6"/>
      <c r="AA1213" s="5">
        <v>1</v>
      </c>
      <c r="AB1213" s="6"/>
      <c r="AC1213" s="6"/>
      <c r="AD1213" s="6"/>
      <c r="AE1213" s="6"/>
      <c r="AF1213" s="6"/>
      <c r="AG1213" s="6"/>
      <c r="AH1213" s="6"/>
      <c r="AI1213" s="6"/>
      <c r="AJ1213" s="6"/>
      <c r="AK1213" s="5">
        <v>1</v>
      </c>
      <c r="AL1213" s="6"/>
      <c r="AM1213" s="5">
        <v>1</v>
      </c>
    </row>
    <row r="1214" spans="1:39" s="7" customFormat="1" x14ac:dyDescent="0.25">
      <c r="A1214" s="5">
        <v>494</v>
      </c>
      <c r="B1214" s="6"/>
      <c r="C1214" s="6"/>
      <c r="D1214" s="6"/>
      <c r="E1214" s="5">
        <v>1</v>
      </c>
      <c r="F1214" s="6"/>
      <c r="G1214" s="5"/>
      <c r="H1214" s="5">
        <v>1</v>
      </c>
      <c r="I1214" s="6"/>
      <c r="J1214" s="6"/>
      <c r="K1214" s="6"/>
      <c r="L1214" s="5"/>
      <c r="M1214" s="5"/>
      <c r="N1214" s="5">
        <v>1</v>
      </c>
      <c r="O1214" s="6"/>
      <c r="P1214" s="6"/>
      <c r="Q1214" s="5"/>
      <c r="R1214" s="5">
        <v>1</v>
      </c>
      <c r="S1214" s="5">
        <v>1</v>
      </c>
      <c r="T1214" s="6"/>
      <c r="U1214" s="6"/>
      <c r="V1214" s="6"/>
      <c r="W1214" s="5">
        <v>1</v>
      </c>
      <c r="X1214" s="6"/>
      <c r="Y1214" s="6"/>
      <c r="Z1214" s="5"/>
      <c r="AA1214" s="6"/>
      <c r="AB1214" s="6"/>
      <c r="AC1214" s="5"/>
      <c r="AD1214" s="6"/>
      <c r="AE1214" s="5">
        <v>1</v>
      </c>
      <c r="AF1214" s="5"/>
      <c r="AG1214" s="5">
        <v>1</v>
      </c>
      <c r="AH1214" s="6"/>
      <c r="AI1214" s="6"/>
      <c r="AJ1214" s="5">
        <v>1</v>
      </c>
      <c r="AK1214" s="6"/>
      <c r="AL1214" s="6"/>
      <c r="AM1214" s="6"/>
    </row>
    <row r="1215" spans="1:39" s="7" customFormat="1" x14ac:dyDescent="0.25">
      <c r="A1215" s="5">
        <v>494</v>
      </c>
      <c r="B1215" s="6"/>
      <c r="C1215" s="6"/>
      <c r="D1215" s="6"/>
      <c r="E1215" s="6"/>
      <c r="F1215" s="6"/>
      <c r="G1215" s="6"/>
      <c r="H1215" s="6"/>
      <c r="I1215" s="5">
        <v>1</v>
      </c>
      <c r="J1215" s="5">
        <v>1</v>
      </c>
      <c r="K1215" s="6"/>
      <c r="L1215" s="6"/>
      <c r="M1215" s="6"/>
      <c r="N1215" s="6"/>
      <c r="O1215" s="6"/>
      <c r="P1215" s="5">
        <v>1</v>
      </c>
      <c r="Q1215" s="6"/>
      <c r="R1215" s="6"/>
      <c r="S1215" s="6"/>
      <c r="T1215" s="6"/>
      <c r="U1215" s="6"/>
      <c r="V1215" s="5"/>
      <c r="W1215" s="6"/>
      <c r="X1215" s="5"/>
      <c r="Y1215" s="6"/>
      <c r="Z1215" s="6"/>
      <c r="AA1215" s="6"/>
      <c r="AB1215" s="5"/>
      <c r="AC1215" s="6"/>
      <c r="AD1215" s="6"/>
      <c r="AE1215" s="6"/>
      <c r="AF1215" s="6"/>
      <c r="AG1215" s="6"/>
      <c r="AH1215" s="5">
        <v>1</v>
      </c>
      <c r="AI1215" s="6"/>
      <c r="AJ1215" s="6"/>
      <c r="AK1215" s="6"/>
      <c r="AL1215" s="6"/>
      <c r="AM1215" s="6"/>
    </row>
    <row r="1216" spans="1:39" s="7" customFormat="1" x14ac:dyDescent="0.25">
      <c r="A1216" s="5">
        <v>494</v>
      </c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5">
        <v>1</v>
      </c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</row>
    <row r="1217" spans="1:39" s="7" customFormat="1" x14ac:dyDescent="0.25">
      <c r="A1217" s="5">
        <v>495</v>
      </c>
      <c r="B1217" s="6"/>
      <c r="C1217" s="6"/>
      <c r="D1217" s="5">
        <v>1</v>
      </c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5">
        <v>1</v>
      </c>
      <c r="AE1217" s="6"/>
      <c r="AF1217" s="6"/>
      <c r="AG1217" s="6"/>
      <c r="AH1217" s="6"/>
      <c r="AI1217" s="5">
        <v>1</v>
      </c>
      <c r="AJ1217" s="6"/>
      <c r="AK1217" s="6"/>
      <c r="AL1217" s="5">
        <v>1</v>
      </c>
      <c r="AM1217" s="6"/>
    </row>
    <row r="1218" spans="1:39" s="7" customFormat="1" x14ac:dyDescent="0.25">
      <c r="A1218" s="5">
        <v>495</v>
      </c>
      <c r="B1218" s="5">
        <v>1</v>
      </c>
      <c r="C1218" s="5">
        <v>1</v>
      </c>
      <c r="D1218" s="6"/>
      <c r="E1218" s="6"/>
      <c r="F1218" s="5">
        <v>1</v>
      </c>
      <c r="G1218" s="6"/>
      <c r="H1218" s="6"/>
      <c r="I1218" s="6"/>
      <c r="J1218" s="6"/>
      <c r="K1218" s="5">
        <v>1</v>
      </c>
      <c r="L1218" s="6"/>
      <c r="M1218" s="6"/>
      <c r="N1218" s="6"/>
      <c r="O1218" s="6"/>
      <c r="P1218" s="6"/>
      <c r="Q1218" s="6"/>
      <c r="R1218" s="6"/>
      <c r="S1218" s="6"/>
      <c r="T1218" s="5">
        <v>1</v>
      </c>
      <c r="U1218" s="5">
        <v>1</v>
      </c>
      <c r="V1218" s="6"/>
      <c r="W1218" s="6"/>
      <c r="X1218" s="6"/>
      <c r="Y1218" s="5">
        <v>1</v>
      </c>
      <c r="Z1218" s="6"/>
      <c r="AA1218" s="5">
        <v>1</v>
      </c>
      <c r="AB1218" s="6"/>
      <c r="AC1218" s="6"/>
      <c r="AD1218" s="6"/>
      <c r="AE1218" s="6"/>
      <c r="AF1218" s="6"/>
      <c r="AG1218" s="6"/>
      <c r="AH1218" s="6"/>
      <c r="AI1218" s="6"/>
      <c r="AJ1218" s="6"/>
      <c r="AK1218" s="5">
        <v>1</v>
      </c>
      <c r="AL1218" s="6"/>
      <c r="AM1218" s="5">
        <v>1</v>
      </c>
    </row>
    <row r="1219" spans="1:39" s="7" customFormat="1" x14ac:dyDescent="0.25">
      <c r="A1219" s="5">
        <v>495</v>
      </c>
      <c r="B1219" s="6"/>
      <c r="C1219" s="6"/>
      <c r="D1219" s="6"/>
      <c r="E1219" s="5">
        <v>1</v>
      </c>
      <c r="F1219" s="6"/>
      <c r="G1219" s="5"/>
      <c r="H1219" s="5">
        <v>1</v>
      </c>
      <c r="I1219" s="6"/>
      <c r="J1219" s="6"/>
      <c r="K1219" s="6"/>
      <c r="L1219" s="5"/>
      <c r="M1219" s="5"/>
      <c r="N1219" s="5">
        <v>1</v>
      </c>
      <c r="O1219" s="6"/>
      <c r="P1219" s="6"/>
      <c r="Q1219" s="5"/>
      <c r="R1219" s="5">
        <v>1</v>
      </c>
      <c r="S1219" s="5">
        <v>1</v>
      </c>
      <c r="T1219" s="6"/>
      <c r="U1219" s="6"/>
      <c r="V1219" s="6"/>
      <c r="W1219" s="5">
        <v>1</v>
      </c>
      <c r="X1219" s="6"/>
      <c r="Y1219" s="6"/>
      <c r="Z1219" s="5"/>
      <c r="AA1219" s="6"/>
      <c r="AB1219" s="6"/>
      <c r="AC1219" s="5"/>
      <c r="AD1219" s="6"/>
      <c r="AE1219" s="5">
        <v>1</v>
      </c>
      <c r="AF1219" s="5"/>
      <c r="AG1219" s="5">
        <v>1</v>
      </c>
      <c r="AH1219" s="6"/>
      <c r="AI1219" s="6"/>
      <c r="AJ1219" s="5">
        <v>1</v>
      </c>
      <c r="AK1219" s="6"/>
      <c r="AL1219" s="6"/>
      <c r="AM1219" s="6"/>
    </row>
    <row r="1220" spans="1:39" s="7" customFormat="1" x14ac:dyDescent="0.25">
      <c r="A1220" s="5">
        <v>495</v>
      </c>
      <c r="B1220" s="6"/>
      <c r="C1220" s="6"/>
      <c r="D1220" s="6"/>
      <c r="E1220" s="6"/>
      <c r="F1220" s="6"/>
      <c r="G1220" s="6"/>
      <c r="H1220" s="6"/>
      <c r="I1220" s="5">
        <v>1</v>
      </c>
      <c r="J1220" s="5">
        <v>1</v>
      </c>
      <c r="K1220" s="6"/>
      <c r="L1220" s="6"/>
      <c r="M1220" s="6"/>
      <c r="N1220" s="6"/>
      <c r="O1220" s="6"/>
      <c r="P1220" s="5">
        <v>1</v>
      </c>
      <c r="Q1220" s="6"/>
      <c r="R1220" s="6"/>
      <c r="S1220" s="6"/>
      <c r="T1220" s="6"/>
      <c r="U1220" s="6"/>
      <c r="V1220" s="5"/>
      <c r="W1220" s="6"/>
      <c r="X1220" s="5"/>
      <c r="Y1220" s="6"/>
      <c r="Z1220" s="6"/>
      <c r="AA1220" s="6"/>
      <c r="AB1220" s="5"/>
      <c r="AC1220" s="6"/>
      <c r="AD1220" s="6"/>
      <c r="AE1220" s="6"/>
      <c r="AF1220" s="6"/>
      <c r="AG1220" s="6"/>
      <c r="AH1220" s="5">
        <v>1</v>
      </c>
      <c r="AI1220" s="6"/>
      <c r="AJ1220" s="6"/>
      <c r="AK1220" s="6"/>
      <c r="AL1220" s="6"/>
      <c r="AM1220" s="6"/>
    </row>
    <row r="1221" spans="1:39" s="7" customFormat="1" x14ac:dyDescent="0.25">
      <c r="A1221" s="5">
        <v>495</v>
      </c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5">
        <v>1</v>
      </c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</row>
    <row r="1222" spans="1:39" s="7" customFormat="1" x14ac:dyDescent="0.25">
      <c r="A1222" s="5">
        <v>496</v>
      </c>
      <c r="B1222" s="5">
        <v>1</v>
      </c>
      <c r="C1222" s="5">
        <v>1</v>
      </c>
      <c r="D1222" s="5">
        <v>1</v>
      </c>
      <c r="E1222" s="5">
        <v>1</v>
      </c>
      <c r="F1222" s="5">
        <v>1</v>
      </c>
      <c r="G1222" s="5">
        <v>1</v>
      </c>
      <c r="H1222" s="5">
        <v>1</v>
      </c>
      <c r="I1222" s="5">
        <v>1</v>
      </c>
      <c r="J1222" s="5">
        <v>1</v>
      </c>
      <c r="K1222" s="5">
        <v>1</v>
      </c>
      <c r="L1222" s="5">
        <v>1</v>
      </c>
      <c r="M1222" s="5">
        <v>1</v>
      </c>
      <c r="N1222" s="5">
        <v>1</v>
      </c>
      <c r="O1222" s="5">
        <v>1</v>
      </c>
      <c r="P1222" s="5">
        <v>1</v>
      </c>
      <c r="Q1222" s="5">
        <v>1</v>
      </c>
      <c r="R1222" s="5">
        <v>1</v>
      </c>
      <c r="S1222" s="5">
        <v>1</v>
      </c>
      <c r="T1222" s="5">
        <v>1</v>
      </c>
      <c r="U1222" s="5">
        <v>1</v>
      </c>
      <c r="V1222" s="5">
        <v>1</v>
      </c>
      <c r="W1222" s="5">
        <v>1</v>
      </c>
      <c r="X1222" s="5">
        <v>1</v>
      </c>
      <c r="Y1222" s="5">
        <v>1</v>
      </c>
      <c r="Z1222" s="5">
        <v>1</v>
      </c>
      <c r="AA1222" s="5">
        <v>1</v>
      </c>
      <c r="AB1222" s="5">
        <v>1</v>
      </c>
      <c r="AC1222" s="5">
        <v>1</v>
      </c>
      <c r="AD1222" s="5">
        <v>1</v>
      </c>
      <c r="AE1222" s="5">
        <v>1</v>
      </c>
      <c r="AF1222" s="5">
        <v>1</v>
      </c>
      <c r="AG1222" s="5">
        <v>1</v>
      </c>
      <c r="AH1222" s="5">
        <v>1</v>
      </c>
      <c r="AI1222" s="5">
        <v>1</v>
      </c>
      <c r="AJ1222" s="5">
        <v>1</v>
      </c>
      <c r="AK1222" s="5">
        <v>1</v>
      </c>
      <c r="AL1222" s="5">
        <v>1</v>
      </c>
      <c r="AM1222" s="5">
        <v>1</v>
      </c>
    </row>
    <row r="1223" spans="1:39" s="7" customFormat="1" x14ac:dyDescent="0.25">
      <c r="A1223" s="5">
        <v>497</v>
      </c>
      <c r="B1223" s="5">
        <v>1</v>
      </c>
      <c r="C1223" s="6"/>
      <c r="D1223" s="6"/>
      <c r="E1223" s="6"/>
      <c r="F1223" s="5">
        <v>1</v>
      </c>
      <c r="G1223" s="6"/>
      <c r="H1223" s="5">
        <v>1</v>
      </c>
      <c r="I1223" s="6"/>
      <c r="J1223" s="6"/>
      <c r="K1223" s="6"/>
      <c r="L1223" s="6"/>
      <c r="M1223" s="6"/>
      <c r="N1223" s="5">
        <v>1</v>
      </c>
      <c r="O1223" s="6"/>
      <c r="P1223" s="5">
        <v>1</v>
      </c>
      <c r="Q1223" s="6"/>
      <c r="R1223" s="6"/>
      <c r="S1223" s="5">
        <v>1</v>
      </c>
      <c r="T1223" s="6"/>
      <c r="U1223" s="6"/>
      <c r="V1223" s="6"/>
      <c r="W1223" s="6"/>
      <c r="X1223" s="6"/>
      <c r="Y1223" s="6"/>
      <c r="Z1223" s="6"/>
      <c r="AA1223" s="5">
        <v>1</v>
      </c>
      <c r="AB1223" s="6"/>
      <c r="AC1223" s="6"/>
      <c r="AD1223" s="6"/>
      <c r="AE1223" s="5">
        <v>1</v>
      </c>
      <c r="AF1223" s="5">
        <v>1</v>
      </c>
      <c r="AG1223" s="5">
        <v>1</v>
      </c>
      <c r="AH1223" s="5">
        <v>1</v>
      </c>
      <c r="AI1223" s="6"/>
      <c r="AJ1223" s="5">
        <v>1</v>
      </c>
      <c r="AK1223" s="6"/>
      <c r="AL1223" s="6"/>
      <c r="AM1223" s="6"/>
    </row>
    <row r="1224" spans="1:39" s="7" customFormat="1" x14ac:dyDescent="0.25">
      <c r="A1224" s="5">
        <v>498</v>
      </c>
      <c r="B1224" s="5">
        <v>1</v>
      </c>
      <c r="C1224" s="6"/>
      <c r="D1224" s="6"/>
      <c r="E1224" s="6"/>
      <c r="F1224" s="5">
        <v>1</v>
      </c>
      <c r="G1224" s="6"/>
      <c r="H1224" s="5">
        <v>1</v>
      </c>
      <c r="I1224" s="6"/>
      <c r="J1224" s="6"/>
      <c r="K1224" s="6"/>
      <c r="L1224" s="6"/>
      <c r="M1224" s="6"/>
      <c r="N1224" s="5">
        <v>1</v>
      </c>
      <c r="O1224" s="6"/>
      <c r="P1224" s="5">
        <v>1</v>
      </c>
      <c r="Q1224" s="6"/>
      <c r="R1224" s="6"/>
      <c r="S1224" s="5">
        <v>1</v>
      </c>
      <c r="T1224" s="6"/>
      <c r="U1224" s="6"/>
      <c r="V1224" s="6"/>
      <c r="W1224" s="6"/>
      <c r="X1224" s="6"/>
      <c r="Y1224" s="6"/>
      <c r="Z1224" s="6"/>
      <c r="AA1224" s="5">
        <v>1</v>
      </c>
      <c r="AB1224" s="6"/>
      <c r="AC1224" s="6"/>
      <c r="AD1224" s="6"/>
      <c r="AE1224" s="5">
        <v>1</v>
      </c>
      <c r="AF1224" s="5">
        <v>1</v>
      </c>
      <c r="AG1224" s="5">
        <v>1</v>
      </c>
      <c r="AH1224" s="5">
        <v>1</v>
      </c>
      <c r="AI1224" s="6"/>
      <c r="AJ1224" s="5">
        <v>1</v>
      </c>
      <c r="AK1224" s="6"/>
      <c r="AL1224" s="6"/>
      <c r="AM1224" s="6"/>
    </row>
    <row r="1225" spans="1:39" s="7" customFormat="1" x14ac:dyDescent="0.25">
      <c r="A1225" s="5">
        <v>499</v>
      </c>
      <c r="B1225" s="6"/>
      <c r="C1225" s="5">
        <v>1</v>
      </c>
      <c r="D1225" s="5">
        <v>1</v>
      </c>
      <c r="E1225" s="5">
        <v>1</v>
      </c>
      <c r="F1225" s="6"/>
      <c r="G1225" s="5">
        <v>1</v>
      </c>
      <c r="H1225" s="6"/>
      <c r="I1225" s="5">
        <v>1</v>
      </c>
      <c r="J1225" s="5">
        <v>1</v>
      </c>
      <c r="K1225" s="5">
        <v>1</v>
      </c>
      <c r="L1225" s="5">
        <v>1</v>
      </c>
      <c r="M1225" s="5">
        <v>1</v>
      </c>
      <c r="N1225" s="6"/>
      <c r="O1225" s="5">
        <v>1</v>
      </c>
      <c r="P1225" s="6"/>
      <c r="Q1225" s="5">
        <v>1</v>
      </c>
      <c r="R1225" s="5">
        <v>1</v>
      </c>
      <c r="S1225" s="6"/>
      <c r="T1225" s="5">
        <v>1</v>
      </c>
      <c r="U1225" s="5">
        <v>1</v>
      </c>
      <c r="V1225" s="5">
        <v>1</v>
      </c>
      <c r="W1225" s="5">
        <v>1</v>
      </c>
      <c r="X1225" s="5">
        <v>1</v>
      </c>
      <c r="Y1225" s="5">
        <v>1</v>
      </c>
      <c r="Z1225" s="5">
        <v>1</v>
      </c>
      <c r="AA1225" s="6"/>
      <c r="AB1225" s="5">
        <v>1</v>
      </c>
      <c r="AC1225" s="5">
        <v>1</v>
      </c>
      <c r="AD1225" s="5">
        <v>1</v>
      </c>
      <c r="AE1225" s="6"/>
      <c r="AF1225" s="6"/>
      <c r="AG1225" s="6"/>
      <c r="AH1225" s="6"/>
      <c r="AI1225" s="5">
        <v>1</v>
      </c>
      <c r="AJ1225" s="6"/>
      <c r="AK1225" s="5">
        <v>1</v>
      </c>
      <c r="AL1225" s="5">
        <v>1</v>
      </c>
      <c r="AM1225" s="5">
        <v>1</v>
      </c>
    </row>
    <row r="1226" spans="1:39" s="7" customFormat="1" x14ac:dyDescent="0.25">
      <c r="A1226" s="5">
        <v>500</v>
      </c>
      <c r="B1226" s="6"/>
      <c r="C1226" s="5">
        <v>1</v>
      </c>
      <c r="D1226" s="5">
        <v>1</v>
      </c>
      <c r="E1226" s="5">
        <v>1</v>
      </c>
      <c r="F1226" s="6"/>
      <c r="G1226" s="5">
        <v>1</v>
      </c>
      <c r="H1226" s="6"/>
      <c r="I1226" s="5">
        <v>1</v>
      </c>
      <c r="J1226" s="5">
        <v>1</v>
      </c>
      <c r="K1226" s="5">
        <v>1</v>
      </c>
      <c r="L1226" s="5">
        <v>1</v>
      </c>
      <c r="M1226" s="5">
        <v>1</v>
      </c>
      <c r="N1226" s="6"/>
      <c r="O1226" s="5">
        <v>1</v>
      </c>
      <c r="P1226" s="6"/>
      <c r="Q1226" s="5">
        <v>1</v>
      </c>
      <c r="R1226" s="5">
        <v>1</v>
      </c>
      <c r="S1226" s="6"/>
      <c r="T1226" s="5">
        <v>1</v>
      </c>
      <c r="U1226" s="5">
        <v>1</v>
      </c>
      <c r="V1226" s="5">
        <v>1</v>
      </c>
      <c r="W1226" s="5">
        <v>1</v>
      </c>
      <c r="X1226" s="5">
        <v>1</v>
      </c>
      <c r="Y1226" s="5">
        <v>1</v>
      </c>
      <c r="Z1226" s="5">
        <v>1</v>
      </c>
      <c r="AA1226" s="6"/>
      <c r="AB1226" s="5">
        <v>1</v>
      </c>
      <c r="AC1226" s="5">
        <v>1</v>
      </c>
      <c r="AD1226" s="5">
        <v>1</v>
      </c>
      <c r="AE1226" s="6"/>
      <c r="AF1226" s="6"/>
      <c r="AG1226" s="6"/>
      <c r="AH1226" s="6"/>
      <c r="AI1226" s="5">
        <v>1</v>
      </c>
      <c r="AJ1226" s="6"/>
      <c r="AK1226" s="5">
        <v>1</v>
      </c>
      <c r="AL1226" s="5">
        <v>1</v>
      </c>
      <c r="AM1226" s="5">
        <v>1</v>
      </c>
    </row>
    <row r="1227" spans="1:39" s="7" customFormat="1" x14ac:dyDescent="0.25">
      <c r="A1227" s="5">
        <v>502</v>
      </c>
      <c r="B1227" s="6"/>
      <c r="C1227" s="5">
        <v>1</v>
      </c>
      <c r="D1227" s="6"/>
      <c r="E1227" s="5">
        <v>1</v>
      </c>
      <c r="F1227" s="6"/>
      <c r="G1227" s="5">
        <v>1</v>
      </c>
      <c r="H1227" s="5">
        <v>1</v>
      </c>
      <c r="I1227" s="5">
        <v>1</v>
      </c>
      <c r="J1227" s="5">
        <v>1</v>
      </c>
      <c r="K1227" s="6"/>
      <c r="L1227" s="6"/>
      <c r="M1227" s="6"/>
      <c r="N1227" s="5">
        <v>1</v>
      </c>
      <c r="O1227" s="5">
        <v>1</v>
      </c>
      <c r="P1227" s="5">
        <v>1</v>
      </c>
      <c r="Q1227" s="6"/>
      <c r="R1227" s="5">
        <v>1</v>
      </c>
      <c r="S1227" s="5">
        <v>1</v>
      </c>
      <c r="T1227" s="6"/>
      <c r="U1227" s="5">
        <v>1</v>
      </c>
      <c r="V1227" s="5">
        <v>1</v>
      </c>
      <c r="W1227" s="5">
        <v>1</v>
      </c>
      <c r="X1227" s="6"/>
      <c r="Y1227" s="6"/>
      <c r="Z1227" s="5">
        <v>1</v>
      </c>
      <c r="AA1227" s="6"/>
      <c r="AB1227" s="5">
        <v>1</v>
      </c>
      <c r="AC1227" s="5">
        <v>1</v>
      </c>
      <c r="AD1227" s="6"/>
      <c r="AE1227" s="5">
        <v>1</v>
      </c>
      <c r="AF1227" s="6"/>
      <c r="AG1227" s="5">
        <v>1</v>
      </c>
      <c r="AH1227" s="5">
        <v>1</v>
      </c>
      <c r="AI1227" s="6"/>
      <c r="AJ1227" s="5">
        <v>1</v>
      </c>
      <c r="AK1227" s="5">
        <v>1</v>
      </c>
      <c r="AL1227" s="6"/>
      <c r="AM1227" s="5">
        <v>1</v>
      </c>
    </row>
    <row r="1228" spans="1:39" s="7" customFormat="1" x14ac:dyDescent="0.25">
      <c r="A1228" s="5">
        <v>503</v>
      </c>
      <c r="B1228" s="5">
        <v>1</v>
      </c>
      <c r="C1228" s="5">
        <v>1</v>
      </c>
      <c r="D1228" s="5">
        <v>1</v>
      </c>
      <c r="E1228" s="5">
        <v>1</v>
      </c>
      <c r="F1228" s="5">
        <v>1</v>
      </c>
      <c r="G1228" s="5">
        <v>1</v>
      </c>
      <c r="H1228" s="5">
        <v>1</v>
      </c>
      <c r="I1228" s="6"/>
      <c r="J1228" s="6"/>
      <c r="K1228" s="5">
        <v>1</v>
      </c>
      <c r="L1228" s="6"/>
      <c r="M1228" s="6"/>
      <c r="N1228" s="5">
        <v>1</v>
      </c>
      <c r="O1228" s="6"/>
      <c r="P1228" s="6"/>
      <c r="Q1228" s="5">
        <v>1</v>
      </c>
      <c r="R1228" s="5">
        <v>1</v>
      </c>
      <c r="S1228" s="5">
        <v>1</v>
      </c>
      <c r="T1228" s="5">
        <v>1</v>
      </c>
      <c r="U1228" s="5">
        <v>1</v>
      </c>
      <c r="V1228" s="6"/>
      <c r="W1228" s="5">
        <v>1</v>
      </c>
      <c r="X1228" s="6"/>
      <c r="Y1228" s="5">
        <v>1</v>
      </c>
      <c r="Z1228" s="6"/>
      <c r="AA1228" s="5">
        <v>1</v>
      </c>
      <c r="AB1228" s="5">
        <v>1</v>
      </c>
      <c r="AC1228" s="6"/>
      <c r="AD1228" s="5">
        <v>1</v>
      </c>
      <c r="AE1228" s="5">
        <v>1</v>
      </c>
      <c r="AF1228" s="6"/>
      <c r="AG1228" s="5">
        <v>1</v>
      </c>
      <c r="AH1228" s="6"/>
      <c r="AI1228" s="5">
        <v>1</v>
      </c>
      <c r="AJ1228" s="5">
        <v>1</v>
      </c>
      <c r="AK1228" s="5">
        <v>1</v>
      </c>
      <c r="AL1228" s="5">
        <v>1</v>
      </c>
      <c r="AM1228" s="5">
        <v>1</v>
      </c>
    </row>
    <row r="1229" spans="1:39" s="7" customFormat="1" x14ac:dyDescent="0.25">
      <c r="A1229" s="5">
        <v>504</v>
      </c>
      <c r="B1229" s="5">
        <v>1</v>
      </c>
      <c r="C1229" s="5">
        <v>1</v>
      </c>
      <c r="D1229" s="5">
        <v>1</v>
      </c>
      <c r="E1229" s="5">
        <v>1</v>
      </c>
      <c r="F1229" s="5">
        <v>1</v>
      </c>
      <c r="G1229" s="5">
        <v>1</v>
      </c>
      <c r="H1229" s="5">
        <v>1</v>
      </c>
      <c r="I1229" s="5">
        <v>1</v>
      </c>
      <c r="J1229" s="5">
        <v>1</v>
      </c>
      <c r="K1229" s="5">
        <v>1</v>
      </c>
      <c r="L1229" s="5">
        <v>1</v>
      </c>
      <c r="M1229" s="5">
        <v>1</v>
      </c>
      <c r="N1229" s="6"/>
      <c r="O1229" s="5">
        <v>1</v>
      </c>
      <c r="P1229" s="6"/>
      <c r="Q1229" s="5">
        <v>1</v>
      </c>
      <c r="R1229" s="5">
        <v>1</v>
      </c>
      <c r="S1229" s="5">
        <v>1</v>
      </c>
      <c r="T1229" s="5">
        <v>1</v>
      </c>
      <c r="U1229" s="5">
        <v>1</v>
      </c>
      <c r="V1229" s="5">
        <v>1</v>
      </c>
      <c r="W1229" s="5">
        <v>1</v>
      </c>
      <c r="X1229" s="5">
        <v>1</v>
      </c>
      <c r="Y1229" s="5">
        <v>1</v>
      </c>
      <c r="Z1229" s="5">
        <v>1</v>
      </c>
      <c r="AA1229" s="5">
        <v>1</v>
      </c>
      <c r="AB1229" s="5">
        <v>1</v>
      </c>
      <c r="AC1229" s="5">
        <v>1</v>
      </c>
      <c r="AD1229" s="5">
        <v>1</v>
      </c>
      <c r="AE1229" s="6"/>
      <c r="AF1229" s="5">
        <v>1</v>
      </c>
      <c r="AG1229" s="5">
        <v>1</v>
      </c>
      <c r="AH1229" s="5">
        <v>1</v>
      </c>
      <c r="AI1229" s="5">
        <v>1</v>
      </c>
      <c r="AJ1229" s="6"/>
      <c r="AK1229" s="5">
        <v>1</v>
      </c>
      <c r="AL1229" s="5">
        <v>1</v>
      </c>
      <c r="AM1229" s="5">
        <v>1</v>
      </c>
    </row>
    <row r="1230" spans="1:39" s="7" customFormat="1" x14ac:dyDescent="0.25">
      <c r="A1230" s="5">
        <v>505</v>
      </c>
      <c r="B1230" s="5">
        <v>1</v>
      </c>
      <c r="C1230" s="5">
        <v>1</v>
      </c>
      <c r="D1230" s="5">
        <v>1</v>
      </c>
      <c r="E1230" s="5">
        <v>1</v>
      </c>
      <c r="F1230" s="5">
        <v>1</v>
      </c>
      <c r="G1230" s="5">
        <v>1</v>
      </c>
      <c r="H1230" s="5">
        <v>1</v>
      </c>
      <c r="I1230" s="5">
        <v>1</v>
      </c>
      <c r="J1230" s="5">
        <v>1</v>
      </c>
      <c r="K1230" s="5">
        <v>1</v>
      </c>
      <c r="L1230" s="5">
        <v>1</v>
      </c>
      <c r="M1230" s="5">
        <v>1</v>
      </c>
      <c r="N1230" s="6"/>
      <c r="O1230" s="5">
        <v>1</v>
      </c>
      <c r="P1230" s="6"/>
      <c r="Q1230" s="5">
        <v>1</v>
      </c>
      <c r="R1230" s="5">
        <v>1</v>
      </c>
      <c r="S1230" s="5">
        <v>1</v>
      </c>
      <c r="T1230" s="5">
        <v>1</v>
      </c>
      <c r="U1230" s="5">
        <v>1</v>
      </c>
      <c r="V1230" s="5">
        <v>1</v>
      </c>
      <c r="W1230" s="5">
        <v>1</v>
      </c>
      <c r="X1230" s="5">
        <v>1</v>
      </c>
      <c r="Y1230" s="5">
        <v>1</v>
      </c>
      <c r="Z1230" s="5">
        <v>1</v>
      </c>
      <c r="AA1230" s="5">
        <v>1</v>
      </c>
      <c r="AB1230" s="5">
        <v>1</v>
      </c>
      <c r="AC1230" s="5">
        <v>1</v>
      </c>
      <c r="AD1230" s="5">
        <v>1</v>
      </c>
      <c r="AE1230" s="6"/>
      <c r="AF1230" s="5">
        <v>1</v>
      </c>
      <c r="AG1230" s="5">
        <v>1</v>
      </c>
      <c r="AH1230" s="5">
        <v>1</v>
      </c>
      <c r="AI1230" s="5">
        <v>1</v>
      </c>
      <c r="AJ1230" s="6"/>
      <c r="AK1230" s="5">
        <v>1</v>
      </c>
      <c r="AL1230" s="5">
        <v>1</v>
      </c>
      <c r="AM1230" s="5">
        <v>1</v>
      </c>
    </row>
    <row r="1231" spans="1:39" s="7" customFormat="1" x14ac:dyDescent="0.25">
      <c r="A1231" s="5">
        <v>506</v>
      </c>
      <c r="B1231" s="5">
        <v>1</v>
      </c>
      <c r="C1231" s="5">
        <v>1</v>
      </c>
      <c r="D1231" s="5">
        <v>1</v>
      </c>
      <c r="E1231" s="5">
        <v>1</v>
      </c>
      <c r="F1231" s="5">
        <v>1</v>
      </c>
      <c r="G1231" s="5">
        <v>1</v>
      </c>
      <c r="H1231" s="5">
        <v>1</v>
      </c>
      <c r="I1231" s="5">
        <v>1</v>
      </c>
      <c r="J1231" s="5">
        <v>1</v>
      </c>
      <c r="K1231" s="5">
        <v>1</v>
      </c>
      <c r="L1231" s="5">
        <v>1</v>
      </c>
      <c r="M1231" s="5">
        <v>1</v>
      </c>
      <c r="N1231" s="6"/>
      <c r="O1231" s="5">
        <v>1</v>
      </c>
      <c r="P1231" s="6"/>
      <c r="Q1231" s="5">
        <v>1</v>
      </c>
      <c r="R1231" s="5">
        <v>1</v>
      </c>
      <c r="S1231" s="5">
        <v>1</v>
      </c>
      <c r="T1231" s="5">
        <v>1</v>
      </c>
      <c r="U1231" s="5">
        <v>1</v>
      </c>
      <c r="V1231" s="5">
        <v>1</v>
      </c>
      <c r="W1231" s="5">
        <v>1</v>
      </c>
      <c r="X1231" s="5">
        <v>1</v>
      </c>
      <c r="Y1231" s="5">
        <v>1</v>
      </c>
      <c r="Z1231" s="5">
        <v>1</v>
      </c>
      <c r="AA1231" s="5">
        <v>1</v>
      </c>
      <c r="AB1231" s="5">
        <v>1</v>
      </c>
      <c r="AC1231" s="5">
        <v>1</v>
      </c>
      <c r="AD1231" s="5">
        <v>1</v>
      </c>
      <c r="AE1231" s="6"/>
      <c r="AF1231" s="5">
        <v>1</v>
      </c>
      <c r="AG1231" s="5">
        <v>1</v>
      </c>
      <c r="AH1231" s="5">
        <v>1</v>
      </c>
      <c r="AI1231" s="5">
        <v>1</v>
      </c>
      <c r="AJ1231" s="6"/>
      <c r="AK1231" s="5">
        <v>1</v>
      </c>
      <c r="AL1231" s="5">
        <v>1</v>
      </c>
      <c r="AM1231" s="5">
        <v>1</v>
      </c>
    </row>
    <row r="1232" spans="1:39" s="7" customFormat="1" x14ac:dyDescent="0.25">
      <c r="A1232" s="5">
        <v>507</v>
      </c>
      <c r="B1232" s="5">
        <v>1</v>
      </c>
      <c r="C1232" s="5">
        <v>1</v>
      </c>
      <c r="D1232" s="5">
        <v>1</v>
      </c>
      <c r="E1232" s="5">
        <v>1</v>
      </c>
      <c r="F1232" s="5">
        <v>1</v>
      </c>
      <c r="G1232" s="5">
        <v>1</v>
      </c>
      <c r="H1232" s="5">
        <v>1</v>
      </c>
      <c r="I1232" s="5">
        <v>1</v>
      </c>
      <c r="J1232" s="5">
        <v>1</v>
      </c>
      <c r="K1232" s="5">
        <v>1</v>
      </c>
      <c r="L1232" s="5">
        <v>1</v>
      </c>
      <c r="M1232" s="5">
        <v>1</v>
      </c>
      <c r="N1232" s="6"/>
      <c r="O1232" s="5">
        <v>1</v>
      </c>
      <c r="P1232" s="6"/>
      <c r="Q1232" s="5">
        <v>1</v>
      </c>
      <c r="R1232" s="5">
        <v>1</v>
      </c>
      <c r="S1232" s="5">
        <v>1</v>
      </c>
      <c r="T1232" s="5">
        <v>1</v>
      </c>
      <c r="U1232" s="5">
        <v>1</v>
      </c>
      <c r="V1232" s="5">
        <v>1</v>
      </c>
      <c r="W1232" s="5">
        <v>1</v>
      </c>
      <c r="X1232" s="5">
        <v>1</v>
      </c>
      <c r="Y1232" s="5">
        <v>1</v>
      </c>
      <c r="Z1232" s="5">
        <v>1</v>
      </c>
      <c r="AA1232" s="5">
        <v>1</v>
      </c>
      <c r="AB1232" s="5">
        <v>1</v>
      </c>
      <c r="AC1232" s="5">
        <v>1</v>
      </c>
      <c r="AD1232" s="5">
        <v>1</v>
      </c>
      <c r="AE1232" s="6"/>
      <c r="AF1232" s="5">
        <v>1</v>
      </c>
      <c r="AG1232" s="5">
        <v>1</v>
      </c>
      <c r="AH1232" s="5">
        <v>1</v>
      </c>
      <c r="AI1232" s="5">
        <v>1</v>
      </c>
      <c r="AJ1232" s="6"/>
      <c r="AK1232" s="5">
        <v>1</v>
      </c>
      <c r="AL1232" s="5">
        <v>1</v>
      </c>
      <c r="AM1232" s="5">
        <v>1</v>
      </c>
    </row>
    <row r="1233" spans="1:39" s="7" customFormat="1" x14ac:dyDescent="0.25">
      <c r="A1233" s="5">
        <v>508</v>
      </c>
      <c r="B1233" s="5">
        <v>1</v>
      </c>
      <c r="C1233" s="6"/>
      <c r="D1233" s="5">
        <v>1</v>
      </c>
      <c r="E1233" s="5">
        <v>1</v>
      </c>
      <c r="F1233" s="6"/>
      <c r="G1233" s="6"/>
      <c r="H1233" s="6"/>
      <c r="I1233" s="6"/>
      <c r="J1233" s="6"/>
      <c r="K1233" s="6"/>
      <c r="L1233" s="6"/>
      <c r="M1233" s="6"/>
      <c r="N1233" s="5">
        <v>1</v>
      </c>
      <c r="O1233" s="6"/>
      <c r="P1233" s="6"/>
      <c r="Q1233" s="6"/>
      <c r="R1233" s="6"/>
      <c r="S1233" s="6"/>
      <c r="T1233" s="6"/>
      <c r="U1233" s="5">
        <v>1</v>
      </c>
      <c r="V1233" s="6"/>
      <c r="W1233" s="6"/>
      <c r="X1233" s="6"/>
      <c r="Y1233" s="5">
        <v>1</v>
      </c>
      <c r="Z1233" s="6"/>
      <c r="AA1233" s="6"/>
      <c r="AB1233" s="6"/>
      <c r="AC1233" s="6"/>
      <c r="AD1233" s="6"/>
      <c r="AE1233" s="6"/>
      <c r="AF1233" s="6"/>
      <c r="AG1233" s="5">
        <v>1</v>
      </c>
      <c r="AH1233" s="6"/>
      <c r="AI1233" s="6"/>
      <c r="AJ1233" s="6"/>
      <c r="AK1233" s="6"/>
      <c r="AL1233" s="5">
        <v>1</v>
      </c>
      <c r="AM1233" s="6"/>
    </row>
    <row r="1234" spans="1:39" s="7" customFormat="1" x14ac:dyDescent="0.25">
      <c r="A1234" s="5">
        <v>509</v>
      </c>
      <c r="B1234" s="5">
        <v>1</v>
      </c>
      <c r="C1234" s="6"/>
      <c r="D1234" s="5">
        <v>1</v>
      </c>
      <c r="E1234" s="5">
        <v>1</v>
      </c>
      <c r="F1234" s="6"/>
      <c r="G1234" s="6"/>
      <c r="H1234" s="6"/>
      <c r="I1234" s="6"/>
      <c r="J1234" s="6"/>
      <c r="K1234" s="6"/>
      <c r="L1234" s="6"/>
      <c r="M1234" s="6"/>
      <c r="N1234" s="5">
        <v>1</v>
      </c>
      <c r="O1234" s="6"/>
      <c r="P1234" s="6"/>
      <c r="Q1234" s="6"/>
      <c r="R1234" s="6"/>
      <c r="S1234" s="6"/>
      <c r="T1234" s="6"/>
      <c r="U1234" s="5">
        <v>1</v>
      </c>
      <c r="V1234" s="6"/>
      <c r="W1234" s="6"/>
      <c r="X1234" s="6"/>
      <c r="Y1234" s="5">
        <v>1</v>
      </c>
      <c r="Z1234" s="6"/>
      <c r="AA1234" s="6"/>
      <c r="AB1234" s="6"/>
      <c r="AC1234" s="6"/>
      <c r="AD1234" s="6"/>
      <c r="AE1234" s="6"/>
      <c r="AF1234" s="6"/>
      <c r="AG1234" s="5">
        <v>1</v>
      </c>
      <c r="AH1234" s="6"/>
      <c r="AI1234" s="6"/>
      <c r="AJ1234" s="6"/>
      <c r="AK1234" s="6"/>
      <c r="AL1234" s="5">
        <v>1</v>
      </c>
      <c r="AM1234" s="6"/>
    </row>
    <row r="1235" spans="1:39" s="7" customFormat="1" x14ac:dyDescent="0.25">
      <c r="A1235" s="5">
        <v>526</v>
      </c>
      <c r="B1235" s="6"/>
      <c r="C1235" s="6"/>
      <c r="D1235" s="5">
        <v>1</v>
      </c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5">
        <v>1</v>
      </c>
      <c r="AM1235" s="6"/>
    </row>
    <row r="1236" spans="1:39" s="7" customFormat="1" x14ac:dyDescent="0.25">
      <c r="A1236" s="5">
        <v>526</v>
      </c>
      <c r="B1236" s="5">
        <v>1</v>
      </c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5">
        <v>1</v>
      </c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5">
        <v>1</v>
      </c>
      <c r="Z1236" s="6"/>
      <c r="AA1236" s="6"/>
      <c r="AB1236" s="6"/>
      <c r="AC1236" s="6"/>
      <c r="AD1236" s="5">
        <v>1</v>
      </c>
      <c r="AE1236" s="6"/>
      <c r="AF1236" s="5">
        <v>1</v>
      </c>
      <c r="AG1236" s="6"/>
      <c r="AH1236" s="6"/>
      <c r="AI1236" s="6"/>
      <c r="AJ1236" s="6"/>
      <c r="AK1236" s="6"/>
      <c r="AL1236" s="6"/>
      <c r="AM1236" s="6"/>
    </row>
    <row r="1237" spans="1:39" s="7" customFormat="1" x14ac:dyDescent="0.25">
      <c r="A1237" s="5">
        <v>526</v>
      </c>
      <c r="B1237" s="6"/>
      <c r="C1237" s="6"/>
      <c r="D1237" s="6"/>
      <c r="E1237" s="6"/>
      <c r="F1237" s="5">
        <v>1</v>
      </c>
      <c r="G1237" s="6"/>
      <c r="H1237" s="6"/>
      <c r="I1237" s="6"/>
      <c r="J1237" s="6"/>
      <c r="K1237" s="5">
        <v>1</v>
      </c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</row>
    <row r="1238" spans="1:39" s="7" customFormat="1" x14ac:dyDescent="0.25">
      <c r="A1238" s="5">
        <v>526</v>
      </c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5">
        <v>1</v>
      </c>
      <c r="M1238" s="6"/>
      <c r="N1238" s="6"/>
      <c r="O1238" s="6"/>
      <c r="P1238" s="6"/>
      <c r="Q1238" s="6"/>
      <c r="R1238" s="6"/>
      <c r="S1238" s="6"/>
      <c r="T1238" s="6"/>
      <c r="U1238" s="5">
        <v>1</v>
      </c>
      <c r="V1238" s="6"/>
      <c r="W1238" s="6"/>
      <c r="X1238" s="5">
        <v>1</v>
      </c>
      <c r="Y1238" s="6"/>
      <c r="Z1238" s="6"/>
      <c r="AA1238" s="6"/>
      <c r="AB1238" s="6"/>
      <c r="AC1238" s="5">
        <v>1</v>
      </c>
      <c r="AD1238" s="6"/>
      <c r="AE1238" s="6"/>
      <c r="AF1238" s="6"/>
      <c r="AG1238" s="6"/>
      <c r="AH1238" s="6"/>
      <c r="AI1238" s="5">
        <v>1</v>
      </c>
      <c r="AJ1238" s="6"/>
      <c r="AK1238" s="6"/>
      <c r="AL1238" s="6"/>
      <c r="AM1238" s="6"/>
    </row>
    <row r="1239" spans="1:39" s="7" customFormat="1" x14ac:dyDescent="0.25">
      <c r="A1239" s="5">
        <v>526</v>
      </c>
      <c r="B1239" s="6"/>
      <c r="C1239" s="6"/>
      <c r="D1239" s="6"/>
      <c r="E1239" s="5">
        <v>1</v>
      </c>
      <c r="F1239" s="6"/>
      <c r="G1239" s="6"/>
      <c r="H1239" s="6"/>
      <c r="I1239" s="5">
        <v>1</v>
      </c>
      <c r="J1239" s="6"/>
      <c r="K1239" s="6"/>
      <c r="L1239" s="6"/>
      <c r="M1239" s="6"/>
      <c r="N1239" s="5">
        <v>1</v>
      </c>
      <c r="O1239" s="6"/>
      <c r="P1239" s="5">
        <v>1</v>
      </c>
      <c r="Q1239" s="5">
        <v>1</v>
      </c>
      <c r="R1239" s="6"/>
      <c r="S1239" s="6"/>
      <c r="T1239" s="5">
        <v>1</v>
      </c>
      <c r="U1239" s="6"/>
      <c r="V1239" s="6"/>
      <c r="W1239" s="6"/>
      <c r="X1239" s="6"/>
      <c r="Y1239" s="6"/>
      <c r="Z1239" s="6"/>
      <c r="AA1239" s="5">
        <v>1</v>
      </c>
      <c r="AB1239" s="6"/>
      <c r="AC1239" s="6"/>
      <c r="AD1239" s="6"/>
      <c r="AE1239" s="6"/>
      <c r="AF1239" s="6"/>
      <c r="AG1239" s="5">
        <v>1</v>
      </c>
      <c r="AH1239" s="5">
        <v>1</v>
      </c>
      <c r="AI1239" s="6"/>
      <c r="AJ1239" s="6"/>
      <c r="AK1239" s="5">
        <v>1</v>
      </c>
      <c r="AL1239" s="6"/>
      <c r="AM1239" s="6"/>
    </row>
    <row r="1240" spans="1:39" s="7" customFormat="1" x14ac:dyDescent="0.25">
      <c r="A1240" s="5">
        <v>526</v>
      </c>
      <c r="B1240" s="6"/>
      <c r="C1240" s="6"/>
      <c r="D1240" s="6"/>
      <c r="E1240" s="6"/>
      <c r="F1240" s="6"/>
      <c r="G1240" s="6"/>
      <c r="H1240" s="5">
        <v>1</v>
      </c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5">
        <v>1</v>
      </c>
      <c r="W1240" s="5">
        <v>1</v>
      </c>
      <c r="X1240" s="6"/>
      <c r="Y1240" s="6"/>
      <c r="Z1240" s="5">
        <v>1</v>
      </c>
      <c r="AA1240" s="6"/>
      <c r="AB1240" s="6"/>
      <c r="AC1240" s="6"/>
      <c r="AD1240" s="6"/>
      <c r="AE1240" s="5">
        <v>1</v>
      </c>
      <c r="AF1240" s="6"/>
      <c r="AG1240" s="6"/>
      <c r="AH1240" s="6"/>
      <c r="AI1240" s="6"/>
      <c r="AJ1240" s="6"/>
      <c r="AK1240" s="6"/>
      <c r="AL1240" s="6"/>
      <c r="AM1240" s="6"/>
    </row>
    <row r="1241" spans="1:39" s="7" customFormat="1" x14ac:dyDescent="0.25">
      <c r="A1241" s="5">
        <v>526</v>
      </c>
      <c r="B1241" s="6"/>
      <c r="C1241" s="5">
        <v>1</v>
      </c>
      <c r="D1241" s="6"/>
      <c r="E1241" s="6"/>
      <c r="F1241" s="6"/>
      <c r="G1241" s="5">
        <v>1</v>
      </c>
      <c r="H1241" s="6"/>
      <c r="I1241" s="6"/>
      <c r="J1241" s="5">
        <v>1</v>
      </c>
      <c r="K1241" s="6"/>
      <c r="L1241" s="6"/>
      <c r="M1241" s="6"/>
      <c r="N1241" s="6"/>
      <c r="O1241" s="5">
        <v>1</v>
      </c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5">
        <v>1</v>
      </c>
    </row>
    <row r="1242" spans="1:39" s="7" customFormat="1" x14ac:dyDescent="0.25">
      <c r="A1242" s="5">
        <v>526</v>
      </c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5">
        <v>1</v>
      </c>
      <c r="S1242" s="5">
        <v>1</v>
      </c>
      <c r="T1242" s="6"/>
      <c r="U1242" s="6"/>
      <c r="V1242" s="6"/>
      <c r="W1242" s="6"/>
      <c r="X1242" s="6"/>
      <c r="Y1242" s="6"/>
      <c r="Z1242" s="6"/>
      <c r="AA1242" s="6"/>
      <c r="AB1242" s="5">
        <v>1</v>
      </c>
      <c r="AC1242" s="6"/>
      <c r="AD1242" s="6"/>
      <c r="AE1242" s="6"/>
      <c r="AF1242" s="6"/>
      <c r="AG1242" s="6"/>
      <c r="AH1242" s="6"/>
      <c r="AI1242" s="6"/>
      <c r="AJ1242" s="5">
        <v>1</v>
      </c>
      <c r="AK1242" s="6"/>
      <c r="AL1242" s="6"/>
      <c r="AM1242" s="6"/>
    </row>
    <row r="1243" spans="1:39" s="7" customFormat="1" x14ac:dyDescent="0.25">
      <c r="A1243" s="5">
        <v>527</v>
      </c>
      <c r="B1243" s="5">
        <v>1</v>
      </c>
      <c r="C1243" s="6"/>
      <c r="D1243" s="5">
        <v>1</v>
      </c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6"/>
      <c r="AL1243" s="5">
        <v>1</v>
      </c>
      <c r="AM1243" s="6"/>
    </row>
    <row r="1244" spans="1:39" s="7" customFormat="1" x14ac:dyDescent="0.25">
      <c r="A1244" s="5">
        <v>527</v>
      </c>
      <c r="B1244" s="6"/>
      <c r="C1244" s="6"/>
      <c r="D1244" s="6"/>
      <c r="E1244" s="6"/>
      <c r="F1244" s="5">
        <v>1</v>
      </c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5">
        <v>1</v>
      </c>
      <c r="Z1244" s="6"/>
      <c r="AA1244" s="6"/>
      <c r="AB1244" s="6"/>
      <c r="AC1244" s="6"/>
      <c r="AD1244" s="5">
        <v>1</v>
      </c>
      <c r="AE1244" s="6"/>
      <c r="AF1244" s="5">
        <v>1</v>
      </c>
      <c r="AG1244" s="6"/>
      <c r="AH1244" s="6"/>
      <c r="AI1244" s="6"/>
      <c r="AJ1244" s="6"/>
      <c r="AK1244" s="6"/>
      <c r="AL1244" s="6"/>
      <c r="AM1244" s="6"/>
    </row>
    <row r="1245" spans="1:39" s="7" customFormat="1" x14ac:dyDescent="0.25">
      <c r="A1245" s="5">
        <v>527</v>
      </c>
      <c r="B1245" s="6"/>
      <c r="C1245" s="6"/>
      <c r="D1245" s="6"/>
      <c r="E1245" s="5">
        <v>1</v>
      </c>
      <c r="F1245" s="6"/>
      <c r="G1245" s="6"/>
      <c r="H1245" s="6"/>
      <c r="I1245" s="6"/>
      <c r="J1245" s="6"/>
      <c r="K1245" s="5">
        <v>1</v>
      </c>
      <c r="L1245" s="6"/>
      <c r="M1245" s="5">
        <v>1</v>
      </c>
      <c r="N1245" s="5">
        <v>1</v>
      </c>
      <c r="O1245" s="6"/>
      <c r="P1245" s="6"/>
      <c r="Q1245" s="6"/>
      <c r="R1245" s="6"/>
      <c r="S1245" s="6"/>
      <c r="T1245" s="6"/>
      <c r="U1245" s="5">
        <v>1</v>
      </c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5">
        <v>1</v>
      </c>
      <c r="AH1245" s="6"/>
      <c r="AI1245" s="6"/>
      <c r="AJ1245" s="6"/>
      <c r="AK1245" s="6"/>
      <c r="AL1245" s="6"/>
      <c r="AM1245" s="6"/>
    </row>
    <row r="1246" spans="1:39" s="7" customFormat="1" x14ac:dyDescent="0.25">
      <c r="A1246" s="5">
        <v>527</v>
      </c>
      <c r="B1246" s="6"/>
      <c r="C1246" s="6"/>
      <c r="D1246" s="6"/>
      <c r="E1246" s="6"/>
      <c r="F1246" s="6"/>
      <c r="G1246" s="6"/>
      <c r="H1246" s="5">
        <v>1</v>
      </c>
      <c r="I1246" s="5">
        <v>1</v>
      </c>
      <c r="J1246" s="6"/>
      <c r="K1246" s="6"/>
      <c r="L1246" s="6"/>
      <c r="M1246" s="6"/>
      <c r="N1246" s="6"/>
      <c r="O1246" s="6"/>
      <c r="P1246" s="5">
        <v>1</v>
      </c>
      <c r="Q1246" s="6"/>
      <c r="R1246" s="6"/>
      <c r="S1246" s="6"/>
      <c r="T1246" s="6"/>
      <c r="U1246" s="6"/>
      <c r="V1246" s="6"/>
      <c r="W1246" s="5">
        <v>1</v>
      </c>
      <c r="X1246" s="6"/>
      <c r="Y1246" s="6"/>
      <c r="Z1246" s="6"/>
      <c r="AA1246" s="5">
        <v>1</v>
      </c>
      <c r="AB1246" s="6"/>
      <c r="AC1246" s="5">
        <v>1</v>
      </c>
      <c r="AD1246" s="6"/>
      <c r="AE1246" s="5">
        <v>1</v>
      </c>
      <c r="AF1246" s="6"/>
      <c r="AG1246" s="6"/>
      <c r="AH1246" s="5">
        <v>1</v>
      </c>
      <c r="AI1246" s="5">
        <v>1</v>
      </c>
      <c r="AJ1246" s="6"/>
      <c r="AK1246" s="5">
        <v>1</v>
      </c>
      <c r="AL1246" s="6"/>
      <c r="AM1246" s="6"/>
    </row>
    <row r="1247" spans="1:39" s="7" customFormat="1" x14ac:dyDescent="0.25">
      <c r="A1247" s="5">
        <v>527</v>
      </c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5">
        <v>1</v>
      </c>
      <c r="M1247" s="6"/>
      <c r="N1247" s="6"/>
      <c r="O1247" s="6"/>
      <c r="P1247" s="6"/>
      <c r="Q1247" s="5">
        <v>1</v>
      </c>
      <c r="R1247" s="6"/>
      <c r="S1247" s="6"/>
      <c r="T1247" s="5">
        <v>1</v>
      </c>
      <c r="U1247" s="6"/>
      <c r="V1247" s="6"/>
      <c r="W1247" s="6"/>
      <c r="X1247" s="5">
        <v>1</v>
      </c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6"/>
      <c r="AL1247" s="6"/>
      <c r="AM1247" s="6"/>
    </row>
    <row r="1248" spans="1:39" s="7" customFormat="1" x14ac:dyDescent="0.25">
      <c r="A1248" s="5">
        <v>527</v>
      </c>
      <c r="B1248" s="6"/>
      <c r="C1248" s="5">
        <v>1</v>
      </c>
      <c r="D1248" s="6"/>
      <c r="E1248" s="6"/>
      <c r="F1248" s="6"/>
      <c r="G1248" s="5">
        <v>1</v>
      </c>
      <c r="H1248" s="6"/>
      <c r="I1248" s="6"/>
      <c r="J1248" s="5">
        <v>1</v>
      </c>
      <c r="K1248" s="6"/>
      <c r="L1248" s="6"/>
      <c r="M1248" s="6"/>
      <c r="N1248" s="6"/>
      <c r="O1248" s="5">
        <v>1</v>
      </c>
      <c r="P1248" s="6"/>
      <c r="Q1248" s="6"/>
      <c r="R1248" s="5">
        <v>1</v>
      </c>
      <c r="S1248" s="5">
        <v>1</v>
      </c>
      <c r="T1248" s="6"/>
      <c r="U1248" s="6"/>
      <c r="V1248" s="5">
        <v>1</v>
      </c>
      <c r="W1248" s="6"/>
      <c r="X1248" s="6"/>
      <c r="Y1248" s="6"/>
      <c r="Z1248" s="5">
        <v>1</v>
      </c>
      <c r="AA1248" s="6"/>
      <c r="AB1248" s="5">
        <v>1</v>
      </c>
      <c r="AC1248" s="6"/>
      <c r="AD1248" s="6"/>
      <c r="AE1248" s="6"/>
      <c r="AF1248" s="6"/>
      <c r="AG1248" s="6"/>
      <c r="AH1248" s="6"/>
      <c r="AI1248" s="6"/>
      <c r="AJ1248" s="5">
        <v>1</v>
      </c>
      <c r="AK1248" s="6"/>
      <c r="AL1248" s="6"/>
      <c r="AM1248" s="5">
        <v>1</v>
      </c>
    </row>
    <row r="1249" spans="1:39" s="7" customFormat="1" x14ac:dyDescent="0.25">
      <c r="A1249" s="5">
        <v>528</v>
      </c>
      <c r="B1249" s="5">
        <v>1</v>
      </c>
      <c r="C1249" s="5">
        <v>1</v>
      </c>
      <c r="D1249" s="5">
        <v>1</v>
      </c>
      <c r="E1249" s="5">
        <v>1</v>
      </c>
      <c r="F1249" s="5">
        <v>1</v>
      </c>
      <c r="G1249" s="5">
        <v>1</v>
      </c>
      <c r="H1249" s="5">
        <v>1</v>
      </c>
      <c r="I1249" s="5">
        <v>1</v>
      </c>
      <c r="J1249" s="5">
        <v>1</v>
      </c>
      <c r="K1249" s="5">
        <v>1</v>
      </c>
      <c r="L1249" s="5">
        <v>1</v>
      </c>
      <c r="M1249" s="5">
        <v>1</v>
      </c>
      <c r="N1249" s="5">
        <v>1</v>
      </c>
      <c r="O1249" s="5">
        <v>1</v>
      </c>
      <c r="P1249" s="5">
        <v>1</v>
      </c>
      <c r="Q1249" s="5">
        <v>1</v>
      </c>
      <c r="R1249" s="5">
        <v>1</v>
      </c>
      <c r="S1249" s="5">
        <v>1</v>
      </c>
      <c r="T1249" s="5">
        <v>1</v>
      </c>
      <c r="U1249" s="5">
        <v>1</v>
      </c>
      <c r="V1249" s="5">
        <v>1</v>
      </c>
      <c r="W1249" s="5">
        <v>1</v>
      </c>
      <c r="X1249" s="5">
        <v>1</v>
      </c>
      <c r="Y1249" s="5">
        <v>1</v>
      </c>
      <c r="Z1249" s="5">
        <v>1</v>
      </c>
      <c r="AA1249" s="5">
        <v>1</v>
      </c>
      <c r="AB1249" s="5">
        <v>1</v>
      </c>
      <c r="AC1249" s="5">
        <v>1</v>
      </c>
      <c r="AD1249" s="5">
        <v>1</v>
      </c>
      <c r="AE1249" s="5">
        <v>1</v>
      </c>
      <c r="AF1249" s="5">
        <v>1</v>
      </c>
      <c r="AG1249" s="5">
        <v>1</v>
      </c>
      <c r="AH1249" s="5">
        <v>1</v>
      </c>
      <c r="AI1249" s="5">
        <v>1</v>
      </c>
      <c r="AJ1249" s="5">
        <v>1</v>
      </c>
      <c r="AK1249" s="5">
        <v>1</v>
      </c>
      <c r="AL1249" s="5">
        <v>1</v>
      </c>
      <c r="AM1249" s="5">
        <v>1</v>
      </c>
    </row>
    <row r="1250" spans="1:39" s="7" customFormat="1" x14ac:dyDescent="0.25">
      <c r="A1250" s="5">
        <v>531</v>
      </c>
      <c r="B1250" s="5">
        <v>1</v>
      </c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5">
        <v>1</v>
      </c>
      <c r="AG1250" s="6"/>
      <c r="AH1250" s="6"/>
      <c r="AI1250" s="6"/>
      <c r="AJ1250" s="6"/>
      <c r="AK1250" s="6"/>
      <c r="AL1250" s="6"/>
      <c r="AM1250" s="6"/>
    </row>
    <row r="1251" spans="1:39" s="7" customFormat="1" x14ac:dyDescent="0.25">
      <c r="A1251" s="5">
        <v>531</v>
      </c>
      <c r="B1251" s="6"/>
      <c r="C1251" s="6"/>
      <c r="D1251" s="6"/>
      <c r="E1251" s="6"/>
      <c r="F1251" s="5">
        <v>1</v>
      </c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</row>
    <row r="1252" spans="1:39" s="7" customFormat="1" x14ac:dyDescent="0.25">
      <c r="A1252" s="5">
        <v>531</v>
      </c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5">
        <v>1</v>
      </c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</row>
    <row r="1253" spans="1:39" s="7" customFormat="1" x14ac:dyDescent="0.25">
      <c r="A1253" s="5">
        <v>532</v>
      </c>
      <c r="B1253" s="5">
        <v>1</v>
      </c>
      <c r="C1253" s="5">
        <v>1</v>
      </c>
      <c r="D1253" s="5">
        <v>1</v>
      </c>
      <c r="E1253" s="5">
        <v>1</v>
      </c>
      <c r="F1253" s="5">
        <v>1</v>
      </c>
      <c r="G1253" s="5">
        <v>1</v>
      </c>
      <c r="H1253" s="5">
        <v>1</v>
      </c>
      <c r="I1253" s="5">
        <v>1</v>
      </c>
      <c r="J1253" s="5">
        <v>1</v>
      </c>
      <c r="K1253" s="5">
        <v>1</v>
      </c>
      <c r="L1253" s="5">
        <v>1</v>
      </c>
      <c r="M1253" s="5">
        <v>1</v>
      </c>
      <c r="N1253" s="5">
        <v>1</v>
      </c>
      <c r="O1253" s="5">
        <v>1</v>
      </c>
      <c r="P1253" s="5">
        <v>1</v>
      </c>
      <c r="Q1253" s="5">
        <v>1</v>
      </c>
      <c r="R1253" s="5">
        <v>1</v>
      </c>
      <c r="S1253" s="5">
        <v>1</v>
      </c>
      <c r="T1253" s="5">
        <v>1</v>
      </c>
      <c r="U1253" s="5">
        <v>1</v>
      </c>
      <c r="V1253" s="5">
        <v>1</v>
      </c>
      <c r="W1253" s="5">
        <v>1</v>
      </c>
      <c r="X1253" s="5">
        <v>1</v>
      </c>
      <c r="Y1253" s="5">
        <v>1</v>
      </c>
      <c r="Z1253" s="5">
        <v>1</v>
      </c>
      <c r="AA1253" s="5">
        <v>1</v>
      </c>
      <c r="AB1253" s="5">
        <v>1</v>
      </c>
      <c r="AC1253" s="5">
        <v>1</v>
      </c>
      <c r="AD1253" s="5">
        <v>1</v>
      </c>
      <c r="AE1253" s="5">
        <v>1</v>
      </c>
      <c r="AF1253" s="5">
        <v>1</v>
      </c>
      <c r="AG1253" s="5">
        <v>1</v>
      </c>
      <c r="AH1253" s="5">
        <v>1</v>
      </c>
      <c r="AI1253" s="5">
        <v>1</v>
      </c>
      <c r="AJ1253" s="5">
        <v>1</v>
      </c>
      <c r="AK1253" s="5">
        <v>1</v>
      </c>
      <c r="AL1253" s="5">
        <v>1</v>
      </c>
      <c r="AM1253" s="5">
        <v>1</v>
      </c>
    </row>
    <row r="1254" spans="1:39" s="7" customFormat="1" x14ac:dyDescent="0.25">
      <c r="A1254" s="5">
        <v>533</v>
      </c>
      <c r="B1254" s="5">
        <v>1</v>
      </c>
      <c r="C1254" s="5">
        <v>1</v>
      </c>
      <c r="D1254" s="5">
        <v>1</v>
      </c>
      <c r="E1254" s="5">
        <v>1</v>
      </c>
      <c r="F1254" s="5">
        <v>1</v>
      </c>
      <c r="G1254" s="5">
        <v>1</v>
      </c>
      <c r="H1254" s="5">
        <v>1</v>
      </c>
      <c r="I1254" s="5">
        <v>1</v>
      </c>
      <c r="J1254" s="5">
        <v>1</v>
      </c>
      <c r="K1254" s="5">
        <v>1</v>
      </c>
      <c r="L1254" s="5">
        <v>1</v>
      </c>
      <c r="M1254" s="5">
        <v>1</v>
      </c>
      <c r="N1254" s="5">
        <v>1</v>
      </c>
      <c r="O1254" s="5">
        <v>1</v>
      </c>
      <c r="P1254" s="5">
        <v>1</v>
      </c>
      <c r="Q1254" s="5">
        <v>1</v>
      </c>
      <c r="R1254" s="5">
        <v>1</v>
      </c>
      <c r="S1254" s="5">
        <v>1</v>
      </c>
      <c r="T1254" s="5">
        <v>1</v>
      </c>
      <c r="U1254" s="5">
        <v>1</v>
      </c>
      <c r="V1254" s="5">
        <v>1</v>
      </c>
      <c r="W1254" s="5">
        <v>1</v>
      </c>
      <c r="X1254" s="5">
        <v>1</v>
      </c>
      <c r="Y1254" s="5">
        <v>1</v>
      </c>
      <c r="Z1254" s="5">
        <v>1</v>
      </c>
      <c r="AA1254" s="5">
        <v>1</v>
      </c>
      <c r="AB1254" s="5">
        <v>1</v>
      </c>
      <c r="AC1254" s="5">
        <v>1</v>
      </c>
      <c r="AD1254" s="5">
        <v>1</v>
      </c>
      <c r="AE1254" s="5">
        <v>1</v>
      </c>
      <c r="AF1254" s="5">
        <v>1</v>
      </c>
      <c r="AG1254" s="5">
        <v>1</v>
      </c>
      <c r="AH1254" s="5">
        <v>1</v>
      </c>
      <c r="AI1254" s="5">
        <v>1</v>
      </c>
      <c r="AJ1254" s="5">
        <v>1</v>
      </c>
      <c r="AK1254" s="5">
        <v>1</v>
      </c>
      <c r="AL1254" s="5">
        <v>1</v>
      </c>
      <c r="AM1254" s="5">
        <v>1</v>
      </c>
    </row>
    <row r="1255" spans="1:39" s="7" customFormat="1" x14ac:dyDescent="0.25">
      <c r="A1255" s="5">
        <v>534</v>
      </c>
      <c r="B1255" s="5">
        <v>1</v>
      </c>
      <c r="C1255" s="5">
        <v>1</v>
      </c>
      <c r="D1255" s="5">
        <v>1</v>
      </c>
      <c r="E1255" s="5">
        <v>1</v>
      </c>
      <c r="F1255" s="5">
        <v>1</v>
      </c>
      <c r="G1255" s="5">
        <v>1</v>
      </c>
      <c r="H1255" s="5">
        <v>1</v>
      </c>
      <c r="I1255" s="5">
        <v>1</v>
      </c>
      <c r="J1255" s="5">
        <v>1</v>
      </c>
      <c r="K1255" s="5">
        <v>1</v>
      </c>
      <c r="L1255" s="5">
        <v>1</v>
      </c>
      <c r="M1255" s="5">
        <v>1</v>
      </c>
      <c r="N1255" s="5">
        <v>1</v>
      </c>
      <c r="O1255" s="5">
        <v>1</v>
      </c>
      <c r="P1255" s="5">
        <v>1</v>
      </c>
      <c r="Q1255" s="5">
        <v>1</v>
      </c>
      <c r="R1255" s="5">
        <v>1</v>
      </c>
      <c r="S1255" s="5">
        <v>1</v>
      </c>
      <c r="T1255" s="5">
        <v>1</v>
      </c>
      <c r="U1255" s="5">
        <v>1</v>
      </c>
      <c r="V1255" s="5">
        <v>1</v>
      </c>
      <c r="W1255" s="5">
        <v>1</v>
      </c>
      <c r="X1255" s="5">
        <v>1</v>
      </c>
      <c r="Y1255" s="5">
        <v>1</v>
      </c>
      <c r="Z1255" s="5">
        <v>1</v>
      </c>
      <c r="AA1255" s="5">
        <v>1</v>
      </c>
      <c r="AB1255" s="5">
        <v>1</v>
      </c>
      <c r="AC1255" s="5">
        <v>1</v>
      </c>
      <c r="AD1255" s="5">
        <v>1</v>
      </c>
      <c r="AE1255" s="5">
        <v>1</v>
      </c>
      <c r="AF1255" s="5">
        <v>1</v>
      </c>
      <c r="AG1255" s="5">
        <v>1</v>
      </c>
      <c r="AH1255" s="5">
        <v>1</v>
      </c>
      <c r="AI1255" s="5">
        <v>1</v>
      </c>
      <c r="AJ1255" s="5">
        <v>1</v>
      </c>
      <c r="AK1255" s="5">
        <v>1</v>
      </c>
      <c r="AL1255" s="5">
        <v>1</v>
      </c>
      <c r="AM1255" s="5">
        <v>1</v>
      </c>
    </row>
    <row r="1256" spans="1:39" s="7" customFormat="1" x14ac:dyDescent="0.25">
      <c r="A1256" s="5">
        <v>535</v>
      </c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5">
        <v>1</v>
      </c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6"/>
    </row>
    <row r="1257" spans="1:39" s="7" customFormat="1" x14ac:dyDescent="0.25">
      <c r="A1257" s="5">
        <v>535</v>
      </c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5">
        <v>1</v>
      </c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6"/>
      <c r="AL1257" s="6"/>
      <c r="AM1257" s="6"/>
    </row>
    <row r="1258" spans="1:39" s="7" customFormat="1" x14ac:dyDescent="0.25">
      <c r="A1258" s="5">
        <v>535</v>
      </c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5">
        <v>1</v>
      </c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6"/>
      <c r="AL1258" s="6"/>
      <c r="AM1258" s="6"/>
    </row>
    <row r="1259" spans="1:39" s="7" customFormat="1" x14ac:dyDescent="0.25">
      <c r="A1259" s="5">
        <v>535</v>
      </c>
      <c r="B1259" s="6"/>
      <c r="C1259" s="6"/>
      <c r="D1259" s="6"/>
      <c r="E1259" s="6"/>
      <c r="F1259" s="6"/>
      <c r="G1259" s="5">
        <v>1</v>
      </c>
      <c r="H1259" s="6"/>
      <c r="I1259" s="6"/>
      <c r="J1259" s="6"/>
      <c r="K1259" s="6"/>
      <c r="L1259" s="6"/>
      <c r="M1259" s="6"/>
      <c r="N1259" s="6"/>
      <c r="O1259" s="5">
        <v>1</v>
      </c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6"/>
      <c r="AL1259" s="6"/>
      <c r="AM1259" s="6"/>
    </row>
    <row r="1260" spans="1:39" s="7" customFormat="1" x14ac:dyDescent="0.25">
      <c r="A1260" s="5">
        <v>535</v>
      </c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5">
        <v>1</v>
      </c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</row>
    <row r="1261" spans="1:39" s="7" customFormat="1" x14ac:dyDescent="0.25">
      <c r="A1261" s="5">
        <v>537</v>
      </c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5">
        <v>1</v>
      </c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6"/>
      <c r="AL1261" s="6"/>
      <c r="AM1261" s="6"/>
    </row>
    <row r="1262" spans="1:39" s="7" customFormat="1" x14ac:dyDescent="0.25">
      <c r="A1262" s="5">
        <v>537</v>
      </c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5">
        <v>1</v>
      </c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  <c r="AM1262" s="6"/>
    </row>
    <row r="1263" spans="1:39" s="7" customFormat="1" x14ac:dyDescent="0.25">
      <c r="A1263" s="5">
        <v>537</v>
      </c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5">
        <v>1</v>
      </c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6"/>
      <c r="AL1263" s="6"/>
      <c r="AM1263" s="6"/>
    </row>
    <row r="1264" spans="1:39" s="7" customFormat="1" x14ac:dyDescent="0.25">
      <c r="A1264" s="5">
        <v>537</v>
      </c>
      <c r="B1264" s="6"/>
      <c r="C1264" s="6"/>
      <c r="D1264" s="6"/>
      <c r="E1264" s="6"/>
      <c r="F1264" s="6"/>
      <c r="G1264" s="5">
        <v>1</v>
      </c>
      <c r="H1264" s="6"/>
      <c r="I1264" s="6"/>
      <c r="J1264" s="6"/>
      <c r="K1264" s="6"/>
      <c r="L1264" s="6"/>
      <c r="M1264" s="6"/>
      <c r="N1264" s="6"/>
      <c r="O1264" s="5">
        <v>1</v>
      </c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6"/>
    </row>
    <row r="1265" spans="1:39" s="7" customFormat="1" x14ac:dyDescent="0.25">
      <c r="A1265" s="5">
        <v>537</v>
      </c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5">
        <v>1</v>
      </c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</row>
    <row r="1266" spans="1:39" s="7" customFormat="1" x14ac:dyDescent="0.25">
      <c r="A1266" s="5">
        <v>538</v>
      </c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5">
        <v>1</v>
      </c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</row>
    <row r="1267" spans="1:39" s="7" customFormat="1" x14ac:dyDescent="0.25">
      <c r="A1267" s="5">
        <v>538</v>
      </c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5">
        <v>1</v>
      </c>
      <c r="P1267" s="6"/>
      <c r="Q1267" s="5">
        <v>1</v>
      </c>
      <c r="R1267" s="6"/>
      <c r="S1267" s="6"/>
      <c r="T1267" s="6"/>
      <c r="U1267" s="6"/>
      <c r="V1267" s="5">
        <v>1</v>
      </c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</row>
    <row r="1268" spans="1:39" s="7" customFormat="1" x14ac:dyDescent="0.25">
      <c r="A1268" s="5">
        <v>538</v>
      </c>
      <c r="B1268" s="6"/>
      <c r="C1268" s="6"/>
      <c r="D1268" s="6"/>
      <c r="E1268" s="6"/>
      <c r="F1268" s="6"/>
      <c r="G1268" s="5">
        <v>1</v>
      </c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5">
        <v>1</v>
      </c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</row>
    <row r="1269" spans="1:39" s="7" customFormat="1" x14ac:dyDescent="0.25">
      <c r="A1269" s="5">
        <v>539</v>
      </c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5">
        <v>1</v>
      </c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</row>
    <row r="1270" spans="1:39" s="7" customFormat="1" x14ac:dyDescent="0.25">
      <c r="A1270" s="5">
        <v>539</v>
      </c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5">
        <v>1</v>
      </c>
      <c r="P1270" s="6"/>
      <c r="Q1270" s="5">
        <v>1</v>
      </c>
      <c r="R1270" s="6"/>
      <c r="S1270" s="6"/>
      <c r="T1270" s="6"/>
      <c r="U1270" s="6"/>
      <c r="V1270" s="5">
        <v>1</v>
      </c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6"/>
      <c r="AL1270" s="6"/>
      <c r="AM1270" s="6"/>
    </row>
    <row r="1271" spans="1:39" s="7" customFormat="1" x14ac:dyDescent="0.25">
      <c r="A1271" s="5">
        <v>539</v>
      </c>
      <c r="B1271" s="6"/>
      <c r="C1271" s="6"/>
      <c r="D1271" s="6"/>
      <c r="E1271" s="6"/>
      <c r="F1271" s="6"/>
      <c r="G1271" s="5">
        <v>1</v>
      </c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5">
        <v>1</v>
      </c>
      <c r="AC1271" s="6"/>
      <c r="AD1271" s="6"/>
      <c r="AE1271" s="6"/>
      <c r="AF1271" s="6"/>
      <c r="AG1271" s="6"/>
      <c r="AH1271" s="6"/>
      <c r="AI1271" s="6"/>
      <c r="AJ1271" s="6"/>
      <c r="AK1271" s="6"/>
      <c r="AL1271" s="6"/>
      <c r="AM1271" s="6"/>
    </row>
    <row r="1272" spans="1:39" s="7" customFormat="1" x14ac:dyDescent="0.25">
      <c r="A1272" s="5">
        <v>1001</v>
      </c>
      <c r="B1272" s="5">
        <v>1</v>
      </c>
      <c r="C1272" s="5">
        <v>1</v>
      </c>
      <c r="D1272" s="5">
        <v>1</v>
      </c>
      <c r="E1272" s="5">
        <v>1</v>
      </c>
      <c r="F1272" s="5">
        <v>1</v>
      </c>
      <c r="G1272" s="5">
        <v>1</v>
      </c>
      <c r="H1272" s="5">
        <v>1</v>
      </c>
      <c r="I1272" s="5">
        <v>1</v>
      </c>
      <c r="J1272" s="5">
        <v>1</v>
      </c>
      <c r="K1272" s="5">
        <v>1</v>
      </c>
      <c r="L1272" s="5">
        <v>1</v>
      </c>
      <c r="M1272" s="5">
        <v>1</v>
      </c>
      <c r="N1272" s="5">
        <v>1</v>
      </c>
      <c r="O1272" s="5">
        <v>1</v>
      </c>
      <c r="P1272" s="5">
        <v>1</v>
      </c>
      <c r="Q1272" s="5">
        <v>1</v>
      </c>
      <c r="R1272" s="5">
        <v>1</v>
      </c>
      <c r="S1272" s="5">
        <v>1</v>
      </c>
      <c r="T1272" s="5">
        <v>1</v>
      </c>
      <c r="U1272" s="5">
        <v>1</v>
      </c>
      <c r="V1272" s="5">
        <v>1</v>
      </c>
      <c r="W1272" s="5">
        <v>1</v>
      </c>
      <c r="X1272" s="5">
        <v>1</v>
      </c>
      <c r="Y1272" s="5">
        <v>1</v>
      </c>
      <c r="Z1272" s="5">
        <v>1</v>
      </c>
      <c r="AA1272" s="5">
        <v>1</v>
      </c>
      <c r="AB1272" s="5">
        <v>1</v>
      </c>
      <c r="AC1272" s="5">
        <v>1</v>
      </c>
      <c r="AD1272" s="5">
        <v>1</v>
      </c>
      <c r="AE1272" s="5">
        <v>1</v>
      </c>
      <c r="AF1272" s="5">
        <v>1</v>
      </c>
      <c r="AG1272" s="5">
        <v>1</v>
      </c>
      <c r="AH1272" s="5">
        <v>1</v>
      </c>
      <c r="AI1272" s="5">
        <v>1</v>
      </c>
      <c r="AJ1272" s="5">
        <v>1</v>
      </c>
      <c r="AK1272" s="5">
        <v>1</v>
      </c>
      <c r="AL1272" s="5">
        <v>1</v>
      </c>
      <c r="AM1272" s="5">
        <v>1</v>
      </c>
    </row>
    <row r="1273" spans="1:39" s="7" customFormat="1" x14ac:dyDescent="0.25">
      <c r="A1273" s="5">
        <v>102</v>
      </c>
      <c r="B1273" s="5"/>
      <c r="C1273" s="5">
        <v>1</v>
      </c>
      <c r="D1273" s="6"/>
      <c r="E1273" s="5">
        <v>1</v>
      </c>
      <c r="F1273" s="5"/>
      <c r="G1273" s="5">
        <v>1</v>
      </c>
      <c r="H1273" s="5"/>
      <c r="I1273" s="5">
        <v>1</v>
      </c>
      <c r="J1273" s="5">
        <v>1</v>
      </c>
      <c r="K1273" s="5">
        <v>1</v>
      </c>
      <c r="L1273" s="5">
        <v>1</v>
      </c>
      <c r="M1273" s="5">
        <v>1</v>
      </c>
      <c r="N1273" s="5"/>
      <c r="O1273" s="5">
        <v>1</v>
      </c>
      <c r="P1273" s="5"/>
      <c r="Q1273" s="5">
        <v>1</v>
      </c>
      <c r="R1273" s="5">
        <v>1</v>
      </c>
      <c r="S1273" s="5"/>
      <c r="T1273" s="5">
        <v>1</v>
      </c>
      <c r="U1273" s="5">
        <v>1</v>
      </c>
      <c r="V1273" s="5">
        <v>1</v>
      </c>
      <c r="W1273" s="5">
        <v>1</v>
      </c>
      <c r="X1273" s="5">
        <v>1</v>
      </c>
      <c r="Y1273" s="5">
        <v>1</v>
      </c>
      <c r="Z1273" s="5">
        <v>1</v>
      </c>
      <c r="AA1273" s="5"/>
      <c r="AB1273" s="5">
        <v>1</v>
      </c>
      <c r="AC1273" s="5">
        <v>1</v>
      </c>
      <c r="AD1273" s="6"/>
      <c r="AE1273" s="5"/>
      <c r="AF1273" s="5"/>
      <c r="AG1273" s="5"/>
      <c r="AH1273" s="5"/>
      <c r="AI1273" s="6"/>
      <c r="AJ1273" s="5"/>
      <c r="AK1273" s="5">
        <v>1</v>
      </c>
      <c r="AL1273" s="6"/>
      <c r="AM1273" s="5">
        <v>1</v>
      </c>
    </row>
    <row r="1274" spans="1:39" s="7" customFormat="1" x14ac:dyDescent="0.25">
      <c r="A1274" s="5">
        <v>104</v>
      </c>
      <c r="B1274" s="5"/>
      <c r="C1274" s="5">
        <v>1</v>
      </c>
      <c r="D1274" s="6"/>
      <c r="E1274" s="5">
        <v>1</v>
      </c>
      <c r="F1274" s="5"/>
      <c r="G1274" s="5">
        <v>1</v>
      </c>
      <c r="H1274" s="5"/>
      <c r="I1274" s="5">
        <v>1</v>
      </c>
      <c r="J1274" s="5">
        <v>1</v>
      </c>
      <c r="K1274" s="5">
        <v>1</v>
      </c>
      <c r="L1274" s="5">
        <v>1</v>
      </c>
      <c r="M1274" s="5">
        <v>1</v>
      </c>
      <c r="N1274" s="5"/>
      <c r="O1274" s="5">
        <v>1</v>
      </c>
      <c r="P1274" s="5"/>
      <c r="Q1274" s="5">
        <v>1</v>
      </c>
      <c r="R1274" s="5">
        <v>1</v>
      </c>
      <c r="S1274" s="5"/>
      <c r="T1274" s="5">
        <v>1</v>
      </c>
      <c r="U1274" s="5">
        <v>1</v>
      </c>
      <c r="V1274" s="5">
        <v>1</v>
      </c>
      <c r="W1274" s="5">
        <v>1</v>
      </c>
      <c r="X1274" s="5">
        <v>1</v>
      </c>
      <c r="Y1274" s="5">
        <v>1</v>
      </c>
      <c r="Z1274" s="5">
        <v>1</v>
      </c>
      <c r="AA1274" s="5"/>
      <c r="AB1274" s="5">
        <v>1</v>
      </c>
      <c r="AC1274" s="5">
        <v>1</v>
      </c>
      <c r="AD1274" s="6"/>
      <c r="AE1274" s="5"/>
      <c r="AF1274" s="5"/>
      <c r="AG1274" s="5"/>
      <c r="AH1274" s="5"/>
      <c r="AI1274" s="6"/>
      <c r="AJ1274" s="5"/>
      <c r="AK1274" s="5">
        <v>1</v>
      </c>
      <c r="AL1274" s="6"/>
      <c r="AM1274" s="5">
        <v>1</v>
      </c>
    </row>
    <row r="1275" spans="1:39" s="7" customFormat="1" x14ac:dyDescent="0.25">
      <c r="A1275" s="5">
        <v>113</v>
      </c>
      <c r="B1275" s="5"/>
      <c r="C1275" s="5">
        <v>1</v>
      </c>
      <c r="D1275" s="6"/>
      <c r="E1275" s="5">
        <v>1</v>
      </c>
      <c r="F1275" s="5"/>
      <c r="G1275" s="5">
        <v>1</v>
      </c>
      <c r="H1275" s="5"/>
      <c r="I1275" s="5">
        <v>1</v>
      </c>
      <c r="J1275" s="5">
        <v>1</v>
      </c>
      <c r="K1275" s="5">
        <v>1</v>
      </c>
      <c r="L1275" s="5">
        <v>1</v>
      </c>
      <c r="M1275" s="5">
        <v>1</v>
      </c>
      <c r="N1275" s="5"/>
      <c r="O1275" s="5">
        <v>1</v>
      </c>
      <c r="P1275" s="5"/>
      <c r="Q1275" s="5">
        <v>1</v>
      </c>
      <c r="R1275" s="5">
        <v>1</v>
      </c>
      <c r="S1275" s="5"/>
      <c r="T1275" s="5">
        <v>1</v>
      </c>
      <c r="U1275" s="5">
        <v>1</v>
      </c>
      <c r="V1275" s="5">
        <v>1</v>
      </c>
      <c r="W1275" s="5">
        <v>1</v>
      </c>
      <c r="X1275" s="5">
        <v>1</v>
      </c>
      <c r="Y1275" s="5">
        <v>1</v>
      </c>
      <c r="Z1275" s="5">
        <v>1</v>
      </c>
      <c r="AA1275" s="5"/>
      <c r="AB1275" s="5">
        <v>1</v>
      </c>
      <c r="AC1275" s="5">
        <v>1</v>
      </c>
      <c r="AD1275" s="6"/>
      <c r="AE1275" s="5"/>
      <c r="AF1275" s="5"/>
      <c r="AG1275" s="5"/>
      <c r="AH1275" s="5"/>
      <c r="AI1275" s="6"/>
      <c r="AJ1275" s="5"/>
      <c r="AK1275" s="5">
        <v>1</v>
      </c>
      <c r="AL1275" s="6"/>
      <c r="AM1275" s="5">
        <v>1</v>
      </c>
    </row>
    <row r="1276" spans="1:39" s="7" customFormat="1" x14ac:dyDescent="0.25">
      <c r="A1276" s="5">
        <v>297</v>
      </c>
      <c r="B1276" s="5"/>
      <c r="C1276" s="5">
        <v>1</v>
      </c>
      <c r="D1276" s="6"/>
      <c r="E1276" s="5">
        <v>1</v>
      </c>
      <c r="F1276" s="5"/>
      <c r="G1276" s="5">
        <v>1</v>
      </c>
      <c r="H1276" s="5"/>
      <c r="I1276" s="5">
        <v>1</v>
      </c>
      <c r="J1276" s="5">
        <v>1</v>
      </c>
      <c r="K1276" s="5">
        <v>1</v>
      </c>
      <c r="L1276" s="5">
        <v>1</v>
      </c>
      <c r="M1276" s="5">
        <v>1</v>
      </c>
      <c r="N1276" s="5"/>
      <c r="O1276" s="5">
        <v>1</v>
      </c>
      <c r="P1276" s="5"/>
      <c r="Q1276" s="5">
        <v>1</v>
      </c>
      <c r="R1276" s="5">
        <v>1</v>
      </c>
      <c r="S1276" s="5"/>
      <c r="T1276" s="5">
        <v>1</v>
      </c>
      <c r="U1276" s="5">
        <v>1</v>
      </c>
      <c r="V1276" s="5">
        <v>1</v>
      </c>
      <c r="W1276" s="5">
        <v>1</v>
      </c>
      <c r="X1276" s="5">
        <v>1</v>
      </c>
      <c r="Y1276" s="5">
        <v>1</v>
      </c>
      <c r="Z1276" s="5">
        <v>1</v>
      </c>
      <c r="AA1276" s="5"/>
      <c r="AB1276" s="5">
        <v>1</v>
      </c>
      <c r="AC1276" s="5">
        <v>1</v>
      </c>
      <c r="AD1276" s="6"/>
      <c r="AE1276" s="5"/>
      <c r="AF1276" s="5"/>
      <c r="AG1276" s="5"/>
      <c r="AH1276" s="5"/>
      <c r="AI1276" s="6"/>
      <c r="AJ1276" s="5"/>
      <c r="AK1276" s="5">
        <v>1</v>
      </c>
      <c r="AL1276" s="6"/>
      <c r="AM1276" s="5">
        <v>1</v>
      </c>
    </row>
    <row r="1277" spans="1:39" s="7" customFormat="1" x14ac:dyDescent="0.25">
      <c r="A1277" s="5">
        <v>151</v>
      </c>
      <c r="B1277" s="5"/>
      <c r="C1277" s="5">
        <v>1</v>
      </c>
      <c r="D1277" s="5"/>
      <c r="E1277" s="5"/>
      <c r="F1277" s="5"/>
      <c r="G1277" s="5">
        <v>1</v>
      </c>
      <c r="H1277" s="5"/>
      <c r="I1277" s="5"/>
      <c r="J1277" s="5">
        <v>1</v>
      </c>
      <c r="K1277" s="5"/>
      <c r="L1277" s="5">
        <v>1</v>
      </c>
      <c r="M1277" s="5"/>
      <c r="N1277" s="5"/>
      <c r="O1277" s="5">
        <v>1</v>
      </c>
      <c r="P1277" s="5"/>
      <c r="Q1277" s="5">
        <v>1</v>
      </c>
      <c r="R1277" s="5">
        <v>1</v>
      </c>
      <c r="S1277" s="5">
        <v>1</v>
      </c>
      <c r="T1277" s="5">
        <v>1</v>
      </c>
      <c r="U1277" s="5"/>
      <c r="V1277" s="5">
        <v>1</v>
      </c>
      <c r="W1277" s="5"/>
      <c r="X1277" s="5">
        <v>1</v>
      </c>
      <c r="Y1277" s="5"/>
      <c r="Z1277" s="5">
        <v>1</v>
      </c>
      <c r="AA1277" s="5">
        <v>1</v>
      </c>
      <c r="AB1277" s="5">
        <v>1</v>
      </c>
      <c r="AC1277" s="5"/>
      <c r="AD1277" s="5"/>
      <c r="AE1277" s="5"/>
      <c r="AF1277" s="5"/>
      <c r="AG1277" s="5"/>
      <c r="AH1277" s="5"/>
      <c r="AI1277" s="5">
        <v>1</v>
      </c>
      <c r="AJ1277" s="5">
        <v>1</v>
      </c>
      <c r="AK1277" s="5"/>
      <c r="AL1277" s="6"/>
      <c r="AM1277" s="5">
        <v>1</v>
      </c>
    </row>
    <row r="1278" spans="1:39" s="7" customFormat="1" x14ac:dyDescent="0.25">
      <c r="A1278" s="5">
        <v>152</v>
      </c>
      <c r="B1278" s="5"/>
      <c r="C1278" s="5">
        <v>1</v>
      </c>
      <c r="D1278" s="5"/>
      <c r="E1278" s="5"/>
      <c r="F1278" s="5"/>
      <c r="G1278" s="5">
        <v>1</v>
      </c>
      <c r="H1278" s="5"/>
      <c r="I1278" s="5"/>
      <c r="J1278" s="5">
        <v>1</v>
      </c>
      <c r="K1278" s="5"/>
      <c r="L1278" s="5">
        <v>1</v>
      </c>
      <c r="M1278" s="5"/>
      <c r="N1278" s="5"/>
      <c r="O1278" s="5">
        <v>1</v>
      </c>
      <c r="P1278" s="5"/>
      <c r="Q1278" s="5">
        <v>1</v>
      </c>
      <c r="R1278" s="5">
        <v>1</v>
      </c>
      <c r="S1278" s="5">
        <v>1</v>
      </c>
      <c r="T1278" s="5">
        <v>1</v>
      </c>
      <c r="U1278" s="5"/>
      <c r="V1278" s="5">
        <v>1</v>
      </c>
      <c r="W1278" s="5"/>
      <c r="X1278" s="5">
        <v>1</v>
      </c>
      <c r="Y1278" s="5"/>
      <c r="Z1278" s="5">
        <v>1</v>
      </c>
      <c r="AA1278" s="5">
        <v>1</v>
      </c>
      <c r="AB1278" s="5">
        <v>1</v>
      </c>
      <c r="AC1278" s="5"/>
      <c r="AD1278" s="5"/>
      <c r="AE1278" s="5"/>
      <c r="AF1278" s="5"/>
      <c r="AG1278" s="5"/>
      <c r="AH1278" s="5"/>
      <c r="AI1278" s="5">
        <v>1</v>
      </c>
      <c r="AJ1278" s="5">
        <v>1</v>
      </c>
      <c r="AK1278" s="5"/>
      <c r="AL1278" s="6"/>
      <c r="AM1278" s="5">
        <v>1</v>
      </c>
    </row>
    <row r="1279" spans="1:39" s="7" customFormat="1" x14ac:dyDescent="0.25">
      <c r="A1279" s="5">
        <v>359</v>
      </c>
      <c r="B1279" s="5"/>
      <c r="C1279" s="5">
        <v>1</v>
      </c>
      <c r="D1279" s="5"/>
      <c r="E1279" s="5"/>
      <c r="F1279" s="5"/>
      <c r="G1279" s="5">
        <v>1</v>
      </c>
      <c r="H1279" s="5"/>
      <c r="I1279" s="5"/>
      <c r="J1279" s="5">
        <v>1</v>
      </c>
      <c r="K1279" s="5"/>
      <c r="L1279" s="5">
        <v>1</v>
      </c>
      <c r="M1279" s="5"/>
      <c r="N1279" s="5"/>
      <c r="O1279" s="5">
        <v>1</v>
      </c>
      <c r="P1279" s="5"/>
      <c r="Q1279" s="5">
        <v>1</v>
      </c>
      <c r="R1279" s="5">
        <v>1</v>
      </c>
      <c r="S1279" s="5">
        <v>1</v>
      </c>
      <c r="T1279" s="5">
        <v>1</v>
      </c>
      <c r="U1279" s="5"/>
      <c r="V1279" s="5">
        <v>1</v>
      </c>
      <c r="W1279" s="5"/>
      <c r="X1279" s="5">
        <v>1</v>
      </c>
      <c r="Y1279" s="5"/>
      <c r="Z1279" s="5">
        <v>1</v>
      </c>
      <c r="AA1279" s="5">
        <v>1</v>
      </c>
      <c r="AB1279" s="5">
        <v>1</v>
      </c>
      <c r="AC1279" s="5"/>
      <c r="AD1279" s="5"/>
      <c r="AE1279" s="5"/>
      <c r="AF1279" s="5"/>
      <c r="AG1279" s="5"/>
      <c r="AH1279" s="5"/>
      <c r="AI1279" s="5">
        <v>1</v>
      </c>
      <c r="AJ1279" s="5">
        <v>1</v>
      </c>
      <c r="AK1279" s="5"/>
      <c r="AL1279" s="6"/>
      <c r="AM1279" s="5">
        <v>1</v>
      </c>
    </row>
    <row r="1280" spans="1:39" s="7" customFormat="1" x14ac:dyDescent="0.25">
      <c r="A1280" s="5">
        <v>222</v>
      </c>
      <c r="B1280" s="6"/>
      <c r="C1280" s="5"/>
      <c r="D1280" s="6"/>
      <c r="E1280" s="6"/>
      <c r="F1280" s="6"/>
      <c r="G1280" s="5"/>
      <c r="H1280" s="6"/>
      <c r="I1280" s="6"/>
      <c r="J1280" s="5"/>
      <c r="K1280" s="6"/>
      <c r="L1280" s="5"/>
      <c r="M1280" s="6"/>
      <c r="N1280" s="6"/>
      <c r="O1280" s="5"/>
      <c r="P1280" s="6"/>
      <c r="Q1280" s="5"/>
      <c r="R1280" s="5"/>
      <c r="S1280" s="5">
        <v>1</v>
      </c>
      <c r="T1280" s="5"/>
      <c r="U1280" s="6"/>
      <c r="V1280" s="5"/>
      <c r="W1280" s="6"/>
      <c r="X1280" s="5"/>
      <c r="Y1280" s="6"/>
      <c r="Z1280" s="5"/>
      <c r="AA1280" s="5"/>
      <c r="AB1280" s="5"/>
      <c r="AC1280" s="6"/>
      <c r="AD1280" s="6"/>
      <c r="AE1280" s="6"/>
      <c r="AF1280" s="6"/>
      <c r="AG1280" s="6"/>
      <c r="AH1280" s="6"/>
      <c r="AI1280" s="5"/>
      <c r="AJ1280" s="5">
        <v>1</v>
      </c>
      <c r="AK1280" s="6"/>
      <c r="AL1280" s="6"/>
      <c r="AM1280" s="5"/>
    </row>
    <row r="1281" spans="1:39" s="7" customFormat="1" x14ac:dyDescent="0.25">
      <c r="A1281" s="5">
        <v>226</v>
      </c>
      <c r="B1281" s="6"/>
      <c r="C1281" s="5"/>
      <c r="D1281" s="6"/>
      <c r="E1281" s="6"/>
      <c r="F1281" s="6"/>
      <c r="G1281" s="5"/>
      <c r="H1281" s="6"/>
      <c r="I1281" s="6"/>
      <c r="J1281" s="5"/>
      <c r="K1281" s="6"/>
      <c r="L1281" s="5"/>
      <c r="M1281" s="6"/>
      <c r="N1281" s="6"/>
      <c r="O1281" s="5"/>
      <c r="P1281" s="6"/>
      <c r="Q1281" s="5"/>
      <c r="R1281" s="5"/>
      <c r="S1281" s="5">
        <v>1</v>
      </c>
      <c r="T1281" s="5"/>
      <c r="U1281" s="6"/>
      <c r="V1281" s="5"/>
      <c r="W1281" s="6"/>
      <c r="X1281" s="5"/>
      <c r="Y1281" s="6"/>
      <c r="Z1281" s="5"/>
      <c r="AA1281" s="5"/>
      <c r="AB1281" s="5"/>
      <c r="AC1281" s="6"/>
      <c r="AD1281" s="6"/>
      <c r="AE1281" s="6"/>
      <c r="AF1281" s="6"/>
      <c r="AG1281" s="6"/>
      <c r="AH1281" s="6"/>
      <c r="AI1281" s="5"/>
      <c r="AJ1281" s="5">
        <v>1</v>
      </c>
      <c r="AK1281" s="6"/>
      <c r="AL1281" s="6"/>
      <c r="AM1281" s="5"/>
    </row>
    <row r="1282" spans="1:39" s="7" customFormat="1" x14ac:dyDescent="0.25">
      <c r="A1282" s="5">
        <v>231</v>
      </c>
      <c r="B1282" s="6"/>
      <c r="C1282" s="5"/>
      <c r="D1282" s="6"/>
      <c r="E1282" s="6"/>
      <c r="F1282" s="6"/>
      <c r="G1282" s="5"/>
      <c r="H1282" s="6"/>
      <c r="I1282" s="6"/>
      <c r="J1282" s="5"/>
      <c r="K1282" s="6"/>
      <c r="L1282" s="5"/>
      <c r="M1282" s="6"/>
      <c r="N1282" s="6"/>
      <c r="O1282" s="5"/>
      <c r="P1282" s="6"/>
      <c r="Q1282" s="5"/>
      <c r="R1282" s="5"/>
      <c r="S1282" s="5">
        <v>1</v>
      </c>
      <c r="T1282" s="5"/>
      <c r="U1282" s="6"/>
      <c r="V1282" s="5"/>
      <c r="W1282" s="6"/>
      <c r="X1282" s="5"/>
      <c r="Y1282" s="6"/>
      <c r="Z1282" s="5"/>
      <c r="AA1282" s="5"/>
      <c r="AB1282" s="5"/>
      <c r="AC1282" s="6"/>
      <c r="AD1282" s="6"/>
      <c r="AE1282" s="6"/>
      <c r="AF1282" s="6"/>
      <c r="AG1282" s="6"/>
      <c r="AH1282" s="6"/>
      <c r="AI1282" s="5"/>
      <c r="AJ1282" s="5">
        <v>1</v>
      </c>
      <c r="AK1282" s="6"/>
      <c r="AL1282" s="6"/>
      <c r="AM1282" s="5"/>
    </row>
    <row r="1283" spans="1:39" s="7" customFormat="1" x14ac:dyDescent="0.25">
      <c r="A1283" s="5">
        <v>16</v>
      </c>
      <c r="B1283" s="6"/>
      <c r="C1283" s="6"/>
      <c r="D1283" s="6"/>
      <c r="E1283" s="5"/>
      <c r="F1283" s="6"/>
      <c r="G1283" s="5">
        <v>1</v>
      </c>
      <c r="H1283" s="5"/>
      <c r="I1283" s="6"/>
      <c r="J1283" s="6"/>
      <c r="K1283" s="6"/>
      <c r="L1283" s="5"/>
      <c r="M1283" s="5"/>
      <c r="N1283" s="5"/>
      <c r="O1283" s="6"/>
      <c r="P1283" s="6"/>
      <c r="Q1283" s="5">
        <v>1</v>
      </c>
      <c r="R1283" s="5"/>
      <c r="S1283" s="5"/>
      <c r="T1283" s="6"/>
      <c r="U1283" s="6"/>
      <c r="V1283" s="6"/>
      <c r="W1283" s="5"/>
      <c r="X1283" s="6"/>
      <c r="Y1283" s="6"/>
      <c r="Z1283" s="5"/>
      <c r="AA1283" s="6"/>
      <c r="AB1283" s="6"/>
      <c r="AC1283" s="5"/>
      <c r="AD1283" s="6"/>
      <c r="AE1283" s="5"/>
      <c r="AF1283" s="5"/>
      <c r="AG1283" s="5"/>
      <c r="AH1283" s="6"/>
      <c r="AI1283" s="6"/>
      <c r="AJ1283" s="5"/>
      <c r="AK1283" s="6"/>
      <c r="AL1283" s="6"/>
      <c r="AM1283" s="6"/>
    </row>
    <row r="1284" spans="1:39" s="7" customFormat="1" x14ac:dyDescent="0.25">
      <c r="A1284" s="5">
        <v>235</v>
      </c>
      <c r="B1284" s="6"/>
      <c r="C1284" s="6"/>
      <c r="D1284" s="6"/>
      <c r="E1284" s="5"/>
      <c r="F1284" s="6"/>
      <c r="G1284" s="5">
        <v>1</v>
      </c>
      <c r="H1284" s="5"/>
      <c r="I1284" s="6"/>
      <c r="J1284" s="6"/>
      <c r="K1284" s="6"/>
      <c r="L1284" s="5"/>
      <c r="M1284" s="5"/>
      <c r="N1284" s="5"/>
      <c r="O1284" s="6"/>
      <c r="P1284" s="6"/>
      <c r="Q1284" s="5">
        <v>1</v>
      </c>
      <c r="R1284" s="5"/>
      <c r="S1284" s="5"/>
      <c r="T1284" s="6"/>
      <c r="U1284" s="6"/>
      <c r="V1284" s="6"/>
      <c r="W1284" s="5"/>
      <c r="X1284" s="6"/>
      <c r="Y1284" s="6"/>
      <c r="Z1284" s="5"/>
      <c r="AA1284" s="6"/>
      <c r="AB1284" s="6"/>
      <c r="AC1284" s="5"/>
      <c r="AD1284" s="6"/>
      <c r="AE1284" s="5"/>
      <c r="AF1284" s="5"/>
      <c r="AG1284" s="5"/>
      <c r="AH1284" s="6"/>
      <c r="AI1284" s="6"/>
      <c r="AJ1284" s="5"/>
      <c r="AK1284" s="6"/>
      <c r="AL1284" s="6"/>
      <c r="AM1284" s="6"/>
    </row>
    <row r="1285" spans="1:39" s="7" customFormat="1" x14ac:dyDescent="0.25">
      <c r="A1285" s="5">
        <v>349</v>
      </c>
      <c r="B1285" s="6"/>
      <c r="C1285" s="6"/>
      <c r="D1285" s="6"/>
      <c r="E1285" s="5"/>
      <c r="F1285" s="6"/>
      <c r="G1285" s="5">
        <v>1</v>
      </c>
      <c r="H1285" s="5"/>
      <c r="I1285" s="6"/>
      <c r="J1285" s="6"/>
      <c r="K1285" s="6"/>
      <c r="L1285" s="5"/>
      <c r="M1285" s="5"/>
      <c r="N1285" s="5"/>
      <c r="O1285" s="6"/>
      <c r="P1285" s="6"/>
      <c r="Q1285" s="5">
        <v>1</v>
      </c>
      <c r="R1285" s="5"/>
      <c r="S1285" s="5"/>
      <c r="T1285" s="6"/>
      <c r="U1285" s="6"/>
      <c r="V1285" s="6"/>
      <c r="W1285" s="5"/>
      <c r="X1285" s="6"/>
      <c r="Y1285" s="6"/>
      <c r="Z1285" s="5"/>
      <c r="AA1285" s="6"/>
      <c r="AB1285" s="6"/>
      <c r="AC1285" s="5"/>
      <c r="AD1285" s="6"/>
      <c r="AE1285" s="5"/>
      <c r="AF1285" s="5"/>
      <c r="AG1285" s="5"/>
      <c r="AH1285" s="6"/>
      <c r="AI1285" s="6"/>
      <c r="AJ1285" s="5"/>
      <c r="AK1285" s="6"/>
      <c r="AL1285" s="6"/>
      <c r="AM1285" s="6"/>
    </row>
    <row r="1286" spans="1:39" s="7" customFormat="1" x14ac:dyDescent="0.25">
      <c r="A1286" s="5">
        <v>494</v>
      </c>
      <c r="B1286" s="6"/>
      <c r="C1286" s="6"/>
      <c r="D1286" s="6"/>
      <c r="E1286" s="5"/>
      <c r="F1286" s="6"/>
      <c r="G1286" s="5">
        <v>1</v>
      </c>
      <c r="H1286" s="5"/>
      <c r="I1286" s="6"/>
      <c r="J1286" s="6"/>
      <c r="K1286" s="6"/>
      <c r="L1286" s="5"/>
      <c r="M1286" s="5"/>
      <c r="N1286" s="5"/>
      <c r="O1286" s="6"/>
      <c r="P1286" s="6"/>
      <c r="Q1286" s="5">
        <v>1</v>
      </c>
      <c r="R1286" s="5"/>
      <c r="S1286" s="5"/>
      <c r="T1286" s="6"/>
      <c r="U1286" s="6"/>
      <c r="V1286" s="6"/>
      <c r="W1286" s="5"/>
      <c r="X1286" s="6"/>
      <c r="Y1286" s="6"/>
      <c r="Z1286" s="5"/>
      <c r="AA1286" s="6"/>
      <c r="AB1286" s="6"/>
      <c r="AC1286" s="5"/>
      <c r="AD1286" s="6"/>
      <c r="AE1286" s="5"/>
      <c r="AF1286" s="5"/>
      <c r="AG1286" s="5"/>
      <c r="AH1286" s="6"/>
      <c r="AI1286" s="6"/>
      <c r="AJ1286" s="5"/>
      <c r="AK1286" s="6"/>
      <c r="AL1286" s="6"/>
      <c r="AM1286" s="6"/>
    </row>
    <row r="1287" spans="1:39" s="7" customFormat="1" x14ac:dyDescent="0.25">
      <c r="A1287" s="5">
        <v>495</v>
      </c>
      <c r="B1287" s="6"/>
      <c r="C1287" s="6"/>
      <c r="D1287" s="6"/>
      <c r="E1287" s="5"/>
      <c r="F1287" s="6"/>
      <c r="G1287" s="5">
        <v>1</v>
      </c>
      <c r="H1287" s="5"/>
      <c r="I1287" s="6"/>
      <c r="J1287" s="6"/>
      <c r="K1287" s="6"/>
      <c r="L1287" s="5"/>
      <c r="M1287" s="5"/>
      <c r="N1287" s="5"/>
      <c r="O1287" s="6"/>
      <c r="P1287" s="6"/>
      <c r="Q1287" s="5">
        <v>1</v>
      </c>
      <c r="R1287" s="5"/>
      <c r="S1287" s="5"/>
      <c r="T1287" s="6"/>
      <c r="U1287" s="6"/>
      <c r="V1287" s="6"/>
      <c r="W1287" s="5"/>
      <c r="X1287" s="6"/>
      <c r="Y1287" s="6"/>
      <c r="Z1287" s="5"/>
      <c r="AA1287" s="6"/>
      <c r="AB1287" s="6"/>
      <c r="AC1287" s="5"/>
      <c r="AD1287" s="6"/>
      <c r="AE1287" s="5"/>
      <c r="AF1287" s="5"/>
      <c r="AG1287" s="5"/>
      <c r="AH1287" s="6"/>
      <c r="AI1287" s="6"/>
      <c r="AJ1287" s="5"/>
      <c r="AK1287" s="6"/>
      <c r="AL1287" s="6"/>
      <c r="AM1287" s="6"/>
    </row>
    <row r="1288" spans="1:39" s="7" customFormat="1" x14ac:dyDescent="0.25">
      <c r="A1288" s="5">
        <v>16</v>
      </c>
      <c r="B1288" s="6"/>
      <c r="C1288" s="6"/>
      <c r="D1288" s="6"/>
      <c r="E1288" s="5"/>
      <c r="F1288" s="6"/>
      <c r="G1288" s="5"/>
      <c r="H1288" s="5"/>
      <c r="I1288" s="6"/>
      <c r="J1288" s="6"/>
      <c r="K1288" s="6"/>
      <c r="L1288" s="5">
        <v>1</v>
      </c>
      <c r="M1288" s="5">
        <v>1</v>
      </c>
      <c r="N1288" s="5"/>
      <c r="O1288" s="6"/>
      <c r="P1288" s="6"/>
      <c r="Q1288" s="5"/>
      <c r="R1288" s="5"/>
      <c r="S1288" s="5"/>
      <c r="T1288" s="6"/>
      <c r="U1288" s="6"/>
      <c r="V1288" s="6"/>
      <c r="W1288" s="5"/>
      <c r="X1288" s="6"/>
      <c r="Y1288" s="6"/>
      <c r="Z1288" s="5">
        <v>1</v>
      </c>
      <c r="AA1288" s="6"/>
      <c r="AB1288" s="6"/>
      <c r="AC1288" s="5">
        <v>1</v>
      </c>
      <c r="AD1288" s="6"/>
      <c r="AE1288" s="5"/>
      <c r="AF1288" s="5">
        <v>1</v>
      </c>
      <c r="AG1288" s="5"/>
      <c r="AH1288" s="6"/>
      <c r="AI1288" s="6"/>
      <c r="AJ1288" s="5"/>
      <c r="AK1288" s="6"/>
      <c r="AL1288" s="6"/>
      <c r="AM1288" s="6"/>
    </row>
    <row r="1289" spans="1:39" s="7" customFormat="1" x14ac:dyDescent="0.25">
      <c r="A1289" s="5">
        <v>235</v>
      </c>
      <c r="B1289" s="6"/>
      <c r="C1289" s="6"/>
      <c r="D1289" s="6"/>
      <c r="E1289" s="5"/>
      <c r="F1289" s="6"/>
      <c r="G1289" s="5"/>
      <c r="H1289" s="5"/>
      <c r="I1289" s="6"/>
      <c r="J1289" s="6"/>
      <c r="K1289" s="6"/>
      <c r="L1289" s="5">
        <v>1</v>
      </c>
      <c r="M1289" s="5">
        <v>1</v>
      </c>
      <c r="N1289" s="5"/>
      <c r="O1289" s="6"/>
      <c r="P1289" s="6"/>
      <c r="Q1289" s="5"/>
      <c r="R1289" s="5"/>
      <c r="S1289" s="5"/>
      <c r="T1289" s="6"/>
      <c r="U1289" s="6"/>
      <c r="V1289" s="6"/>
      <c r="W1289" s="5"/>
      <c r="X1289" s="6"/>
      <c r="Y1289" s="6"/>
      <c r="Z1289" s="5">
        <v>1</v>
      </c>
      <c r="AA1289" s="6"/>
      <c r="AB1289" s="6"/>
      <c r="AC1289" s="5">
        <v>1</v>
      </c>
      <c r="AD1289" s="6"/>
      <c r="AE1289" s="5"/>
      <c r="AF1289" s="5">
        <v>1</v>
      </c>
      <c r="AG1289" s="5"/>
      <c r="AH1289" s="6"/>
      <c r="AI1289" s="6"/>
      <c r="AJ1289" s="5"/>
      <c r="AK1289" s="6"/>
      <c r="AL1289" s="6"/>
      <c r="AM1289" s="6"/>
    </row>
    <row r="1290" spans="1:39" s="7" customFormat="1" x14ac:dyDescent="0.25">
      <c r="A1290" s="5">
        <v>349</v>
      </c>
      <c r="B1290" s="6"/>
      <c r="C1290" s="6"/>
      <c r="D1290" s="6"/>
      <c r="E1290" s="5"/>
      <c r="F1290" s="6"/>
      <c r="G1290" s="5"/>
      <c r="H1290" s="5"/>
      <c r="I1290" s="6"/>
      <c r="J1290" s="6"/>
      <c r="K1290" s="6"/>
      <c r="L1290" s="5">
        <v>1</v>
      </c>
      <c r="M1290" s="5">
        <v>1</v>
      </c>
      <c r="N1290" s="5"/>
      <c r="O1290" s="6"/>
      <c r="P1290" s="6"/>
      <c r="Q1290" s="5"/>
      <c r="R1290" s="5"/>
      <c r="S1290" s="5"/>
      <c r="T1290" s="6"/>
      <c r="U1290" s="6"/>
      <c r="V1290" s="6"/>
      <c r="W1290" s="5"/>
      <c r="X1290" s="6"/>
      <c r="Y1290" s="6"/>
      <c r="Z1290" s="5">
        <v>1</v>
      </c>
      <c r="AA1290" s="6"/>
      <c r="AB1290" s="6"/>
      <c r="AC1290" s="5">
        <v>1</v>
      </c>
      <c r="AD1290" s="6"/>
      <c r="AE1290" s="5"/>
      <c r="AF1290" s="5">
        <v>1</v>
      </c>
      <c r="AG1290" s="5"/>
      <c r="AH1290" s="6"/>
      <c r="AI1290" s="6"/>
      <c r="AJ1290" s="5"/>
      <c r="AK1290" s="6"/>
      <c r="AL1290" s="6"/>
      <c r="AM1290" s="6"/>
    </row>
    <row r="1291" spans="1:39" s="7" customFormat="1" x14ac:dyDescent="0.25">
      <c r="A1291" s="5">
        <v>494</v>
      </c>
      <c r="B1291" s="6"/>
      <c r="C1291" s="6"/>
      <c r="D1291" s="6"/>
      <c r="E1291" s="5"/>
      <c r="F1291" s="6"/>
      <c r="G1291" s="5"/>
      <c r="H1291" s="5"/>
      <c r="I1291" s="6"/>
      <c r="J1291" s="6"/>
      <c r="K1291" s="6"/>
      <c r="L1291" s="5">
        <v>1</v>
      </c>
      <c r="M1291" s="5">
        <v>1</v>
      </c>
      <c r="N1291" s="5"/>
      <c r="O1291" s="6"/>
      <c r="P1291" s="6"/>
      <c r="Q1291" s="5"/>
      <c r="R1291" s="5"/>
      <c r="S1291" s="5"/>
      <c r="T1291" s="6"/>
      <c r="U1291" s="6"/>
      <c r="V1291" s="6"/>
      <c r="W1291" s="5"/>
      <c r="X1291" s="6"/>
      <c r="Y1291" s="6"/>
      <c r="Z1291" s="5">
        <v>1</v>
      </c>
      <c r="AA1291" s="6"/>
      <c r="AB1291" s="6"/>
      <c r="AC1291" s="5">
        <v>1</v>
      </c>
      <c r="AD1291" s="6"/>
      <c r="AE1291" s="5"/>
      <c r="AF1291" s="5">
        <v>1</v>
      </c>
      <c r="AG1291" s="5"/>
      <c r="AH1291" s="6"/>
      <c r="AI1291" s="6"/>
      <c r="AJ1291" s="5"/>
      <c r="AK1291" s="6"/>
      <c r="AL1291" s="6"/>
      <c r="AM1291" s="6"/>
    </row>
    <row r="1292" spans="1:39" s="7" customFormat="1" x14ac:dyDescent="0.25">
      <c r="A1292" s="5">
        <v>495</v>
      </c>
      <c r="B1292" s="6"/>
      <c r="C1292" s="6"/>
      <c r="D1292" s="6"/>
      <c r="E1292" s="5"/>
      <c r="F1292" s="6"/>
      <c r="G1292" s="5"/>
      <c r="H1292" s="5"/>
      <c r="I1292" s="6"/>
      <c r="J1292" s="6"/>
      <c r="K1292" s="6"/>
      <c r="L1292" s="5">
        <v>1</v>
      </c>
      <c r="M1292" s="5">
        <v>1</v>
      </c>
      <c r="N1292" s="5"/>
      <c r="O1292" s="6"/>
      <c r="P1292" s="6"/>
      <c r="Q1292" s="5"/>
      <c r="R1292" s="5"/>
      <c r="S1292" s="5"/>
      <c r="T1292" s="6"/>
      <c r="U1292" s="6"/>
      <c r="V1292" s="6"/>
      <c r="W1292" s="5"/>
      <c r="X1292" s="6"/>
      <c r="Y1292" s="6"/>
      <c r="Z1292" s="5">
        <v>1</v>
      </c>
      <c r="AA1292" s="6"/>
      <c r="AB1292" s="6"/>
      <c r="AC1292" s="5">
        <v>1</v>
      </c>
      <c r="AD1292" s="6"/>
      <c r="AE1292" s="5"/>
      <c r="AF1292" s="5">
        <v>1</v>
      </c>
      <c r="AG1292" s="5"/>
      <c r="AH1292" s="6"/>
      <c r="AI1292" s="6"/>
      <c r="AJ1292" s="5"/>
      <c r="AK1292" s="6"/>
      <c r="AL1292" s="6"/>
      <c r="AM1292" s="6"/>
    </row>
    <row r="1293" spans="1:39" s="7" customFormat="1" x14ac:dyDescent="0.25">
      <c r="A1293" s="5">
        <v>16</v>
      </c>
      <c r="B1293" s="6"/>
      <c r="C1293" s="6"/>
      <c r="D1293" s="6"/>
      <c r="E1293" s="6"/>
      <c r="F1293" s="6"/>
      <c r="G1293" s="6"/>
      <c r="H1293" s="6"/>
      <c r="I1293" s="5"/>
      <c r="J1293" s="5"/>
      <c r="K1293" s="6"/>
      <c r="L1293" s="6"/>
      <c r="M1293" s="6"/>
      <c r="N1293" s="6"/>
      <c r="O1293" s="6"/>
      <c r="P1293" s="5"/>
      <c r="Q1293" s="6"/>
      <c r="R1293" s="6"/>
      <c r="S1293" s="6"/>
      <c r="T1293" s="6"/>
      <c r="U1293" s="6"/>
      <c r="V1293" s="5">
        <v>1</v>
      </c>
      <c r="W1293" s="6"/>
      <c r="X1293" s="5">
        <v>1</v>
      </c>
      <c r="Y1293" s="6"/>
      <c r="Z1293" s="6"/>
      <c r="AA1293" s="6"/>
      <c r="AB1293" s="5"/>
      <c r="AC1293" s="6"/>
      <c r="AD1293" s="6"/>
      <c r="AE1293" s="6"/>
      <c r="AF1293" s="6"/>
      <c r="AG1293" s="6"/>
      <c r="AH1293" s="5"/>
      <c r="AI1293" s="6"/>
      <c r="AJ1293" s="6"/>
      <c r="AK1293" s="6"/>
      <c r="AL1293" s="6"/>
      <c r="AM1293" s="6"/>
    </row>
    <row r="1294" spans="1:39" s="7" customFormat="1" x14ac:dyDescent="0.25">
      <c r="A1294" s="5">
        <v>235</v>
      </c>
      <c r="B1294" s="6"/>
      <c r="C1294" s="6"/>
      <c r="D1294" s="6"/>
      <c r="E1294" s="6"/>
      <c r="F1294" s="6"/>
      <c r="G1294" s="6"/>
      <c r="H1294" s="6"/>
      <c r="I1294" s="5"/>
      <c r="J1294" s="5"/>
      <c r="K1294" s="6"/>
      <c r="L1294" s="6"/>
      <c r="M1294" s="6"/>
      <c r="N1294" s="6"/>
      <c r="O1294" s="6"/>
      <c r="P1294" s="5"/>
      <c r="Q1294" s="6"/>
      <c r="R1294" s="6"/>
      <c r="S1294" s="6"/>
      <c r="T1294" s="6"/>
      <c r="U1294" s="6"/>
      <c r="V1294" s="5">
        <v>1</v>
      </c>
      <c r="W1294" s="6"/>
      <c r="X1294" s="5">
        <v>1</v>
      </c>
      <c r="Y1294" s="6"/>
      <c r="Z1294" s="6"/>
      <c r="AA1294" s="6"/>
      <c r="AB1294" s="5"/>
      <c r="AC1294" s="6"/>
      <c r="AD1294" s="6"/>
      <c r="AE1294" s="6"/>
      <c r="AF1294" s="6"/>
      <c r="AG1294" s="6"/>
      <c r="AH1294" s="5"/>
      <c r="AI1294" s="6"/>
      <c r="AJ1294" s="6"/>
      <c r="AK1294" s="6"/>
      <c r="AL1294" s="6"/>
      <c r="AM1294" s="6"/>
    </row>
    <row r="1295" spans="1:39" s="7" customFormat="1" x14ac:dyDescent="0.25">
      <c r="A1295" s="5">
        <v>349</v>
      </c>
      <c r="B1295" s="6"/>
      <c r="C1295" s="6"/>
      <c r="D1295" s="6"/>
      <c r="E1295" s="6"/>
      <c r="F1295" s="6"/>
      <c r="G1295" s="6"/>
      <c r="H1295" s="6"/>
      <c r="I1295" s="5"/>
      <c r="J1295" s="5"/>
      <c r="K1295" s="6"/>
      <c r="L1295" s="6"/>
      <c r="M1295" s="6"/>
      <c r="N1295" s="6"/>
      <c r="O1295" s="6"/>
      <c r="P1295" s="5"/>
      <c r="Q1295" s="6"/>
      <c r="R1295" s="6"/>
      <c r="S1295" s="6"/>
      <c r="T1295" s="6"/>
      <c r="U1295" s="6"/>
      <c r="V1295" s="5">
        <v>1</v>
      </c>
      <c r="W1295" s="6"/>
      <c r="X1295" s="5">
        <v>1</v>
      </c>
      <c r="Y1295" s="6"/>
      <c r="Z1295" s="6"/>
      <c r="AA1295" s="6"/>
      <c r="AB1295" s="5"/>
      <c r="AC1295" s="6"/>
      <c r="AD1295" s="6"/>
      <c r="AE1295" s="6"/>
      <c r="AF1295" s="6"/>
      <c r="AG1295" s="6"/>
      <c r="AH1295" s="5"/>
      <c r="AI1295" s="6"/>
      <c r="AJ1295" s="6"/>
      <c r="AK1295" s="6"/>
      <c r="AL1295" s="6"/>
      <c r="AM1295" s="6"/>
    </row>
    <row r="1296" spans="1:39" s="7" customFormat="1" x14ac:dyDescent="0.25">
      <c r="A1296" s="5">
        <v>494</v>
      </c>
      <c r="B1296" s="6"/>
      <c r="C1296" s="6"/>
      <c r="D1296" s="6"/>
      <c r="E1296" s="6"/>
      <c r="F1296" s="6"/>
      <c r="G1296" s="6"/>
      <c r="H1296" s="6"/>
      <c r="I1296" s="5"/>
      <c r="J1296" s="5"/>
      <c r="K1296" s="6"/>
      <c r="L1296" s="6"/>
      <c r="M1296" s="6"/>
      <c r="N1296" s="6"/>
      <c r="O1296" s="6"/>
      <c r="P1296" s="5"/>
      <c r="Q1296" s="6"/>
      <c r="R1296" s="6"/>
      <c r="S1296" s="6"/>
      <c r="T1296" s="6"/>
      <c r="U1296" s="6"/>
      <c r="V1296" s="5">
        <v>1</v>
      </c>
      <c r="W1296" s="6"/>
      <c r="X1296" s="5">
        <v>1</v>
      </c>
      <c r="Y1296" s="6"/>
      <c r="Z1296" s="6"/>
      <c r="AA1296" s="6"/>
      <c r="AB1296" s="5"/>
      <c r="AC1296" s="6"/>
      <c r="AD1296" s="6"/>
      <c r="AE1296" s="6"/>
      <c r="AF1296" s="6"/>
      <c r="AG1296" s="6"/>
      <c r="AH1296" s="5"/>
      <c r="AI1296" s="6"/>
      <c r="AJ1296" s="6"/>
      <c r="AK1296" s="6"/>
      <c r="AL1296" s="6"/>
      <c r="AM1296" s="6"/>
    </row>
    <row r="1297" spans="1:39" s="7" customFormat="1" x14ac:dyDescent="0.25">
      <c r="A1297" s="5">
        <v>495</v>
      </c>
      <c r="B1297" s="6"/>
      <c r="C1297" s="6"/>
      <c r="D1297" s="6"/>
      <c r="E1297" s="6"/>
      <c r="F1297" s="6"/>
      <c r="G1297" s="6"/>
      <c r="H1297" s="6"/>
      <c r="I1297" s="5"/>
      <c r="J1297" s="5"/>
      <c r="K1297" s="6"/>
      <c r="L1297" s="6"/>
      <c r="M1297" s="6"/>
      <c r="N1297" s="6"/>
      <c r="O1297" s="6"/>
      <c r="P1297" s="5"/>
      <c r="Q1297" s="6"/>
      <c r="R1297" s="6"/>
      <c r="S1297" s="6"/>
      <c r="T1297" s="6"/>
      <c r="U1297" s="6"/>
      <c r="V1297" s="5">
        <v>1</v>
      </c>
      <c r="W1297" s="6"/>
      <c r="X1297" s="5">
        <v>1</v>
      </c>
      <c r="Y1297" s="6"/>
      <c r="Z1297" s="6"/>
      <c r="AA1297" s="6"/>
      <c r="AB1297" s="5"/>
      <c r="AC1297" s="6"/>
      <c r="AD1297" s="6"/>
      <c r="AE1297" s="6"/>
      <c r="AF1297" s="6"/>
      <c r="AG1297" s="6"/>
      <c r="AH1297" s="5"/>
      <c r="AI1297" s="6"/>
      <c r="AJ1297" s="6"/>
      <c r="AK1297" s="6"/>
      <c r="AL1297" s="6"/>
      <c r="AM1297" s="6"/>
    </row>
    <row r="1298" spans="1:39" s="7" customFormat="1" x14ac:dyDescent="0.25">
      <c r="A1298" s="5">
        <v>205</v>
      </c>
      <c r="B1298" s="6"/>
      <c r="C1298" s="6"/>
      <c r="D1298" s="6"/>
      <c r="E1298" s="6"/>
      <c r="F1298" s="6"/>
      <c r="G1298" s="6"/>
      <c r="H1298" s="6"/>
      <c r="I1298" s="5"/>
      <c r="J1298" s="5"/>
      <c r="K1298" s="6"/>
      <c r="L1298" s="6"/>
      <c r="M1298" s="6"/>
      <c r="N1298" s="6"/>
      <c r="O1298" s="6"/>
      <c r="P1298" s="5"/>
      <c r="Q1298" s="6"/>
      <c r="R1298" s="6"/>
      <c r="S1298" s="6"/>
      <c r="T1298" s="6"/>
      <c r="U1298" s="6"/>
      <c r="V1298" s="5">
        <v>1</v>
      </c>
      <c r="W1298" s="6"/>
      <c r="X1298" s="5">
        <v>1</v>
      </c>
      <c r="Y1298" s="6"/>
      <c r="Z1298" s="6"/>
      <c r="AA1298" s="6"/>
      <c r="AB1298" s="6"/>
      <c r="AC1298" s="6"/>
      <c r="AD1298" s="6"/>
      <c r="AE1298" s="6"/>
      <c r="AF1298" s="6"/>
      <c r="AG1298" s="6"/>
      <c r="AH1298" s="5"/>
      <c r="AI1298" s="6"/>
      <c r="AJ1298" s="6"/>
      <c r="AK1298" s="6"/>
      <c r="AL1298" s="6"/>
      <c r="AM1298" s="6"/>
    </row>
    <row r="1299" spans="1:39" s="7" customFormat="1" x14ac:dyDescent="0.25">
      <c r="A1299" s="5">
        <v>347</v>
      </c>
      <c r="B1299" s="6"/>
      <c r="C1299" s="6"/>
      <c r="D1299" s="6"/>
      <c r="E1299" s="6"/>
      <c r="F1299" s="6"/>
      <c r="G1299" s="6"/>
      <c r="H1299" s="6"/>
      <c r="I1299" s="5"/>
      <c r="J1299" s="5"/>
      <c r="K1299" s="6"/>
      <c r="L1299" s="6"/>
      <c r="M1299" s="6"/>
      <c r="N1299" s="6"/>
      <c r="O1299" s="6"/>
      <c r="P1299" s="5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5">
        <v>1</v>
      </c>
      <c r="AC1299" s="6"/>
      <c r="AD1299" s="6"/>
      <c r="AE1299" s="6"/>
      <c r="AF1299" s="6"/>
      <c r="AG1299" s="6"/>
      <c r="AH1299" s="5"/>
      <c r="AI1299" s="6"/>
      <c r="AJ1299" s="6"/>
      <c r="AK1299" s="6"/>
      <c r="AL1299" s="6"/>
      <c r="AM1299" s="6"/>
    </row>
    <row r="1300" spans="1:39" s="7" customFormat="1" x14ac:dyDescent="0.25">
      <c r="A1300" s="5">
        <v>218</v>
      </c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5"/>
      <c r="W1300" s="6"/>
      <c r="X1300" s="5"/>
      <c r="Y1300" s="6"/>
      <c r="Z1300" s="6"/>
      <c r="AA1300" s="6"/>
      <c r="AB1300" s="5">
        <v>1</v>
      </c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</row>
    <row r="1301" spans="1:39" s="7" customFormat="1" x14ac:dyDescent="0.25">
      <c r="A1301" s="5">
        <v>16</v>
      </c>
      <c r="B1301" s="6"/>
      <c r="C1301" s="6"/>
      <c r="D1301" s="6"/>
      <c r="E1301" s="6"/>
      <c r="F1301" s="6"/>
      <c r="G1301" s="6"/>
      <c r="H1301" s="6"/>
      <c r="I1301" s="5"/>
      <c r="J1301" s="5"/>
      <c r="K1301" s="6"/>
      <c r="L1301" s="6"/>
      <c r="M1301" s="6"/>
      <c r="N1301" s="6"/>
      <c r="O1301" s="6"/>
      <c r="P1301" s="5"/>
      <c r="Q1301" s="6"/>
      <c r="R1301" s="6"/>
      <c r="S1301" s="6"/>
      <c r="T1301" s="6"/>
      <c r="U1301" s="6"/>
      <c r="V1301" s="5"/>
      <c r="W1301" s="6"/>
      <c r="X1301" s="5"/>
      <c r="Y1301" s="6"/>
      <c r="Z1301" s="6"/>
      <c r="AA1301" s="6"/>
      <c r="AB1301" s="5">
        <v>1</v>
      </c>
      <c r="AC1301" s="6"/>
      <c r="AD1301" s="6"/>
      <c r="AE1301" s="6"/>
      <c r="AF1301" s="6"/>
      <c r="AG1301" s="6"/>
      <c r="AH1301" s="5"/>
      <c r="AI1301" s="6"/>
      <c r="AJ1301" s="6"/>
      <c r="AK1301" s="6"/>
      <c r="AL1301" s="6"/>
      <c r="AM1301" s="6"/>
    </row>
    <row r="1302" spans="1:39" s="7" customFormat="1" x14ac:dyDescent="0.25">
      <c r="A1302" s="5">
        <v>235</v>
      </c>
      <c r="B1302" s="6"/>
      <c r="C1302" s="6"/>
      <c r="D1302" s="6"/>
      <c r="E1302" s="6"/>
      <c r="F1302" s="6"/>
      <c r="G1302" s="6"/>
      <c r="H1302" s="6"/>
      <c r="I1302" s="5"/>
      <c r="J1302" s="5"/>
      <c r="K1302" s="6"/>
      <c r="L1302" s="6"/>
      <c r="M1302" s="6"/>
      <c r="N1302" s="6"/>
      <c r="O1302" s="6"/>
      <c r="P1302" s="5"/>
      <c r="Q1302" s="6"/>
      <c r="R1302" s="6"/>
      <c r="S1302" s="6"/>
      <c r="T1302" s="6"/>
      <c r="U1302" s="6"/>
      <c r="V1302" s="5"/>
      <c r="W1302" s="6"/>
      <c r="X1302" s="5"/>
      <c r="Y1302" s="6"/>
      <c r="Z1302" s="6"/>
      <c r="AA1302" s="6"/>
      <c r="AB1302" s="5">
        <v>1</v>
      </c>
      <c r="AC1302" s="6"/>
      <c r="AD1302" s="6"/>
      <c r="AE1302" s="6"/>
      <c r="AF1302" s="6"/>
      <c r="AG1302" s="6"/>
      <c r="AH1302" s="5"/>
      <c r="AI1302" s="6"/>
      <c r="AJ1302" s="6"/>
      <c r="AK1302" s="6"/>
      <c r="AL1302" s="6"/>
      <c r="AM1302" s="6"/>
    </row>
    <row r="1303" spans="1:39" s="7" customFormat="1" x14ac:dyDescent="0.25">
      <c r="A1303" s="5">
        <v>349</v>
      </c>
      <c r="B1303" s="6"/>
      <c r="C1303" s="6"/>
      <c r="D1303" s="6"/>
      <c r="E1303" s="6"/>
      <c r="F1303" s="6"/>
      <c r="G1303" s="6"/>
      <c r="H1303" s="6"/>
      <c r="I1303" s="5"/>
      <c r="J1303" s="5"/>
      <c r="K1303" s="6"/>
      <c r="L1303" s="6"/>
      <c r="M1303" s="6"/>
      <c r="N1303" s="6"/>
      <c r="O1303" s="6"/>
      <c r="P1303" s="5"/>
      <c r="Q1303" s="6"/>
      <c r="R1303" s="6"/>
      <c r="S1303" s="6"/>
      <c r="T1303" s="6"/>
      <c r="U1303" s="6"/>
      <c r="V1303" s="5"/>
      <c r="W1303" s="6"/>
      <c r="X1303" s="5"/>
      <c r="Y1303" s="6"/>
      <c r="Z1303" s="6"/>
      <c r="AA1303" s="6"/>
      <c r="AB1303" s="5">
        <v>1</v>
      </c>
      <c r="AC1303" s="6"/>
      <c r="AD1303" s="6"/>
      <c r="AE1303" s="6"/>
      <c r="AF1303" s="6"/>
      <c r="AG1303" s="6"/>
      <c r="AH1303" s="5"/>
      <c r="AI1303" s="6"/>
      <c r="AJ1303" s="6"/>
      <c r="AK1303" s="6"/>
      <c r="AL1303" s="6"/>
      <c r="AM1303" s="6"/>
    </row>
    <row r="1304" spans="1:39" s="7" customFormat="1" x14ac:dyDescent="0.25">
      <c r="A1304" s="5">
        <v>494</v>
      </c>
      <c r="B1304" s="6"/>
      <c r="C1304" s="6"/>
      <c r="D1304" s="6"/>
      <c r="E1304" s="6"/>
      <c r="F1304" s="6"/>
      <c r="G1304" s="6"/>
      <c r="H1304" s="6"/>
      <c r="I1304" s="5"/>
      <c r="J1304" s="5"/>
      <c r="K1304" s="6"/>
      <c r="L1304" s="6"/>
      <c r="M1304" s="6"/>
      <c r="N1304" s="6"/>
      <c r="O1304" s="6"/>
      <c r="P1304" s="5"/>
      <c r="Q1304" s="6"/>
      <c r="R1304" s="6"/>
      <c r="S1304" s="6"/>
      <c r="T1304" s="6"/>
      <c r="U1304" s="6"/>
      <c r="V1304" s="5"/>
      <c r="W1304" s="6"/>
      <c r="X1304" s="5"/>
      <c r="Y1304" s="6"/>
      <c r="Z1304" s="6"/>
      <c r="AA1304" s="6"/>
      <c r="AB1304" s="5">
        <v>1</v>
      </c>
      <c r="AC1304" s="6"/>
      <c r="AD1304" s="6"/>
      <c r="AE1304" s="6"/>
      <c r="AF1304" s="6"/>
      <c r="AG1304" s="6"/>
      <c r="AH1304" s="5"/>
      <c r="AI1304" s="6"/>
      <c r="AJ1304" s="6"/>
      <c r="AK1304" s="6"/>
      <c r="AL1304" s="6"/>
      <c r="AM1304" s="6"/>
    </row>
    <row r="1305" spans="1:39" s="7" customFormat="1" x14ac:dyDescent="0.25">
      <c r="A1305" s="5">
        <v>495</v>
      </c>
      <c r="B1305" s="6"/>
      <c r="C1305" s="6"/>
      <c r="D1305" s="6"/>
      <c r="E1305" s="6"/>
      <c r="F1305" s="6"/>
      <c r="G1305" s="6"/>
      <c r="H1305" s="6"/>
      <c r="I1305" s="5"/>
      <c r="J1305" s="5"/>
      <c r="K1305" s="6"/>
      <c r="L1305" s="6"/>
      <c r="M1305" s="6"/>
      <c r="N1305" s="6"/>
      <c r="O1305" s="6"/>
      <c r="P1305" s="5"/>
      <c r="Q1305" s="6"/>
      <c r="R1305" s="6"/>
      <c r="S1305" s="6"/>
      <c r="T1305" s="6"/>
      <c r="U1305" s="6"/>
      <c r="V1305" s="5"/>
      <c r="W1305" s="6"/>
      <c r="X1305" s="5"/>
      <c r="Y1305" s="6"/>
      <c r="Z1305" s="6"/>
      <c r="AA1305" s="6"/>
      <c r="AB1305" s="5">
        <v>1</v>
      </c>
      <c r="AC1305" s="6"/>
      <c r="AD1305" s="6"/>
      <c r="AE1305" s="6"/>
      <c r="AF1305" s="6"/>
      <c r="AG1305" s="6"/>
      <c r="AH1305" s="5"/>
      <c r="AI1305" s="6"/>
      <c r="AJ1305" s="6"/>
      <c r="AK1305" s="6"/>
      <c r="AL1305" s="6"/>
      <c r="AM1305" s="6"/>
    </row>
    <row r="1306" spans="1:39" s="7" customFormat="1" x14ac:dyDescent="0.25">
      <c r="A1306" s="5">
        <v>222</v>
      </c>
      <c r="B1306" s="5"/>
      <c r="C1306" s="6"/>
      <c r="D1306" s="5"/>
      <c r="E1306" s="5"/>
      <c r="F1306" s="5"/>
      <c r="G1306" s="6"/>
      <c r="H1306" s="5">
        <v>1</v>
      </c>
      <c r="I1306" s="5"/>
      <c r="J1306" s="6"/>
      <c r="K1306" s="5"/>
      <c r="L1306" s="6"/>
      <c r="M1306" s="5"/>
      <c r="N1306" s="5">
        <v>1</v>
      </c>
      <c r="O1306" s="6"/>
      <c r="P1306" s="5">
        <v>1</v>
      </c>
      <c r="Q1306" s="6"/>
      <c r="R1306" s="6"/>
      <c r="S1306" s="6"/>
      <c r="T1306" s="6"/>
      <c r="U1306" s="5"/>
      <c r="V1306" s="6"/>
      <c r="W1306" s="5"/>
      <c r="X1306" s="6"/>
      <c r="Y1306" s="5"/>
      <c r="Z1306" s="6"/>
      <c r="AA1306" s="6"/>
      <c r="AB1306" s="6"/>
      <c r="AC1306" s="5"/>
      <c r="AD1306" s="5"/>
      <c r="AE1306" s="5">
        <v>1</v>
      </c>
      <c r="AF1306" s="5"/>
      <c r="AG1306" s="5">
        <v>1</v>
      </c>
      <c r="AH1306" s="5">
        <v>1</v>
      </c>
      <c r="AI1306" s="6"/>
      <c r="AJ1306" s="6"/>
      <c r="AK1306" s="5"/>
      <c r="AL1306" s="5"/>
      <c r="AM1306" s="6"/>
    </row>
    <row r="1307" spans="1:39" s="7" customFormat="1" x14ac:dyDescent="0.25">
      <c r="A1307" s="5">
        <v>226</v>
      </c>
      <c r="B1307" s="5"/>
      <c r="C1307" s="6"/>
      <c r="D1307" s="5"/>
      <c r="E1307" s="5"/>
      <c r="F1307" s="5"/>
      <c r="G1307" s="6"/>
      <c r="H1307" s="5">
        <v>1</v>
      </c>
      <c r="I1307" s="5"/>
      <c r="J1307" s="6"/>
      <c r="K1307" s="5"/>
      <c r="L1307" s="6"/>
      <c r="M1307" s="5"/>
      <c r="N1307" s="5">
        <v>1</v>
      </c>
      <c r="O1307" s="6"/>
      <c r="P1307" s="5">
        <v>1</v>
      </c>
      <c r="Q1307" s="6"/>
      <c r="R1307" s="6"/>
      <c r="S1307" s="6"/>
      <c r="T1307" s="6"/>
      <c r="U1307" s="5"/>
      <c r="V1307" s="6"/>
      <c r="W1307" s="5"/>
      <c r="X1307" s="6"/>
      <c r="Y1307" s="5"/>
      <c r="Z1307" s="6"/>
      <c r="AA1307" s="6"/>
      <c r="AB1307" s="6"/>
      <c r="AC1307" s="5"/>
      <c r="AD1307" s="5"/>
      <c r="AE1307" s="5">
        <v>1</v>
      </c>
      <c r="AF1307" s="5"/>
      <c r="AG1307" s="5">
        <v>1</v>
      </c>
      <c r="AH1307" s="5">
        <v>1</v>
      </c>
      <c r="AI1307" s="6"/>
      <c r="AJ1307" s="6"/>
      <c r="AK1307" s="5"/>
      <c r="AL1307" s="5"/>
      <c r="AM1307" s="6"/>
    </row>
    <row r="1308" spans="1:39" s="7" customFormat="1" x14ac:dyDescent="0.25">
      <c r="A1308" s="5">
        <v>366</v>
      </c>
      <c r="B1308" s="5"/>
      <c r="C1308" s="6"/>
      <c r="D1308" s="5"/>
      <c r="E1308" s="5"/>
      <c r="F1308" s="5"/>
      <c r="G1308" s="6"/>
      <c r="H1308" s="5">
        <v>1</v>
      </c>
      <c r="I1308" s="5"/>
      <c r="J1308" s="6"/>
      <c r="K1308" s="5"/>
      <c r="L1308" s="6"/>
      <c r="M1308" s="5"/>
      <c r="N1308" s="5">
        <v>1</v>
      </c>
      <c r="O1308" s="6"/>
      <c r="P1308" s="5">
        <v>1</v>
      </c>
      <c r="Q1308" s="6"/>
      <c r="R1308" s="6"/>
      <c r="S1308" s="6"/>
      <c r="T1308" s="6"/>
      <c r="U1308" s="5"/>
      <c r="V1308" s="6"/>
      <c r="W1308" s="5"/>
      <c r="X1308" s="6"/>
      <c r="Y1308" s="5"/>
      <c r="Z1308" s="6"/>
      <c r="AA1308" s="6"/>
      <c r="AB1308" s="6"/>
      <c r="AC1308" s="5"/>
      <c r="AD1308" s="5"/>
      <c r="AE1308" s="5">
        <v>1</v>
      </c>
      <c r="AF1308" s="5"/>
      <c r="AG1308" s="5">
        <v>1</v>
      </c>
      <c r="AH1308" s="5">
        <v>1</v>
      </c>
      <c r="AI1308" s="6"/>
      <c r="AJ1308" s="6"/>
      <c r="AK1308" s="5"/>
      <c r="AL1308" s="5"/>
      <c r="AM1308" s="6"/>
    </row>
    <row r="1309" spans="1:39" s="7" customFormat="1" x14ac:dyDescent="0.25">
      <c r="A1309" s="5">
        <v>169</v>
      </c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>
        <v>1</v>
      </c>
      <c r="O1309" s="5"/>
      <c r="P1309" s="5">
        <v>1</v>
      </c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>
        <v>1</v>
      </c>
      <c r="AF1309" s="5"/>
      <c r="AG1309" s="5"/>
      <c r="AH1309" s="5"/>
      <c r="AI1309" s="5"/>
      <c r="AJ1309" s="5">
        <v>1</v>
      </c>
      <c r="AK1309" s="5"/>
      <c r="AL1309" s="5"/>
      <c r="AM1309" s="5"/>
    </row>
    <row r="1310" spans="1:39" s="7" customFormat="1" x14ac:dyDescent="0.25">
      <c r="A1310" s="5">
        <v>437</v>
      </c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>
        <v>1</v>
      </c>
      <c r="O1310" s="5"/>
      <c r="P1310" s="5">
        <v>1</v>
      </c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>
        <v>1</v>
      </c>
      <c r="AF1310" s="5"/>
      <c r="AG1310" s="5"/>
      <c r="AH1310" s="5"/>
      <c r="AI1310" s="5"/>
      <c r="AJ1310" s="5">
        <v>1</v>
      </c>
      <c r="AK1310" s="5"/>
      <c r="AL1310" s="5"/>
      <c r="AM1310" s="5"/>
    </row>
    <row r="1311" spans="1:39" s="7" customFormat="1" x14ac:dyDescent="0.25">
      <c r="A1311" s="5">
        <v>439</v>
      </c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>
        <v>1</v>
      </c>
      <c r="O1311" s="5"/>
      <c r="P1311" s="5">
        <v>1</v>
      </c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>
        <v>1</v>
      </c>
      <c r="AF1311" s="5"/>
      <c r="AG1311" s="5"/>
      <c r="AH1311" s="5"/>
      <c r="AI1311" s="5"/>
      <c r="AJ1311" s="5">
        <v>1</v>
      </c>
      <c r="AK1311" s="5"/>
      <c r="AL1311" s="5"/>
      <c r="AM1311" s="5"/>
    </row>
    <row r="1312" spans="1:39" s="7" customFormat="1" x14ac:dyDescent="0.25">
      <c r="A1312" s="5">
        <v>441</v>
      </c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>
        <v>1</v>
      </c>
      <c r="O1312" s="5"/>
      <c r="P1312" s="5">
        <v>1</v>
      </c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>
        <v>1</v>
      </c>
      <c r="AF1312" s="5"/>
      <c r="AG1312" s="5"/>
      <c r="AH1312" s="5"/>
      <c r="AI1312" s="5"/>
      <c r="AJ1312" s="5">
        <v>1</v>
      </c>
      <c r="AK1312" s="5"/>
      <c r="AL1312" s="5"/>
      <c r="AM1312" s="5"/>
    </row>
    <row r="1313" spans="1:39" s="7" customFormat="1" x14ac:dyDescent="0.25">
      <c r="A1313" s="5">
        <v>168</v>
      </c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>
        <v>1</v>
      </c>
      <c r="O1313" s="5"/>
      <c r="P1313" s="5">
        <v>1</v>
      </c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>
        <v>1</v>
      </c>
      <c r="AF1313" s="5"/>
      <c r="AG1313" s="5"/>
      <c r="AH1313" s="5"/>
      <c r="AI1313" s="5"/>
      <c r="AJ1313" s="5">
        <v>1</v>
      </c>
      <c r="AK1313" s="5"/>
      <c r="AL1313" s="5"/>
      <c r="AM1313" s="5"/>
    </row>
    <row r="1314" spans="1:39" s="7" customFormat="1" x14ac:dyDescent="0.25">
      <c r="A1314" s="5">
        <v>438</v>
      </c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>
        <v>1</v>
      </c>
      <c r="O1314" s="5"/>
      <c r="P1314" s="5">
        <v>1</v>
      </c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>
        <v>1</v>
      </c>
      <c r="AF1314" s="5"/>
      <c r="AG1314" s="5"/>
      <c r="AH1314" s="5"/>
      <c r="AI1314" s="5"/>
      <c r="AJ1314" s="5">
        <v>1</v>
      </c>
      <c r="AK1314" s="5"/>
      <c r="AL1314" s="5"/>
      <c r="AM1314" s="5"/>
    </row>
    <row r="1315" spans="1:39" s="7" customFormat="1" x14ac:dyDescent="0.25">
      <c r="A1315" s="5">
        <v>440</v>
      </c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>
        <v>1</v>
      </c>
      <c r="O1315" s="5"/>
      <c r="P1315" s="5">
        <v>1</v>
      </c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>
        <v>1</v>
      </c>
      <c r="AF1315" s="5"/>
      <c r="AG1315" s="5"/>
      <c r="AH1315" s="5"/>
      <c r="AI1315" s="5"/>
      <c r="AJ1315" s="5">
        <v>1</v>
      </c>
      <c r="AK1315" s="5"/>
      <c r="AL1315" s="5"/>
      <c r="AM1315" s="5"/>
    </row>
    <row r="1316" spans="1:39" s="7" customFormat="1" x14ac:dyDescent="0.25">
      <c r="A1316" s="5">
        <v>442</v>
      </c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>
        <v>1</v>
      </c>
      <c r="O1316" s="5"/>
      <c r="P1316" s="5">
        <v>1</v>
      </c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>
        <v>1</v>
      </c>
      <c r="AF1316" s="5"/>
      <c r="AG1316" s="5"/>
      <c r="AH1316" s="5"/>
      <c r="AI1316" s="5"/>
      <c r="AJ1316" s="5">
        <v>1</v>
      </c>
      <c r="AK1316" s="5"/>
      <c r="AL1316" s="5"/>
      <c r="AM1316" s="5"/>
    </row>
    <row r="1317" spans="1:39" s="7" customFormat="1" x14ac:dyDescent="0.25">
      <c r="A1317" s="5">
        <v>194</v>
      </c>
      <c r="B1317" s="6"/>
      <c r="C1317" s="5"/>
      <c r="D1317" s="6"/>
      <c r="E1317" s="6"/>
      <c r="F1317" s="5">
        <v>1</v>
      </c>
      <c r="G1317" s="5"/>
      <c r="H1317" s="5"/>
      <c r="I1317" s="5"/>
      <c r="J1317" s="5"/>
      <c r="K1317" s="5">
        <v>1</v>
      </c>
      <c r="L1317" s="5">
        <v>1</v>
      </c>
      <c r="M1317" s="5">
        <v>1</v>
      </c>
      <c r="N1317" s="6"/>
      <c r="O1317" s="5"/>
      <c r="P1317" s="5"/>
      <c r="Q1317" s="5">
        <v>1</v>
      </c>
      <c r="R1317" s="5"/>
      <c r="S1317" s="5"/>
      <c r="T1317" s="5">
        <v>1</v>
      </c>
      <c r="U1317" s="6"/>
      <c r="V1317" s="5"/>
      <c r="W1317" s="5"/>
      <c r="X1317" s="5">
        <v>1</v>
      </c>
      <c r="Y1317" s="6"/>
      <c r="Z1317" s="5"/>
      <c r="AA1317" s="5">
        <v>1</v>
      </c>
      <c r="AB1317" s="5"/>
      <c r="AC1317" s="5"/>
      <c r="AD1317" s="5">
        <v>1</v>
      </c>
      <c r="AE1317" s="5"/>
      <c r="AF1317" s="5">
        <v>1</v>
      </c>
      <c r="AG1317" s="6"/>
      <c r="AH1317" s="5"/>
      <c r="AI1317" s="5">
        <v>1</v>
      </c>
      <c r="AJ1317" s="5"/>
      <c r="AK1317" s="5"/>
      <c r="AL1317" s="6"/>
      <c r="AM1317" s="5"/>
    </row>
    <row r="1318" spans="1:39" s="7" customFormat="1" x14ac:dyDescent="0.25">
      <c r="A1318" s="5">
        <v>455</v>
      </c>
      <c r="B1318" s="6"/>
      <c r="C1318" s="5"/>
      <c r="D1318" s="6"/>
      <c r="E1318" s="6"/>
      <c r="F1318" s="5">
        <v>1</v>
      </c>
      <c r="G1318" s="5"/>
      <c r="H1318" s="5"/>
      <c r="I1318" s="5"/>
      <c r="J1318" s="5"/>
      <c r="K1318" s="5">
        <v>1</v>
      </c>
      <c r="L1318" s="5">
        <v>1</v>
      </c>
      <c r="M1318" s="5">
        <v>1</v>
      </c>
      <c r="N1318" s="6"/>
      <c r="O1318" s="5"/>
      <c r="P1318" s="5"/>
      <c r="Q1318" s="5">
        <v>1</v>
      </c>
      <c r="R1318" s="5"/>
      <c r="S1318" s="5"/>
      <c r="T1318" s="5">
        <v>1</v>
      </c>
      <c r="U1318" s="6"/>
      <c r="V1318" s="5"/>
      <c r="W1318" s="5"/>
      <c r="X1318" s="5">
        <v>1</v>
      </c>
      <c r="Y1318" s="6"/>
      <c r="Z1318" s="5"/>
      <c r="AA1318" s="5">
        <v>1</v>
      </c>
      <c r="AB1318" s="5"/>
      <c r="AC1318" s="5"/>
      <c r="AD1318" s="5">
        <v>1</v>
      </c>
      <c r="AE1318" s="5"/>
      <c r="AF1318" s="5">
        <v>1</v>
      </c>
      <c r="AG1318" s="6"/>
      <c r="AH1318" s="5"/>
      <c r="AI1318" s="5">
        <v>1</v>
      </c>
      <c r="AJ1318" s="5"/>
      <c r="AK1318" s="5"/>
      <c r="AL1318" s="6"/>
      <c r="AM1318" s="5"/>
    </row>
    <row r="1319" spans="1:39" s="7" customFormat="1" x14ac:dyDescent="0.25">
      <c r="A1319" s="5">
        <v>456</v>
      </c>
      <c r="B1319" s="6"/>
      <c r="C1319" s="5"/>
      <c r="D1319" s="6"/>
      <c r="E1319" s="6"/>
      <c r="F1319" s="5">
        <v>1</v>
      </c>
      <c r="G1319" s="5"/>
      <c r="H1319" s="5"/>
      <c r="I1319" s="5"/>
      <c r="J1319" s="5"/>
      <c r="K1319" s="5">
        <v>1</v>
      </c>
      <c r="L1319" s="5">
        <v>1</v>
      </c>
      <c r="M1319" s="5">
        <v>1</v>
      </c>
      <c r="N1319" s="6"/>
      <c r="O1319" s="5"/>
      <c r="P1319" s="5"/>
      <c r="Q1319" s="5">
        <v>1</v>
      </c>
      <c r="R1319" s="5"/>
      <c r="S1319" s="5"/>
      <c r="T1319" s="5">
        <v>1</v>
      </c>
      <c r="U1319" s="6"/>
      <c r="V1319" s="5"/>
      <c r="W1319" s="5"/>
      <c r="X1319" s="5">
        <v>1</v>
      </c>
      <c r="Y1319" s="6"/>
      <c r="Z1319" s="5"/>
      <c r="AA1319" s="5">
        <v>1</v>
      </c>
      <c r="AB1319" s="5"/>
      <c r="AC1319" s="5"/>
      <c r="AD1319" s="5">
        <v>1</v>
      </c>
      <c r="AE1319" s="5"/>
      <c r="AF1319" s="5">
        <v>1</v>
      </c>
      <c r="AG1319" s="6"/>
      <c r="AH1319" s="5"/>
      <c r="AI1319" s="5">
        <v>1</v>
      </c>
      <c r="AJ1319" s="5"/>
      <c r="AK1319" s="5"/>
      <c r="AL1319" s="6"/>
      <c r="AM1319" s="5"/>
    </row>
    <row r="1320" spans="1:39" s="7" customFormat="1" x14ac:dyDescent="0.25">
      <c r="A1320" s="5">
        <v>463</v>
      </c>
      <c r="B1320" s="6"/>
      <c r="C1320" s="5"/>
      <c r="D1320" s="6"/>
      <c r="E1320" s="6"/>
      <c r="F1320" s="5">
        <v>1</v>
      </c>
      <c r="G1320" s="5"/>
      <c r="H1320" s="5"/>
      <c r="I1320" s="5"/>
      <c r="J1320" s="5"/>
      <c r="K1320" s="5">
        <v>1</v>
      </c>
      <c r="L1320" s="5">
        <v>1</v>
      </c>
      <c r="M1320" s="5">
        <v>1</v>
      </c>
      <c r="N1320" s="6"/>
      <c r="O1320" s="5"/>
      <c r="P1320" s="5"/>
      <c r="Q1320" s="5">
        <v>1</v>
      </c>
      <c r="R1320" s="5"/>
      <c r="S1320" s="5"/>
      <c r="T1320" s="5">
        <v>1</v>
      </c>
      <c r="U1320" s="6"/>
      <c r="V1320" s="5"/>
      <c r="W1320" s="5"/>
      <c r="X1320" s="5">
        <v>1</v>
      </c>
      <c r="Y1320" s="6"/>
      <c r="Z1320" s="5"/>
      <c r="AA1320" s="5">
        <v>1</v>
      </c>
      <c r="AB1320" s="5"/>
      <c r="AC1320" s="5"/>
      <c r="AD1320" s="5">
        <v>1</v>
      </c>
      <c r="AE1320" s="5"/>
      <c r="AF1320" s="5">
        <v>1</v>
      </c>
      <c r="AG1320" s="6"/>
      <c r="AH1320" s="5"/>
      <c r="AI1320" s="5">
        <v>1</v>
      </c>
      <c r="AJ1320" s="5"/>
      <c r="AK1320" s="5"/>
      <c r="AL1320" s="6"/>
      <c r="AM1320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24"/>
  <sheetViews>
    <sheetView zoomScale="115" zoomScaleNormal="115" workbookViewId="0">
      <selection activeCell="B1" sqref="B1"/>
    </sheetView>
  </sheetViews>
  <sheetFormatPr baseColWidth="10" defaultRowHeight="15" x14ac:dyDescent="0.25"/>
  <cols>
    <col min="1" max="2" width="17.140625" bestFit="1" customWidth="1"/>
    <col min="3" max="3" width="6.42578125" bestFit="1" customWidth="1"/>
    <col min="4" max="4" width="7.7109375" bestFit="1" customWidth="1"/>
  </cols>
  <sheetData>
    <row r="1" spans="1:4" ht="21.75" thickBot="1" x14ac:dyDescent="0.4">
      <c r="A1" s="14" t="s">
        <v>10</v>
      </c>
      <c r="B1" s="13" t="s">
        <v>8</v>
      </c>
      <c r="C1" s="19"/>
      <c r="D1" s="20"/>
    </row>
    <row r="2" spans="1:4" hidden="1" x14ac:dyDescent="0.25">
      <c r="A2">
        <f>IFERROR(HLOOKUP($A$1,'liste CIRCUIT'!$B:$AM,2,0)," ")</f>
        <v>1</v>
      </c>
      <c r="B2">
        <f>IFERROR(HLOOKUP($B$1,'liste CIRCUIT'!$B:$AM,2,0)," ")</f>
        <v>1</v>
      </c>
      <c r="C2">
        <f>SUM(A2:B2)</f>
        <v>2</v>
      </c>
      <c r="D2">
        <f>A2-B2</f>
        <v>0</v>
      </c>
    </row>
    <row r="3" spans="1:4" hidden="1" x14ac:dyDescent="0.25">
      <c r="A3">
        <f>IFERROR(HLOOKUP($A$1,'liste CIRCUIT'!$B:$AM,3,0)," ")</f>
        <v>1</v>
      </c>
      <c r="B3">
        <f>IFERROR(HLOOKUP($B$1,'liste CIRCUIT'!$B:$AM,3,0)," ")</f>
        <v>1</v>
      </c>
      <c r="C3">
        <f t="shared" ref="C3:C66" si="0">SUM(A3:B3)</f>
        <v>2</v>
      </c>
      <c r="D3">
        <f t="shared" ref="D3:D66" si="1">A3-B3</f>
        <v>0</v>
      </c>
    </row>
    <row r="4" spans="1:4" hidden="1" x14ac:dyDescent="0.25">
      <c r="A4">
        <f>IFERROR(HLOOKUP($A$1,'liste CIRCUIT'!$B:$AM,4,0)," ")</f>
        <v>1</v>
      </c>
      <c r="B4">
        <f>IFERROR(HLOOKUP($B$1,'liste CIRCUIT'!$B:$AM,4,0)," ")</f>
        <v>1</v>
      </c>
      <c r="C4">
        <f t="shared" si="0"/>
        <v>2</v>
      </c>
      <c r="D4">
        <f t="shared" si="1"/>
        <v>0</v>
      </c>
    </row>
    <row r="5" spans="1:4" hidden="1" x14ac:dyDescent="0.25">
      <c r="A5">
        <f>IFERROR(HLOOKUP($A$1,'liste CIRCUIT'!$B:$AM,5,0)," ")</f>
        <v>1</v>
      </c>
      <c r="B5">
        <f>IFERROR(HLOOKUP($B$1,'liste CIRCUIT'!$B:$AM,5,0)," ")</f>
        <v>1</v>
      </c>
      <c r="C5">
        <f t="shared" si="0"/>
        <v>2</v>
      </c>
      <c r="D5">
        <f t="shared" si="1"/>
        <v>0</v>
      </c>
    </row>
    <row r="6" spans="1:4" hidden="1" x14ac:dyDescent="0.25">
      <c r="A6">
        <f>IFERROR(HLOOKUP($A$1,'liste CIRCUIT'!$B:$AM,6,0)," ")</f>
        <v>1</v>
      </c>
      <c r="B6">
        <f>IFERROR(HLOOKUP($B$1,'liste CIRCUIT'!$B:$AM,6,0)," ")</f>
        <v>1</v>
      </c>
      <c r="C6">
        <f t="shared" si="0"/>
        <v>2</v>
      </c>
      <c r="D6">
        <f t="shared" si="1"/>
        <v>0</v>
      </c>
    </row>
    <row r="7" spans="1:4" hidden="1" x14ac:dyDescent="0.25">
      <c r="A7">
        <f>IFERROR(HLOOKUP($A$1,'liste CIRCUIT'!$B:$AM,7,0)," ")</f>
        <v>1</v>
      </c>
      <c r="B7">
        <f>IFERROR(HLOOKUP($B$1,'liste CIRCUIT'!$B:$AM,7,0)," ")</f>
        <v>1</v>
      </c>
      <c r="C7">
        <f t="shared" si="0"/>
        <v>2</v>
      </c>
      <c r="D7">
        <f t="shared" si="1"/>
        <v>0</v>
      </c>
    </row>
    <row r="8" spans="1:4" hidden="1" x14ac:dyDescent="0.25">
      <c r="A8">
        <f>IFERROR(HLOOKUP($A$1,'liste CIRCUIT'!$B:$AM,8,0)," ")</f>
        <v>1</v>
      </c>
      <c r="B8">
        <f>IFERROR(HLOOKUP($B$1,'liste CIRCUIT'!$B:$AM,8,0)," ")</f>
        <v>1</v>
      </c>
      <c r="C8">
        <f t="shared" si="0"/>
        <v>2</v>
      </c>
      <c r="D8">
        <f t="shared" si="1"/>
        <v>0</v>
      </c>
    </row>
    <row r="9" spans="1:4" hidden="1" x14ac:dyDescent="0.25">
      <c r="A9">
        <f>IFERROR(HLOOKUP($A$1,'liste CIRCUIT'!$B:$AM,9,0)," ")</f>
        <v>1</v>
      </c>
      <c r="B9">
        <f>IFERROR(HLOOKUP($B$1,'liste CIRCUIT'!$B:$AM,9,0)," ")</f>
        <v>1</v>
      </c>
      <c r="C9">
        <f t="shared" si="0"/>
        <v>2</v>
      </c>
      <c r="D9">
        <f t="shared" si="1"/>
        <v>0</v>
      </c>
    </row>
    <row r="10" spans="1:4" hidden="1" x14ac:dyDescent="0.25">
      <c r="A10">
        <f>IFERROR(HLOOKUP($A$1,'liste CIRCUIT'!$B:$AM,10,0)," ")</f>
        <v>1</v>
      </c>
      <c r="B10">
        <f>IFERROR(HLOOKUP($B$1,'liste CIRCUIT'!$B:$AM,10,0)," ")</f>
        <v>1</v>
      </c>
      <c r="C10">
        <f t="shared" si="0"/>
        <v>2</v>
      </c>
      <c r="D10">
        <f t="shared" si="1"/>
        <v>0</v>
      </c>
    </row>
    <row r="11" spans="1:4" hidden="1" x14ac:dyDescent="0.25">
      <c r="A11">
        <f>IFERROR(HLOOKUP($A$1,'liste CIRCUIT'!$B:$AM,11,0)," ")</f>
        <v>1</v>
      </c>
      <c r="B11">
        <f>IFERROR(HLOOKUP($B$1,'liste CIRCUIT'!$B:$AM,11,0)," ")</f>
        <v>1</v>
      </c>
      <c r="C11">
        <f t="shared" si="0"/>
        <v>2</v>
      </c>
      <c r="D11">
        <f t="shared" si="1"/>
        <v>0</v>
      </c>
    </row>
    <row r="12" spans="1:4" hidden="1" x14ac:dyDescent="0.25">
      <c r="A12">
        <f>IFERROR(HLOOKUP($A$1,'liste CIRCUIT'!$B:$AM,12,0)," ")</f>
        <v>1</v>
      </c>
      <c r="B12">
        <f>IFERROR(HLOOKUP($B$1,'liste CIRCUIT'!$B:$AM,12,0)," ")</f>
        <v>1</v>
      </c>
      <c r="C12">
        <f t="shared" si="0"/>
        <v>2</v>
      </c>
      <c r="D12">
        <f t="shared" si="1"/>
        <v>0</v>
      </c>
    </row>
    <row r="13" spans="1:4" hidden="1" x14ac:dyDescent="0.25">
      <c r="A13">
        <f>IFERROR(HLOOKUP($A$1,'liste CIRCUIT'!$B:$AM,13,0)," ")</f>
        <v>1</v>
      </c>
      <c r="B13">
        <f>IFERROR(HLOOKUP($B$1,'liste CIRCUIT'!$B:$AM,13,0)," ")</f>
        <v>1</v>
      </c>
      <c r="C13">
        <f t="shared" si="0"/>
        <v>2</v>
      </c>
      <c r="D13">
        <f t="shared" si="1"/>
        <v>0</v>
      </c>
    </row>
    <row r="14" spans="1:4" hidden="1" x14ac:dyDescent="0.25">
      <c r="A14">
        <f>IFERROR(HLOOKUP($A$1,'liste CIRCUIT'!$B:$AM,14,0)," ")</f>
        <v>1</v>
      </c>
      <c r="B14">
        <f>IFERROR(HLOOKUP($B$1,'liste CIRCUIT'!$B:$AM,14,0)," ")</f>
        <v>1</v>
      </c>
      <c r="C14">
        <f t="shared" si="0"/>
        <v>2</v>
      </c>
      <c r="D14">
        <f t="shared" si="1"/>
        <v>0</v>
      </c>
    </row>
    <row r="15" spans="1:4" hidden="1" x14ac:dyDescent="0.25">
      <c r="A15">
        <f>IFERROR(HLOOKUP($A$1,'liste CIRCUIT'!$B:$AM,15,0)," ")</f>
        <v>1</v>
      </c>
      <c r="B15">
        <f>IFERROR(HLOOKUP($B$1,'liste CIRCUIT'!$B:$AM,15,0)," ")</f>
        <v>1</v>
      </c>
      <c r="C15">
        <f t="shared" si="0"/>
        <v>2</v>
      </c>
      <c r="D15">
        <f t="shared" si="1"/>
        <v>0</v>
      </c>
    </row>
    <row r="16" spans="1:4" hidden="1" x14ac:dyDescent="0.25">
      <c r="A16">
        <f>IFERROR(HLOOKUP($A$1,'liste CIRCUIT'!$B:$AM,16,0)," ")</f>
        <v>1</v>
      </c>
      <c r="B16">
        <f>IFERROR(HLOOKUP($B$1,'liste CIRCUIT'!$B:$AM,16,0)," ")</f>
        <v>1</v>
      </c>
      <c r="C16">
        <f t="shared" si="0"/>
        <v>2</v>
      </c>
      <c r="D16">
        <f t="shared" si="1"/>
        <v>0</v>
      </c>
    </row>
    <row r="17" spans="1:4" hidden="1" x14ac:dyDescent="0.25">
      <c r="A17">
        <f>IFERROR(HLOOKUP($A$1,'liste CIRCUIT'!$B:$AM,17,0)," ")</f>
        <v>0</v>
      </c>
      <c r="B17">
        <f>IFERROR(HLOOKUP($B$1,'liste CIRCUIT'!$B:$AM,17,0)," ")</f>
        <v>0</v>
      </c>
      <c r="C17">
        <f t="shared" si="0"/>
        <v>0</v>
      </c>
      <c r="D17">
        <f t="shared" si="1"/>
        <v>0</v>
      </c>
    </row>
    <row r="18" spans="1:4" hidden="1" x14ac:dyDescent="0.25">
      <c r="A18">
        <f>IFERROR(HLOOKUP($A$1,'liste CIRCUIT'!$B:$AM,18,0)," ")</f>
        <v>1</v>
      </c>
      <c r="B18">
        <f>IFERROR(HLOOKUP($B$1,'liste CIRCUIT'!$B:$AM,18,0)," ")</f>
        <v>0</v>
      </c>
      <c r="C18">
        <f t="shared" si="0"/>
        <v>1</v>
      </c>
      <c r="D18">
        <f t="shared" si="1"/>
        <v>1</v>
      </c>
    </row>
    <row r="19" spans="1:4" hidden="1" x14ac:dyDescent="0.25">
      <c r="A19">
        <f>IFERROR(HLOOKUP($A$1,'liste CIRCUIT'!$B:$AM,19,0)," ")</f>
        <v>0</v>
      </c>
      <c r="B19">
        <f>IFERROR(HLOOKUP($B$1,'liste CIRCUIT'!$B:$AM,19,0)," ")</f>
        <v>0</v>
      </c>
      <c r="C19">
        <f t="shared" si="0"/>
        <v>0</v>
      </c>
      <c r="D19">
        <f t="shared" si="1"/>
        <v>0</v>
      </c>
    </row>
    <row r="20" spans="1:4" hidden="1" x14ac:dyDescent="0.25">
      <c r="A20">
        <f>IFERROR(HLOOKUP($A$1,'liste CIRCUIT'!$B:$AM,20,0)," ")</f>
        <v>0</v>
      </c>
      <c r="B20">
        <f>IFERROR(HLOOKUP($B$1,'liste CIRCUIT'!$B:$AM,20,0)," ")</f>
        <v>1</v>
      </c>
      <c r="C20">
        <f t="shared" si="0"/>
        <v>1</v>
      </c>
      <c r="D20">
        <f t="shared" si="1"/>
        <v>-1</v>
      </c>
    </row>
    <row r="21" spans="1:4" hidden="1" x14ac:dyDescent="0.25">
      <c r="A21">
        <f>IFERROR(HLOOKUP($A$1,'liste CIRCUIT'!$B:$AM,21,0)," ")</f>
        <v>0</v>
      </c>
      <c r="B21">
        <f>IFERROR(HLOOKUP($B$1,'liste CIRCUIT'!$B:$AM,21,0)," ")</f>
        <v>0</v>
      </c>
      <c r="C21">
        <f t="shared" si="0"/>
        <v>0</v>
      </c>
      <c r="D21">
        <f t="shared" si="1"/>
        <v>0</v>
      </c>
    </row>
    <row r="22" spans="1:4" hidden="1" x14ac:dyDescent="0.25">
      <c r="A22">
        <f>IFERROR(HLOOKUP($A$1,'liste CIRCUIT'!$B:$AM,22,0)," ")</f>
        <v>1</v>
      </c>
      <c r="B22">
        <f>IFERROR(HLOOKUP($B$1,'liste CIRCUIT'!$B:$AM,22,0)," ")</f>
        <v>1</v>
      </c>
      <c r="C22">
        <f t="shared" si="0"/>
        <v>2</v>
      </c>
      <c r="D22">
        <f t="shared" si="1"/>
        <v>0</v>
      </c>
    </row>
    <row r="23" spans="1:4" hidden="1" x14ac:dyDescent="0.25">
      <c r="A23">
        <f>IFERROR(HLOOKUP($A$1,'liste CIRCUIT'!$B:$AM,23,0)," ")</f>
        <v>0</v>
      </c>
      <c r="B23">
        <f>IFERROR(HLOOKUP($B$1,'liste CIRCUIT'!$B:$AM,23,0)," ")</f>
        <v>0</v>
      </c>
      <c r="C23">
        <f t="shared" si="0"/>
        <v>0</v>
      </c>
      <c r="D23">
        <f t="shared" si="1"/>
        <v>0</v>
      </c>
    </row>
    <row r="24" spans="1:4" hidden="1" x14ac:dyDescent="0.25">
      <c r="A24">
        <f>IFERROR(HLOOKUP($A$1,'liste CIRCUIT'!$B:$AM,24,0)," ")</f>
        <v>0</v>
      </c>
      <c r="B24">
        <f>IFERROR(HLOOKUP($B$1,'liste CIRCUIT'!$B:$AM,24,0)," ")</f>
        <v>0</v>
      </c>
      <c r="C24">
        <f t="shared" si="0"/>
        <v>0</v>
      </c>
      <c r="D24">
        <f t="shared" si="1"/>
        <v>0</v>
      </c>
    </row>
    <row r="25" spans="1:4" hidden="1" x14ac:dyDescent="0.25">
      <c r="A25">
        <f>IFERROR(HLOOKUP($A$1,'liste CIRCUIT'!$B:$AM,25,0)," ")</f>
        <v>0</v>
      </c>
      <c r="B25">
        <f>IFERROR(HLOOKUP($B$1,'liste CIRCUIT'!$B:$AM,25,0)," ")</f>
        <v>0</v>
      </c>
      <c r="C25">
        <f t="shared" si="0"/>
        <v>0</v>
      </c>
      <c r="D25">
        <f t="shared" si="1"/>
        <v>0</v>
      </c>
    </row>
    <row r="26" spans="1:4" hidden="1" x14ac:dyDescent="0.25">
      <c r="A26">
        <f>IFERROR(HLOOKUP($A$1,'liste CIRCUIT'!$B:$AM,26,0)," ")</f>
        <v>1</v>
      </c>
      <c r="B26">
        <f>IFERROR(HLOOKUP($B$1,'liste CIRCUIT'!$B:$AM,26,0)," ")</f>
        <v>1</v>
      </c>
      <c r="C26">
        <f t="shared" si="0"/>
        <v>2</v>
      </c>
      <c r="D26">
        <f t="shared" si="1"/>
        <v>0</v>
      </c>
    </row>
    <row r="27" spans="1:4" hidden="1" x14ac:dyDescent="0.25">
      <c r="A27">
        <f>IFERROR(HLOOKUP($A$1,'liste CIRCUIT'!$B:$AM,27,0)," ")</f>
        <v>0</v>
      </c>
      <c r="B27">
        <f>IFERROR(HLOOKUP($B$1,'liste CIRCUIT'!$B:$AM,27,0)," ")</f>
        <v>0</v>
      </c>
      <c r="C27">
        <f t="shared" si="0"/>
        <v>0</v>
      </c>
      <c r="D27">
        <f t="shared" si="1"/>
        <v>0</v>
      </c>
    </row>
    <row r="28" spans="1:4" hidden="1" x14ac:dyDescent="0.25">
      <c r="A28">
        <f>IFERROR(HLOOKUP($A$1,'liste CIRCUIT'!$B:$AM,28,0)," ")</f>
        <v>0</v>
      </c>
      <c r="B28">
        <f>IFERROR(HLOOKUP($B$1,'liste CIRCUIT'!$B:$AM,28,0)," ")</f>
        <v>1</v>
      </c>
      <c r="C28">
        <f t="shared" si="0"/>
        <v>1</v>
      </c>
      <c r="D28">
        <f t="shared" si="1"/>
        <v>-1</v>
      </c>
    </row>
    <row r="29" spans="1:4" hidden="1" x14ac:dyDescent="0.25">
      <c r="A29">
        <f>IFERROR(HLOOKUP($A$1,'liste CIRCUIT'!$B:$AM,29,0)," ")</f>
        <v>0</v>
      </c>
      <c r="B29">
        <f>IFERROR(HLOOKUP($B$1,'liste CIRCUIT'!$B:$AM,29,0)," ")</f>
        <v>1</v>
      </c>
      <c r="C29">
        <f t="shared" si="0"/>
        <v>1</v>
      </c>
      <c r="D29">
        <f t="shared" si="1"/>
        <v>-1</v>
      </c>
    </row>
    <row r="30" spans="1:4" hidden="1" x14ac:dyDescent="0.25">
      <c r="A30">
        <f>IFERROR(HLOOKUP($A$1,'liste CIRCUIT'!$B:$AM,30,0)," ")</f>
        <v>0</v>
      </c>
      <c r="B30">
        <f>IFERROR(HLOOKUP($B$1,'liste CIRCUIT'!$B:$AM,30,0)," ")</f>
        <v>1</v>
      </c>
      <c r="C30">
        <f t="shared" si="0"/>
        <v>1</v>
      </c>
      <c r="D30">
        <f t="shared" si="1"/>
        <v>-1</v>
      </c>
    </row>
    <row r="31" spans="1:4" hidden="1" x14ac:dyDescent="0.25">
      <c r="A31">
        <f>IFERROR(HLOOKUP($A$1,'liste CIRCUIT'!$B:$AM,31,0)," ")</f>
        <v>1</v>
      </c>
      <c r="B31">
        <f>IFERROR(HLOOKUP($B$1,'liste CIRCUIT'!$B:$AM,31,0)," ")</f>
        <v>1</v>
      </c>
      <c r="C31">
        <f t="shared" si="0"/>
        <v>2</v>
      </c>
      <c r="D31">
        <f t="shared" si="1"/>
        <v>0</v>
      </c>
    </row>
    <row r="32" spans="1:4" hidden="1" x14ac:dyDescent="0.25">
      <c r="A32">
        <f>IFERROR(HLOOKUP($A$1,'liste CIRCUIT'!$B:$AM,32,0)," ")</f>
        <v>0</v>
      </c>
      <c r="B32">
        <f>IFERROR(HLOOKUP($B$1,'liste CIRCUIT'!$B:$AM,32,0)," ")</f>
        <v>0</v>
      </c>
      <c r="C32">
        <f t="shared" si="0"/>
        <v>0</v>
      </c>
      <c r="D32">
        <f t="shared" si="1"/>
        <v>0</v>
      </c>
    </row>
    <row r="33" spans="1:4" hidden="1" x14ac:dyDescent="0.25">
      <c r="A33">
        <f>IFERROR(HLOOKUP($A$1,'liste CIRCUIT'!$B:$AM,33,0)," ")</f>
        <v>1</v>
      </c>
      <c r="B33">
        <f>IFERROR(HLOOKUP($B$1,'liste CIRCUIT'!$B:$AM,33,0)," ")</f>
        <v>1</v>
      </c>
      <c r="C33">
        <f t="shared" si="0"/>
        <v>2</v>
      </c>
      <c r="D33">
        <f t="shared" si="1"/>
        <v>0</v>
      </c>
    </row>
    <row r="34" spans="1:4" hidden="1" x14ac:dyDescent="0.25">
      <c r="A34">
        <f>IFERROR(HLOOKUP($A$1,'liste CIRCUIT'!$B:$AM,34,0)," ")</f>
        <v>1</v>
      </c>
      <c r="B34">
        <f>IFERROR(HLOOKUP($B$1,'liste CIRCUIT'!$B:$AM,34,0)," ")</f>
        <v>1</v>
      </c>
      <c r="C34">
        <f t="shared" si="0"/>
        <v>2</v>
      </c>
      <c r="D34">
        <f t="shared" si="1"/>
        <v>0</v>
      </c>
    </row>
    <row r="35" spans="1:4" hidden="1" x14ac:dyDescent="0.25">
      <c r="A35">
        <f>IFERROR(HLOOKUP($A$1,'liste CIRCUIT'!$B:$AM,35,0)," ")</f>
        <v>0</v>
      </c>
      <c r="B35">
        <f>IFERROR(HLOOKUP($B$1,'liste CIRCUIT'!$B:$AM,35,0)," ")</f>
        <v>0</v>
      </c>
      <c r="C35">
        <f t="shared" si="0"/>
        <v>0</v>
      </c>
      <c r="D35">
        <f t="shared" si="1"/>
        <v>0</v>
      </c>
    </row>
    <row r="36" spans="1:4" hidden="1" x14ac:dyDescent="0.25">
      <c r="A36">
        <f>IFERROR(HLOOKUP($A$1,'liste CIRCUIT'!$B:$AM,36,0)," ")</f>
        <v>0</v>
      </c>
      <c r="B36">
        <f>IFERROR(HLOOKUP($B$1,'liste CIRCUIT'!$B:$AM,36,0)," ")</f>
        <v>0</v>
      </c>
      <c r="C36">
        <f t="shared" si="0"/>
        <v>0</v>
      </c>
      <c r="D36">
        <f t="shared" si="1"/>
        <v>0</v>
      </c>
    </row>
    <row r="37" spans="1:4" hidden="1" x14ac:dyDescent="0.25">
      <c r="A37">
        <f>IFERROR(HLOOKUP($A$1,'liste CIRCUIT'!$B:$AM,37,0)," ")</f>
        <v>1</v>
      </c>
      <c r="B37">
        <f>IFERROR(HLOOKUP($B$1,'liste CIRCUIT'!$B:$AM,37,0)," ")</f>
        <v>1</v>
      </c>
      <c r="C37">
        <f t="shared" si="0"/>
        <v>2</v>
      </c>
      <c r="D37">
        <f t="shared" si="1"/>
        <v>0</v>
      </c>
    </row>
    <row r="38" spans="1:4" hidden="1" x14ac:dyDescent="0.25">
      <c r="A38">
        <f>IFERROR(HLOOKUP($A$1,'liste CIRCUIT'!$B:$AM,38,0)," ")</f>
        <v>1</v>
      </c>
      <c r="B38">
        <f>IFERROR(HLOOKUP($B$1,'liste CIRCUIT'!$B:$AM,38,0)," ")</f>
        <v>1</v>
      </c>
      <c r="C38">
        <f t="shared" si="0"/>
        <v>2</v>
      </c>
      <c r="D38">
        <f t="shared" si="1"/>
        <v>0</v>
      </c>
    </row>
    <row r="39" spans="1:4" hidden="1" x14ac:dyDescent="0.25">
      <c r="A39">
        <f>IFERROR(HLOOKUP($A$1,'liste CIRCUIT'!$B:$AM,39,0)," ")</f>
        <v>0</v>
      </c>
      <c r="B39">
        <f>IFERROR(HLOOKUP($B$1,'liste CIRCUIT'!$B:$AM,39,0)," ")</f>
        <v>0</v>
      </c>
      <c r="C39">
        <f t="shared" si="0"/>
        <v>0</v>
      </c>
      <c r="D39">
        <f t="shared" si="1"/>
        <v>0</v>
      </c>
    </row>
    <row r="40" spans="1:4" hidden="1" x14ac:dyDescent="0.25">
      <c r="A40">
        <f>IFERROR(HLOOKUP($A$1,'liste CIRCUIT'!$B:$AM,40,0)," ")</f>
        <v>0</v>
      </c>
      <c r="B40">
        <f>IFERROR(HLOOKUP($B$1,'liste CIRCUIT'!$B:$AM,40,0)," ")</f>
        <v>1</v>
      </c>
      <c r="C40">
        <f t="shared" si="0"/>
        <v>1</v>
      </c>
      <c r="D40">
        <f t="shared" si="1"/>
        <v>-1</v>
      </c>
    </row>
    <row r="41" spans="1:4" hidden="1" x14ac:dyDescent="0.25">
      <c r="A41">
        <f>IFERROR(HLOOKUP($A$1,'liste CIRCUIT'!$B:$AM,41,0)," ")</f>
        <v>0</v>
      </c>
      <c r="B41">
        <f>IFERROR(HLOOKUP($B$1,'liste CIRCUIT'!$B:$AM,41,0)," ")</f>
        <v>0</v>
      </c>
      <c r="C41">
        <f t="shared" si="0"/>
        <v>0</v>
      </c>
      <c r="D41">
        <f t="shared" si="1"/>
        <v>0</v>
      </c>
    </row>
    <row r="42" spans="1:4" hidden="1" x14ac:dyDescent="0.25">
      <c r="A42">
        <f>IFERROR(HLOOKUP($A$1,'liste CIRCUIT'!$B:$AM,42,0)," ")</f>
        <v>0</v>
      </c>
      <c r="B42">
        <f>IFERROR(HLOOKUP($B$1,'liste CIRCUIT'!$B:$AM,42,0)," ")</f>
        <v>1</v>
      </c>
      <c r="C42">
        <f t="shared" si="0"/>
        <v>1</v>
      </c>
      <c r="D42">
        <f t="shared" si="1"/>
        <v>-1</v>
      </c>
    </row>
    <row r="43" spans="1:4" hidden="1" x14ac:dyDescent="0.25">
      <c r="A43">
        <f>IFERROR(HLOOKUP($A$1,'liste CIRCUIT'!$B:$AM,43,0)," ")</f>
        <v>0</v>
      </c>
      <c r="B43">
        <f>IFERROR(HLOOKUP($B$1,'liste CIRCUIT'!$B:$AM,43,0)," ")</f>
        <v>0</v>
      </c>
      <c r="C43">
        <f t="shared" si="0"/>
        <v>0</v>
      </c>
      <c r="D43">
        <f t="shared" si="1"/>
        <v>0</v>
      </c>
    </row>
    <row r="44" spans="1:4" hidden="1" x14ac:dyDescent="0.25">
      <c r="A44">
        <f>IFERROR(HLOOKUP($A$1,'liste CIRCUIT'!$B:$AM,44,0)," ")</f>
        <v>0</v>
      </c>
      <c r="B44">
        <f>IFERROR(HLOOKUP($B$1,'liste CIRCUIT'!$B:$AM,44,0)," ")</f>
        <v>0</v>
      </c>
      <c r="C44">
        <f t="shared" si="0"/>
        <v>0</v>
      </c>
      <c r="D44">
        <f t="shared" si="1"/>
        <v>0</v>
      </c>
    </row>
    <row r="45" spans="1:4" hidden="1" x14ac:dyDescent="0.25">
      <c r="A45">
        <f>IFERROR(HLOOKUP($A$1,'liste CIRCUIT'!$B:$AM,45,0)," ")</f>
        <v>0</v>
      </c>
      <c r="B45">
        <f>IFERROR(HLOOKUP($B$1,'liste CIRCUIT'!$B:$AM,45,0)," ")</f>
        <v>0</v>
      </c>
      <c r="C45">
        <f t="shared" si="0"/>
        <v>0</v>
      </c>
      <c r="D45">
        <f t="shared" si="1"/>
        <v>0</v>
      </c>
    </row>
    <row r="46" spans="1:4" hidden="1" x14ac:dyDescent="0.25">
      <c r="A46">
        <f>IFERROR(HLOOKUP($A$1,'liste CIRCUIT'!$B:$AM,46,0)," ")</f>
        <v>0</v>
      </c>
      <c r="B46">
        <f>IFERROR(HLOOKUP($B$1,'liste CIRCUIT'!$B:$AM,46,0)," ")</f>
        <v>0</v>
      </c>
      <c r="C46">
        <f t="shared" si="0"/>
        <v>0</v>
      </c>
      <c r="D46">
        <f t="shared" si="1"/>
        <v>0</v>
      </c>
    </row>
    <row r="47" spans="1:4" hidden="1" x14ac:dyDescent="0.25">
      <c r="A47">
        <f>IFERROR(HLOOKUP($A$1,'liste CIRCUIT'!$B:$AM,47,0)," ")</f>
        <v>0</v>
      </c>
      <c r="B47">
        <f>IFERROR(HLOOKUP($B$1,'liste CIRCUIT'!$B:$AM,47,0)," ")</f>
        <v>0</v>
      </c>
      <c r="C47">
        <f t="shared" si="0"/>
        <v>0</v>
      </c>
      <c r="D47">
        <f t="shared" si="1"/>
        <v>0</v>
      </c>
    </row>
    <row r="48" spans="1:4" hidden="1" x14ac:dyDescent="0.25">
      <c r="A48">
        <f>IFERROR(HLOOKUP($A$1,'liste CIRCUIT'!$B:$AM,48,0)," ")</f>
        <v>0</v>
      </c>
      <c r="B48">
        <f>IFERROR(HLOOKUP($B$1,'liste CIRCUIT'!$B:$AM,48,0)," ")</f>
        <v>0</v>
      </c>
      <c r="C48">
        <f t="shared" si="0"/>
        <v>0</v>
      </c>
      <c r="D48">
        <f t="shared" si="1"/>
        <v>0</v>
      </c>
    </row>
    <row r="49" spans="1:4" hidden="1" x14ac:dyDescent="0.25">
      <c r="A49">
        <f>IFERROR(HLOOKUP($A$1,'liste CIRCUIT'!$B:$AM,49,0)," ")</f>
        <v>0</v>
      </c>
      <c r="B49">
        <f>IFERROR(HLOOKUP($B$1,'liste CIRCUIT'!$B:$AM,49,0)," ")</f>
        <v>0</v>
      </c>
      <c r="C49">
        <f t="shared" si="0"/>
        <v>0</v>
      </c>
      <c r="D49">
        <f t="shared" si="1"/>
        <v>0</v>
      </c>
    </row>
    <row r="50" spans="1:4" hidden="1" x14ac:dyDescent="0.25">
      <c r="A50">
        <f>IFERROR(HLOOKUP($A$1,'liste CIRCUIT'!$B:$AM,50,0)," ")</f>
        <v>0</v>
      </c>
      <c r="B50">
        <f>IFERROR(HLOOKUP($B$1,'liste CIRCUIT'!$B:$AM,50,0)," ")</f>
        <v>0</v>
      </c>
      <c r="C50">
        <f t="shared" si="0"/>
        <v>0</v>
      </c>
      <c r="D50">
        <f t="shared" si="1"/>
        <v>0</v>
      </c>
    </row>
    <row r="51" spans="1:4" hidden="1" x14ac:dyDescent="0.25">
      <c r="A51">
        <f>IFERROR(HLOOKUP($A$1,'liste CIRCUIT'!$B:$AM,51,0)," ")</f>
        <v>0</v>
      </c>
      <c r="B51">
        <f>IFERROR(HLOOKUP($B$1,'liste CIRCUIT'!$B:$AM,51,0)," ")</f>
        <v>0</v>
      </c>
      <c r="C51">
        <f t="shared" si="0"/>
        <v>0</v>
      </c>
      <c r="D51">
        <f t="shared" si="1"/>
        <v>0</v>
      </c>
    </row>
    <row r="52" spans="1:4" hidden="1" x14ac:dyDescent="0.25">
      <c r="A52">
        <f>IFERROR(HLOOKUP($A$1,'liste CIRCUIT'!$B:$AM,52,0)," ")</f>
        <v>0</v>
      </c>
      <c r="B52">
        <f>IFERROR(HLOOKUP($B$1,'liste CIRCUIT'!$B:$AM,52,0)," ")</f>
        <v>0</v>
      </c>
      <c r="C52">
        <f t="shared" si="0"/>
        <v>0</v>
      </c>
      <c r="D52">
        <f t="shared" si="1"/>
        <v>0</v>
      </c>
    </row>
    <row r="53" spans="1:4" hidden="1" x14ac:dyDescent="0.25">
      <c r="A53">
        <f>IFERROR(HLOOKUP($A$1,'liste CIRCUIT'!$B:$AM,53,0)," ")</f>
        <v>0</v>
      </c>
      <c r="B53">
        <f>IFERROR(HLOOKUP($B$1,'liste CIRCUIT'!$B:$AM,53,0)," ")</f>
        <v>1</v>
      </c>
      <c r="C53">
        <f t="shared" si="0"/>
        <v>1</v>
      </c>
      <c r="D53">
        <f t="shared" si="1"/>
        <v>-1</v>
      </c>
    </row>
    <row r="54" spans="1:4" hidden="1" x14ac:dyDescent="0.25">
      <c r="A54">
        <f>IFERROR(HLOOKUP($A$1,'liste CIRCUIT'!$B:$AM,54,0)," ")</f>
        <v>0</v>
      </c>
      <c r="B54">
        <f>IFERROR(HLOOKUP($B$1,'liste CIRCUIT'!$B:$AM,54,0)," ")</f>
        <v>0</v>
      </c>
      <c r="C54">
        <f t="shared" si="0"/>
        <v>0</v>
      </c>
      <c r="D54">
        <f t="shared" si="1"/>
        <v>0</v>
      </c>
    </row>
    <row r="55" spans="1:4" hidden="1" x14ac:dyDescent="0.25">
      <c r="A55">
        <f>IFERROR(HLOOKUP($A$1,'liste CIRCUIT'!$B:$AM,55,0)," ")</f>
        <v>1</v>
      </c>
      <c r="B55">
        <f>IFERROR(HLOOKUP($B$1,'liste CIRCUIT'!$B:$AM,55,0)," ")</f>
        <v>1</v>
      </c>
      <c r="C55">
        <f t="shared" si="0"/>
        <v>2</v>
      </c>
      <c r="D55">
        <f t="shared" si="1"/>
        <v>0</v>
      </c>
    </row>
    <row r="56" spans="1:4" hidden="1" x14ac:dyDescent="0.25">
      <c r="A56">
        <f>IFERROR(HLOOKUP($A$1,'liste CIRCUIT'!$B:$AM,56,0)," ")</f>
        <v>1</v>
      </c>
      <c r="B56">
        <f>IFERROR(HLOOKUP($B$1,'liste CIRCUIT'!$B:$AM,56,0)," ")</f>
        <v>1</v>
      </c>
      <c r="C56">
        <f t="shared" si="0"/>
        <v>2</v>
      </c>
      <c r="D56">
        <f t="shared" si="1"/>
        <v>0</v>
      </c>
    </row>
    <row r="57" spans="1:4" hidden="1" x14ac:dyDescent="0.25">
      <c r="A57">
        <f>IFERROR(HLOOKUP($A$1,'liste CIRCUIT'!$B:$AM,57,0)," ")</f>
        <v>1</v>
      </c>
      <c r="B57">
        <f>IFERROR(HLOOKUP($B$1,'liste CIRCUIT'!$B:$AM,57,0)," ")</f>
        <v>1</v>
      </c>
      <c r="C57">
        <f t="shared" si="0"/>
        <v>2</v>
      </c>
      <c r="D57">
        <f t="shared" si="1"/>
        <v>0</v>
      </c>
    </row>
    <row r="58" spans="1:4" hidden="1" x14ac:dyDescent="0.25">
      <c r="A58">
        <f>IFERROR(HLOOKUP($A$1,'liste CIRCUIT'!$B:$AM,58,0)," ")</f>
        <v>1</v>
      </c>
      <c r="B58">
        <f>IFERROR(HLOOKUP($B$1,'liste CIRCUIT'!$B:$AM,58,0)," ")</f>
        <v>0</v>
      </c>
      <c r="C58">
        <f t="shared" si="0"/>
        <v>1</v>
      </c>
      <c r="D58">
        <f t="shared" si="1"/>
        <v>1</v>
      </c>
    </row>
    <row r="59" spans="1:4" hidden="1" x14ac:dyDescent="0.25">
      <c r="A59">
        <f>IFERROR(HLOOKUP($A$1,'liste CIRCUIT'!$B:$AM,59,0)," ")</f>
        <v>0</v>
      </c>
      <c r="B59">
        <f>IFERROR(HLOOKUP($B$1,'liste CIRCUIT'!$B:$AM,59,0)," ")</f>
        <v>1</v>
      </c>
      <c r="C59">
        <f t="shared" si="0"/>
        <v>1</v>
      </c>
      <c r="D59">
        <f t="shared" si="1"/>
        <v>-1</v>
      </c>
    </row>
    <row r="60" spans="1:4" hidden="1" x14ac:dyDescent="0.25">
      <c r="A60">
        <f>IFERROR(HLOOKUP($A$1,'liste CIRCUIT'!$B:$AM,60,0)," ")</f>
        <v>0</v>
      </c>
      <c r="B60">
        <f>IFERROR(HLOOKUP($B$1,'liste CIRCUIT'!$B:$AM,60,0)," ")</f>
        <v>1</v>
      </c>
      <c r="C60">
        <f t="shared" si="0"/>
        <v>1</v>
      </c>
      <c r="D60">
        <f t="shared" si="1"/>
        <v>-1</v>
      </c>
    </row>
    <row r="61" spans="1:4" hidden="1" x14ac:dyDescent="0.25">
      <c r="A61">
        <f>IFERROR(HLOOKUP($A$1,'liste CIRCUIT'!$B:$AM,61,0)," ")</f>
        <v>0</v>
      </c>
      <c r="B61">
        <f>IFERROR(HLOOKUP($B$1,'liste CIRCUIT'!$B:$AM,61,0)," ")</f>
        <v>1</v>
      </c>
      <c r="C61">
        <f t="shared" si="0"/>
        <v>1</v>
      </c>
      <c r="D61">
        <f t="shared" si="1"/>
        <v>-1</v>
      </c>
    </row>
    <row r="62" spans="1:4" hidden="1" x14ac:dyDescent="0.25">
      <c r="A62">
        <f>IFERROR(HLOOKUP($A$1,'liste CIRCUIT'!$B:$AM,62,0)," ")</f>
        <v>0</v>
      </c>
      <c r="B62">
        <f>IFERROR(HLOOKUP($B$1,'liste CIRCUIT'!$B:$AM,62,0)," ")</f>
        <v>1</v>
      </c>
      <c r="C62">
        <f t="shared" si="0"/>
        <v>1</v>
      </c>
      <c r="D62">
        <f t="shared" si="1"/>
        <v>-1</v>
      </c>
    </row>
    <row r="63" spans="1:4" hidden="1" x14ac:dyDescent="0.25">
      <c r="A63">
        <f>IFERROR(HLOOKUP($A$1,'liste CIRCUIT'!$B:$AM,63,0)," ")</f>
        <v>0</v>
      </c>
      <c r="B63">
        <f>IFERROR(HLOOKUP($B$1,'liste CIRCUIT'!$B:$AM,63,0)," ")</f>
        <v>1</v>
      </c>
      <c r="C63">
        <f t="shared" si="0"/>
        <v>1</v>
      </c>
      <c r="D63">
        <f t="shared" si="1"/>
        <v>-1</v>
      </c>
    </row>
    <row r="64" spans="1:4" hidden="1" x14ac:dyDescent="0.25">
      <c r="A64">
        <f>IFERROR(HLOOKUP($A$1,'liste CIRCUIT'!$B:$AM,64,0)," ")</f>
        <v>0</v>
      </c>
      <c r="B64">
        <f>IFERROR(HLOOKUP($B$1,'liste CIRCUIT'!$B:$AM,64,0)," ")</f>
        <v>1</v>
      </c>
      <c r="C64">
        <f t="shared" si="0"/>
        <v>1</v>
      </c>
      <c r="D64">
        <f t="shared" si="1"/>
        <v>-1</v>
      </c>
    </row>
    <row r="65" spans="1:4" hidden="1" x14ac:dyDescent="0.25">
      <c r="A65">
        <f>IFERROR(HLOOKUP($A$1,'liste CIRCUIT'!$B:$AM,65,0)," ")</f>
        <v>1</v>
      </c>
      <c r="B65">
        <f>IFERROR(HLOOKUP($B$1,'liste CIRCUIT'!$B:$AM,65,0)," ")</f>
        <v>1</v>
      </c>
      <c r="C65">
        <f t="shared" si="0"/>
        <v>2</v>
      </c>
      <c r="D65">
        <f t="shared" si="1"/>
        <v>0</v>
      </c>
    </row>
    <row r="66" spans="1:4" hidden="1" x14ac:dyDescent="0.25">
      <c r="A66">
        <f>IFERROR(HLOOKUP($A$1,'liste CIRCUIT'!$B:$AM,66,0)," ")</f>
        <v>1</v>
      </c>
      <c r="B66">
        <f>IFERROR(HLOOKUP($B$1,'liste CIRCUIT'!$B:$AM,66,0)," ")</f>
        <v>1</v>
      </c>
      <c r="C66">
        <f t="shared" si="0"/>
        <v>2</v>
      </c>
      <c r="D66">
        <f t="shared" si="1"/>
        <v>0</v>
      </c>
    </row>
    <row r="67" spans="1:4" hidden="1" x14ac:dyDescent="0.25">
      <c r="A67">
        <f>IFERROR(HLOOKUP($A$1,'liste CIRCUIT'!$B:$AM,67,0)," ")</f>
        <v>1</v>
      </c>
      <c r="B67">
        <f>IFERROR(HLOOKUP($B$1,'liste CIRCUIT'!$B:$AM,67,0)," ")</f>
        <v>1</v>
      </c>
      <c r="C67">
        <f t="shared" ref="C67:C130" si="2">SUM(A67:B67)</f>
        <v>2</v>
      </c>
      <c r="D67">
        <f t="shared" ref="D67:D130" si="3">A67-B67</f>
        <v>0</v>
      </c>
    </row>
    <row r="68" spans="1:4" hidden="1" x14ac:dyDescent="0.25">
      <c r="A68">
        <f>IFERROR(HLOOKUP($A$1,'liste CIRCUIT'!$B:$AM,68,0)," ")</f>
        <v>0</v>
      </c>
      <c r="B68">
        <f>IFERROR(HLOOKUP($B$1,'liste CIRCUIT'!$B:$AM,68,0)," ")</f>
        <v>0</v>
      </c>
      <c r="C68">
        <f t="shared" si="2"/>
        <v>0</v>
      </c>
      <c r="D68">
        <f t="shared" si="3"/>
        <v>0</v>
      </c>
    </row>
    <row r="69" spans="1:4" hidden="1" x14ac:dyDescent="0.25">
      <c r="A69">
        <f>IFERROR(HLOOKUP($A$1,'liste CIRCUIT'!$B:$AM,69,0)," ")</f>
        <v>0</v>
      </c>
      <c r="B69">
        <f>IFERROR(HLOOKUP($B$1,'liste CIRCUIT'!$B:$AM,69,0)," ")</f>
        <v>0</v>
      </c>
      <c r="C69">
        <f t="shared" si="2"/>
        <v>0</v>
      </c>
      <c r="D69">
        <f t="shared" si="3"/>
        <v>0</v>
      </c>
    </row>
    <row r="70" spans="1:4" hidden="1" x14ac:dyDescent="0.25">
      <c r="A70">
        <f>IFERROR(HLOOKUP($A$1,'liste CIRCUIT'!$B:$AM,70,0)," ")</f>
        <v>0</v>
      </c>
      <c r="B70">
        <f>IFERROR(HLOOKUP($B$1,'liste CIRCUIT'!$B:$AM,70,0)," ")</f>
        <v>0</v>
      </c>
      <c r="C70">
        <f t="shared" si="2"/>
        <v>0</v>
      </c>
      <c r="D70">
        <f t="shared" si="3"/>
        <v>0</v>
      </c>
    </row>
    <row r="71" spans="1:4" hidden="1" x14ac:dyDescent="0.25">
      <c r="A71">
        <f>IFERROR(HLOOKUP($A$1,'liste CIRCUIT'!$B:$AM,71,0)," ")</f>
        <v>0</v>
      </c>
      <c r="B71">
        <f>IFERROR(HLOOKUP($B$1,'liste CIRCUIT'!$B:$AM,71,0)," ")</f>
        <v>0</v>
      </c>
      <c r="C71">
        <f t="shared" si="2"/>
        <v>0</v>
      </c>
      <c r="D71">
        <f t="shared" si="3"/>
        <v>0</v>
      </c>
    </row>
    <row r="72" spans="1:4" hidden="1" x14ac:dyDescent="0.25">
      <c r="A72">
        <f>IFERROR(HLOOKUP($A$1,'liste CIRCUIT'!$B:$AM,72,0)," ")</f>
        <v>0</v>
      </c>
      <c r="B72">
        <f>IFERROR(HLOOKUP($B$1,'liste CIRCUIT'!$B:$AM,72,0)," ")</f>
        <v>0</v>
      </c>
      <c r="C72">
        <f t="shared" si="2"/>
        <v>0</v>
      </c>
      <c r="D72">
        <f t="shared" si="3"/>
        <v>0</v>
      </c>
    </row>
    <row r="73" spans="1:4" hidden="1" x14ac:dyDescent="0.25">
      <c r="A73">
        <f>IFERROR(HLOOKUP($A$1,'liste CIRCUIT'!$B:$AM,73,0)," ")</f>
        <v>0</v>
      </c>
      <c r="B73">
        <f>IFERROR(HLOOKUP($B$1,'liste CIRCUIT'!$B:$AM,73,0)," ")</f>
        <v>0</v>
      </c>
      <c r="C73">
        <f t="shared" si="2"/>
        <v>0</v>
      </c>
      <c r="D73">
        <f t="shared" si="3"/>
        <v>0</v>
      </c>
    </row>
    <row r="74" spans="1:4" hidden="1" x14ac:dyDescent="0.25">
      <c r="A74">
        <f>IFERROR(HLOOKUP($A$1,'liste CIRCUIT'!$B:$AM,74,0)," ")</f>
        <v>0</v>
      </c>
      <c r="B74">
        <f>IFERROR(HLOOKUP($B$1,'liste CIRCUIT'!$B:$AM,74,0)," ")</f>
        <v>0</v>
      </c>
      <c r="C74">
        <f t="shared" si="2"/>
        <v>0</v>
      </c>
      <c r="D74">
        <f t="shared" si="3"/>
        <v>0</v>
      </c>
    </row>
    <row r="75" spans="1:4" hidden="1" x14ac:dyDescent="0.25">
      <c r="A75">
        <f>IFERROR(HLOOKUP($A$1,'liste CIRCUIT'!$B:$AM,75,0)," ")</f>
        <v>0</v>
      </c>
      <c r="B75">
        <f>IFERROR(HLOOKUP($B$1,'liste CIRCUIT'!$B:$AM,75,0)," ")</f>
        <v>0</v>
      </c>
      <c r="C75">
        <f t="shared" si="2"/>
        <v>0</v>
      </c>
      <c r="D75">
        <f t="shared" si="3"/>
        <v>0</v>
      </c>
    </row>
    <row r="76" spans="1:4" hidden="1" x14ac:dyDescent="0.25">
      <c r="A76">
        <f>IFERROR(HLOOKUP($A$1,'liste CIRCUIT'!$B:$AM,76,0)," ")</f>
        <v>0</v>
      </c>
      <c r="B76">
        <f>IFERROR(HLOOKUP($B$1,'liste CIRCUIT'!$B:$AM,76,0)," ")</f>
        <v>0</v>
      </c>
      <c r="C76">
        <f t="shared" si="2"/>
        <v>0</v>
      </c>
      <c r="D76">
        <f t="shared" si="3"/>
        <v>0</v>
      </c>
    </row>
    <row r="77" spans="1:4" hidden="1" x14ac:dyDescent="0.25">
      <c r="A77">
        <f>IFERROR(HLOOKUP($A$1,'liste CIRCUIT'!$B:$AM,77,0)," ")</f>
        <v>0</v>
      </c>
      <c r="B77">
        <f>IFERROR(HLOOKUP($B$1,'liste CIRCUIT'!$B:$AM,77,0)," ")</f>
        <v>0</v>
      </c>
      <c r="C77">
        <f t="shared" si="2"/>
        <v>0</v>
      </c>
      <c r="D77">
        <f t="shared" si="3"/>
        <v>0</v>
      </c>
    </row>
    <row r="78" spans="1:4" hidden="1" x14ac:dyDescent="0.25">
      <c r="A78">
        <f>IFERROR(HLOOKUP($A$1,'liste CIRCUIT'!$B:$AM,78,0)," ")</f>
        <v>0</v>
      </c>
      <c r="B78">
        <f>IFERROR(HLOOKUP($B$1,'liste CIRCUIT'!$B:$AM,78,0)," ")</f>
        <v>0</v>
      </c>
      <c r="C78">
        <f t="shared" si="2"/>
        <v>0</v>
      </c>
      <c r="D78">
        <f t="shared" si="3"/>
        <v>0</v>
      </c>
    </row>
    <row r="79" spans="1:4" hidden="1" x14ac:dyDescent="0.25">
      <c r="A79">
        <f>IFERROR(HLOOKUP($A$1,'liste CIRCUIT'!$B:$AM,79,0)," ")</f>
        <v>0</v>
      </c>
      <c r="B79">
        <f>IFERROR(HLOOKUP($B$1,'liste CIRCUIT'!$B:$AM,79,0)," ")</f>
        <v>0</v>
      </c>
      <c r="C79">
        <f t="shared" si="2"/>
        <v>0</v>
      </c>
      <c r="D79">
        <f t="shared" si="3"/>
        <v>0</v>
      </c>
    </row>
    <row r="80" spans="1:4" hidden="1" x14ac:dyDescent="0.25">
      <c r="A80">
        <f>IFERROR(HLOOKUP($A$1,'liste CIRCUIT'!$B:$AM,80,0)," ")</f>
        <v>0</v>
      </c>
      <c r="B80">
        <f>IFERROR(HLOOKUP($B$1,'liste CIRCUIT'!$B:$AM,80,0)," ")</f>
        <v>0</v>
      </c>
      <c r="C80">
        <f t="shared" si="2"/>
        <v>0</v>
      </c>
      <c r="D80">
        <f t="shared" si="3"/>
        <v>0</v>
      </c>
    </row>
    <row r="81" spans="1:4" hidden="1" x14ac:dyDescent="0.25">
      <c r="A81">
        <f>IFERROR(HLOOKUP($A$1,'liste CIRCUIT'!$B:$AM,81,0)," ")</f>
        <v>0</v>
      </c>
      <c r="B81">
        <f>IFERROR(HLOOKUP($B$1,'liste CIRCUIT'!$B:$AM,81,0)," ")</f>
        <v>0</v>
      </c>
      <c r="C81">
        <f t="shared" si="2"/>
        <v>0</v>
      </c>
      <c r="D81">
        <f t="shared" si="3"/>
        <v>0</v>
      </c>
    </row>
    <row r="82" spans="1:4" hidden="1" x14ac:dyDescent="0.25">
      <c r="A82">
        <f>IFERROR(HLOOKUP($A$1,'liste CIRCUIT'!$B:$AM,82,0)," ")</f>
        <v>0</v>
      </c>
      <c r="B82">
        <f>IFERROR(HLOOKUP($B$1,'liste CIRCUIT'!$B:$AM,82,0)," ")</f>
        <v>0</v>
      </c>
      <c r="C82">
        <f t="shared" si="2"/>
        <v>0</v>
      </c>
      <c r="D82">
        <f t="shared" si="3"/>
        <v>0</v>
      </c>
    </row>
    <row r="83" spans="1:4" hidden="1" x14ac:dyDescent="0.25">
      <c r="A83">
        <f>IFERROR(HLOOKUP($A$1,'liste CIRCUIT'!$B:$AM,83,0)," ")</f>
        <v>0</v>
      </c>
      <c r="B83">
        <f>IFERROR(HLOOKUP($B$1,'liste CIRCUIT'!$B:$AM,83,0)," ")</f>
        <v>0</v>
      </c>
      <c r="C83">
        <f t="shared" si="2"/>
        <v>0</v>
      </c>
      <c r="D83">
        <f t="shared" si="3"/>
        <v>0</v>
      </c>
    </row>
    <row r="84" spans="1:4" hidden="1" x14ac:dyDescent="0.25">
      <c r="A84">
        <f>IFERROR(HLOOKUP($A$1,'liste CIRCUIT'!$B:$AM,84,0)," ")</f>
        <v>0</v>
      </c>
      <c r="B84">
        <f>IFERROR(HLOOKUP($B$1,'liste CIRCUIT'!$B:$AM,84,0)," ")</f>
        <v>0</v>
      </c>
      <c r="C84">
        <f t="shared" si="2"/>
        <v>0</v>
      </c>
      <c r="D84">
        <f t="shared" si="3"/>
        <v>0</v>
      </c>
    </row>
    <row r="85" spans="1:4" hidden="1" x14ac:dyDescent="0.25">
      <c r="A85">
        <f>IFERROR(HLOOKUP($A$1,'liste CIRCUIT'!$B:$AM,85,0)," ")</f>
        <v>0</v>
      </c>
      <c r="B85">
        <f>IFERROR(HLOOKUP($B$1,'liste CIRCUIT'!$B:$AM,85,0)," ")</f>
        <v>0</v>
      </c>
      <c r="C85">
        <f t="shared" si="2"/>
        <v>0</v>
      </c>
      <c r="D85">
        <f t="shared" si="3"/>
        <v>0</v>
      </c>
    </row>
    <row r="86" spans="1:4" hidden="1" x14ac:dyDescent="0.25">
      <c r="A86">
        <f>IFERROR(HLOOKUP($A$1,'liste CIRCUIT'!$B:$AM,86,0)," ")</f>
        <v>0</v>
      </c>
      <c r="B86">
        <f>IFERROR(HLOOKUP($B$1,'liste CIRCUIT'!$B:$AM,86,0)," ")</f>
        <v>0</v>
      </c>
      <c r="C86">
        <f t="shared" si="2"/>
        <v>0</v>
      </c>
      <c r="D86">
        <f t="shared" si="3"/>
        <v>0</v>
      </c>
    </row>
    <row r="87" spans="1:4" hidden="1" x14ac:dyDescent="0.25">
      <c r="A87">
        <f>IFERROR(HLOOKUP($A$1,'liste CIRCUIT'!$B:$AM,87,0)," ")</f>
        <v>0</v>
      </c>
      <c r="B87">
        <f>IFERROR(HLOOKUP($B$1,'liste CIRCUIT'!$B:$AM,87,0)," ")</f>
        <v>1</v>
      </c>
      <c r="C87">
        <f t="shared" si="2"/>
        <v>1</v>
      </c>
      <c r="D87">
        <f t="shared" si="3"/>
        <v>-1</v>
      </c>
    </row>
    <row r="88" spans="1:4" hidden="1" x14ac:dyDescent="0.25">
      <c r="A88">
        <f>IFERROR(HLOOKUP($A$1,'liste CIRCUIT'!$B:$AM,88,0)," ")</f>
        <v>0</v>
      </c>
      <c r="B88">
        <f>IFERROR(HLOOKUP($B$1,'liste CIRCUIT'!$B:$AM,88,0)," ")</f>
        <v>1</v>
      </c>
      <c r="C88">
        <f t="shared" si="2"/>
        <v>1</v>
      </c>
      <c r="D88">
        <f t="shared" si="3"/>
        <v>-1</v>
      </c>
    </row>
    <row r="89" spans="1:4" hidden="1" x14ac:dyDescent="0.25">
      <c r="A89">
        <f>IFERROR(HLOOKUP($A$1,'liste CIRCUIT'!$B:$AM,89,0)," ")</f>
        <v>0</v>
      </c>
      <c r="B89">
        <f>IFERROR(HLOOKUP($B$1,'liste CIRCUIT'!$B:$AM,89,0)," ")</f>
        <v>1</v>
      </c>
      <c r="C89">
        <f t="shared" si="2"/>
        <v>1</v>
      </c>
      <c r="D89">
        <f t="shared" si="3"/>
        <v>-1</v>
      </c>
    </row>
    <row r="90" spans="1:4" hidden="1" x14ac:dyDescent="0.25">
      <c r="A90">
        <f>IFERROR(HLOOKUP($A$1,'liste CIRCUIT'!$B:$AM,90,0)," ")</f>
        <v>0</v>
      </c>
      <c r="B90">
        <f>IFERROR(HLOOKUP($B$1,'liste CIRCUIT'!$B:$AM,90,0)," ")</f>
        <v>1</v>
      </c>
      <c r="C90">
        <f t="shared" si="2"/>
        <v>1</v>
      </c>
      <c r="D90">
        <f t="shared" si="3"/>
        <v>-1</v>
      </c>
    </row>
    <row r="91" spans="1:4" hidden="1" x14ac:dyDescent="0.25">
      <c r="A91">
        <f>IFERROR(HLOOKUP($A$1,'liste CIRCUIT'!$B:$AM,91,0)," ")</f>
        <v>1</v>
      </c>
      <c r="B91">
        <f>IFERROR(HLOOKUP($B$1,'liste CIRCUIT'!$B:$AM,91,0)," ")</f>
        <v>1</v>
      </c>
      <c r="C91">
        <f t="shared" si="2"/>
        <v>2</v>
      </c>
      <c r="D91">
        <f t="shared" si="3"/>
        <v>0</v>
      </c>
    </row>
    <row r="92" spans="1:4" hidden="1" x14ac:dyDescent="0.25">
      <c r="A92">
        <f>IFERROR(HLOOKUP($A$1,'liste CIRCUIT'!$B:$AM,92,0)," ")</f>
        <v>0</v>
      </c>
      <c r="B92">
        <f>IFERROR(HLOOKUP($B$1,'liste CIRCUIT'!$B:$AM,92,0)," ")</f>
        <v>0</v>
      </c>
      <c r="C92">
        <f t="shared" si="2"/>
        <v>0</v>
      </c>
      <c r="D92">
        <f t="shared" si="3"/>
        <v>0</v>
      </c>
    </row>
    <row r="93" spans="1:4" hidden="1" x14ac:dyDescent="0.25">
      <c r="A93">
        <f>IFERROR(HLOOKUP($A$1,'liste CIRCUIT'!$B:$AM,93,0)," ")</f>
        <v>0</v>
      </c>
      <c r="B93">
        <f>IFERROR(HLOOKUP($B$1,'liste CIRCUIT'!$B:$AM,93,0)," ")</f>
        <v>0</v>
      </c>
      <c r="C93">
        <f t="shared" si="2"/>
        <v>0</v>
      </c>
      <c r="D93">
        <f t="shared" si="3"/>
        <v>0</v>
      </c>
    </row>
    <row r="94" spans="1:4" hidden="1" x14ac:dyDescent="0.25">
      <c r="A94">
        <f>IFERROR(HLOOKUP($A$1,'liste CIRCUIT'!$B:$AM,94,0)," ")</f>
        <v>0</v>
      </c>
      <c r="B94">
        <f>IFERROR(HLOOKUP($B$1,'liste CIRCUIT'!$B:$AM,94,0)," ")</f>
        <v>0</v>
      </c>
      <c r="C94">
        <f t="shared" si="2"/>
        <v>0</v>
      </c>
      <c r="D94">
        <f t="shared" si="3"/>
        <v>0</v>
      </c>
    </row>
    <row r="95" spans="1:4" hidden="1" x14ac:dyDescent="0.25">
      <c r="A95">
        <f>IFERROR(HLOOKUP($A$1,'liste CIRCUIT'!$B:$AM,95,0)," ")</f>
        <v>0</v>
      </c>
      <c r="B95">
        <f>IFERROR(HLOOKUP($B$1,'liste CIRCUIT'!$B:$AM,95,0)," ")</f>
        <v>0</v>
      </c>
      <c r="C95">
        <f t="shared" si="2"/>
        <v>0</v>
      </c>
      <c r="D95">
        <f t="shared" si="3"/>
        <v>0</v>
      </c>
    </row>
    <row r="96" spans="1:4" hidden="1" x14ac:dyDescent="0.25">
      <c r="A96">
        <f>IFERROR(HLOOKUP($A$1,'liste CIRCUIT'!$B:$AM,96,0)," ")</f>
        <v>0</v>
      </c>
      <c r="B96">
        <f>IFERROR(HLOOKUP($B$1,'liste CIRCUIT'!$B:$AM,96,0)," ")</f>
        <v>0</v>
      </c>
      <c r="C96">
        <f t="shared" si="2"/>
        <v>0</v>
      </c>
      <c r="D96">
        <f t="shared" si="3"/>
        <v>0</v>
      </c>
    </row>
    <row r="97" spans="1:4" hidden="1" x14ac:dyDescent="0.25">
      <c r="A97">
        <f>IFERROR(HLOOKUP($A$1,'liste CIRCUIT'!$B:$AM,97,0)," ")</f>
        <v>0</v>
      </c>
      <c r="B97">
        <f>IFERROR(HLOOKUP($B$1,'liste CIRCUIT'!$B:$AM,97,0)," ")</f>
        <v>0</v>
      </c>
      <c r="C97">
        <f t="shared" si="2"/>
        <v>0</v>
      </c>
      <c r="D97">
        <f t="shared" si="3"/>
        <v>0</v>
      </c>
    </row>
    <row r="98" spans="1:4" hidden="1" x14ac:dyDescent="0.25">
      <c r="A98">
        <f>IFERROR(HLOOKUP($A$1,'liste CIRCUIT'!$B:$AM,98,0)," ")</f>
        <v>0</v>
      </c>
      <c r="B98">
        <f>IFERROR(HLOOKUP($B$1,'liste CIRCUIT'!$B:$AM,98,0)," ")</f>
        <v>0</v>
      </c>
      <c r="C98">
        <f t="shared" si="2"/>
        <v>0</v>
      </c>
      <c r="D98">
        <f t="shared" si="3"/>
        <v>0</v>
      </c>
    </row>
    <row r="99" spans="1:4" hidden="1" x14ac:dyDescent="0.25">
      <c r="A99">
        <f>IFERROR(HLOOKUP($A$1,'liste CIRCUIT'!$B:$AM,99,0)," ")</f>
        <v>1</v>
      </c>
      <c r="B99">
        <f>IFERROR(HLOOKUP($B$1,'liste CIRCUIT'!$B:$AM,99,0)," ")</f>
        <v>0</v>
      </c>
      <c r="C99">
        <f t="shared" si="2"/>
        <v>1</v>
      </c>
      <c r="D99">
        <f t="shared" si="3"/>
        <v>1</v>
      </c>
    </row>
    <row r="100" spans="1:4" hidden="1" x14ac:dyDescent="0.25">
      <c r="A100">
        <f>IFERROR(HLOOKUP($A$1,'liste CIRCUIT'!$B:$AM,100,0)," ")</f>
        <v>0</v>
      </c>
      <c r="B100">
        <f>IFERROR(HLOOKUP($B$1,'liste CIRCUIT'!$B:$AM,100,0)," ")</f>
        <v>1</v>
      </c>
      <c r="C100">
        <f t="shared" si="2"/>
        <v>1</v>
      </c>
      <c r="D100">
        <f t="shared" si="3"/>
        <v>-1</v>
      </c>
    </row>
    <row r="101" spans="1:4" hidden="1" x14ac:dyDescent="0.25">
      <c r="A101">
        <f>IFERROR(HLOOKUP($A$1,'liste CIRCUIT'!$B:$AM,101,0)," ")</f>
        <v>0</v>
      </c>
      <c r="B101">
        <f>IFERROR(HLOOKUP($B$1,'liste CIRCUIT'!$B:$AM,101,0)," ")</f>
        <v>0</v>
      </c>
      <c r="C101">
        <f t="shared" si="2"/>
        <v>0</v>
      </c>
      <c r="D101">
        <f t="shared" si="3"/>
        <v>0</v>
      </c>
    </row>
    <row r="102" spans="1:4" hidden="1" x14ac:dyDescent="0.25">
      <c r="A102">
        <f>IFERROR(HLOOKUP($A$1,'liste CIRCUIT'!$B:$AM,102,0)," ")</f>
        <v>0</v>
      </c>
      <c r="B102">
        <f>IFERROR(HLOOKUP($B$1,'liste CIRCUIT'!$B:$AM,102,0)," ")</f>
        <v>0</v>
      </c>
      <c r="C102">
        <f t="shared" si="2"/>
        <v>0</v>
      </c>
      <c r="D102">
        <f t="shared" si="3"/>
        <v>0</v>
      </c>
    </row>
    <row r="103" spans="1:4" hidden="1" x14ac:dyDescent="0.25">
      <c r="A103">
        <f>IFERROR(HLOOKUP($A$1,'liste CIRCUIT'!$B:$AM,103,0)," ")</f>
        <v>1</v>
      </c>
      <c r="B103">
        <f>IFERROR(HLOOKUP($B$1,'liste CIRCUIT'!$B:$AM,103,0)," ")</f>
        <v>1</v>
      </c>
      <c r="C103">
        <f t="shared" si="2"/>
        <v>2</v>
      </c>
      <c r="D103">
        <f t="shared" si="3"/>
        <v>0</v>
      </c>
    </row>
    <row r="104" spans="1:4" hidden="1" x14ac:dyDescent="0.25">
      <c r="A104">
        <f>IFERROR(HLOOKUP($A$1,'liste CIRCUIT'!$B:$AM,104,0)," ")</f>
        <v>1</v>
      </c>
      <c r="B104">
        <f>IFERROR(HLOOKUP($B$1,'liste CIRCUIT'!$B:$AM,104,0)," ")</f>
        <v>1</v>
      </c>
      <c r="C104">
        <f t="shared" si="2"/>
        <v>2</v>
      </c>
      <c r="D104">
        <f t="shared" si="3"/>
        <v>0</v>
      </c>
    </row>
    <row r="105" spans="1:4" hidden="1" x14ac:dyDescent="0.25">
      <c r="A105">
        <f>IFERROR(HLOOKUP($A$1,'liste CIRCUIT'!$B:$AM,105,0)," ")</f>
        <v>1</v>
      </c>
      <c r="B105">
        <f>IFERROR(HLOOKUP($B$1,'liste CIRCUIT'!$B:$AM,105,0)," ")</f>
        <v>1</v>
      </c>
      <c r="C105">
        <f t="shared" si="2"/>
        <v>2</v>
      </c>
      <c r="D105">
        <f t="shared" si="3"/>
        <v>0</v>
      </c>
    </row>
    <row r="106" spans="1:4" hidden="1" x14ac:dyDescent="0.25">
      <c r="A106">
        <f>IFERROR(HLOOKUP($A$1,'liste CIRCUIT'!$B:$AM,106,0)," ")</f>
        <v>1</v>
      </c>
      <c r="B106">
        <f>IFERROR(HLOOKUP($B$1,'liste CIRCUIT'!$B:$AM,106,0)," ")</f>
        <v>1</v>
      </c>
      <c r="C106">
        <f t="shared" si="2"/>
        <v>2</v>
      </c>
      <c r="D106">
        <f t="shared" si="3"/>
        <v>0</v>
      </c>
    </row>
    <row r="107" spans="1:4" hidden="1" x14ac:dyDescent="0.25">
      <c r="A107">
        <f>IFERROR(HLOOKUP($A$1,'liste CIRCUIT'!$B:$AM,107,0)," ")</f>
        <v>0</v>
      </c>
      <c r="B107">
        <f>IFERROR(HLOOKUP($B$1,'liste CIRCUIT'!$B:$AM,107,0)," ")</f>
        <v>0</v>
      </c>
      <c r="C107">
        <f t="shared" si="2"/>
        <v>0</v>
      </c>
      <c r="D107">
        <f t="shared" si="3"/>
        <v>0</v>
      </c>
    </row>
    <row r="108" spans="1:4" hidden="1" x14ac:dyDescent="0.25">
      <c r="A108">
        <f>IFERROR(HLOOKUP($A$1,'liste CIRCUIT'!$B:$AM,108,0)," ")</f>
        <v>0</v>
      </c>
      <c r="B108">
        <f>IFERROR(HLOOKUP($B$1,'liste CIRCUIT'!$B:$AM,108,0)," ")</f>
        <v>0</v>
      </c>
      <c r="C108">
        <f t="shared" si="2"/>
        <v>0</v>
      </c>
      <c r="D108">
        <f t="shared" si="3"/>
        <v>0</v>
      </c>
    </row>
    <row r="109" spans="1:4" hidden="1" x14ac:dyDescent="0.25">
      <c r="A109">
        <f>IFERROR(HLOOKUP($A$1,'liste CIRCUIT'!$B:$AM,109,0)," ")</f>
        <v>0</v>
      </c>
      <c r="B109">
        <f>IFERROR(HLOOKUP($B$1,'liste CIRCUIT'!$B:$AM,109,0)," ")</f>
        <v>0</v>
      </c>
      <c r="C109">
        <f t="shared" si="2"/>
        <v>0</v>
      </c>
      <c r="D109">
        <f t="shared" si="3"/>
        <v>0</v>
      </c>
    </row>
    <row r="110" spans="1:4" hidden="1" x14ac:dyDescent="0.25">
      <c r="A110">
        <f>IFERROR(HLOOKUP($A$1,'liste CIRCUIT'!$B:$AM,110,0)," ")</f>
        <v>0</v>
      </c>
      <c r="B110">
        <f>IFERROR(HLOOKUP($B$1,'liste CIRCUIT'!$B:$AM,110,0)," ")</f>
        <v>0</v>
      </c>
      <c r="C110">
        <f t="shared" si="2"/>
        <v>0</v>
      </c>
      <c r="D110">
        <f t="shared" si="3"/>
        <v>0</v>
      </c>
    </row>
    <row r="111" spans="1:4" hidden="1" x14ac:dyDescent="0.25">
      <c r="A111">
        <f>IFERROR(HLOOKUP($A$1,'liste CIRCUIT'!$B:$AM,111,0)," ")</f>
        <v>0</v>
      </c>
      <c r="B111">
        <f>IFERROR(HLOOKUP($B$1,'liste CIRCUIT'!$B:$AM,111,0)," ")</f>
        <v>0</v>
      </c>
      <c r="C111">
        <f t="shared" si="2"/>
        <v>0</v>
      </c>
      <c r="D111">
        <f t="shared" si="3"/>
        <v>0</v>
      </c>
    </row>
    <row r="112" spans="1:4" hidden="1" x14ac:dyDescent="0.25">
      <c r="A112">
        <f>IFERROR(HLOOKUP($A$1,'liste CIRCUIT'!$B:$AM,112,0)," ")</f>
        <v>0</v>
      </c>
      <c r="B112">
        <f>IFERROR(HLOOKUP($B$1,'liste CIRCUIT'!$B:$AM,112,0)," ")</f>
        <v>0</v>
      </c>
      <c r="C112">
        <f t="shared" si="2"/>
        <v>0</v>
      </c>
      <c r="D112">
        <f t="shared" si="3"/>
        <v>0</v>
      </c>
    </row>
    <row r="113" spans="1:4" hidden="1" x14ac:dyDescent="0.25">
      <c r="A113">
        <f>IFERROR(HLOOKUP($A$1,'liste CIRCUIT'!$B:$AM,113,0)," ")</f>
        <v>0</v>
      </c>
      <c r="B113">
        <f>IFERROR(HLOOKUP($B$1,'liste CIRCUIT'!$B:$AM,113,0)," ")</f>
        <v>0</v>
      </c>
      <c r="C113">
        <f t="shared" si="2"/>
        <v>0</v>
      </c>
      <c r="D113">
        <f t="shared" si="3"/>
        <v>0</v>
      </c>
    </row>
    <row r="114" spans="1:4" hidden="1" x14ac:dyDescent="0.25">
      <c r="A114">
        <f>IFERROR(HLOOKUP($A$1,'liste CIRCUIT'!$B:$AM,114,0)," ")</f>
        <v>1</v>
      </c>
      <c r="B114">
        <f>IFERROR(HLOOKUP($B$1,'liste CIRCUIT'!$B:$AM,114,0)," ")</f>
        <v>1</v>
      </c>
      <c r="C114">
        <f t="shared" si="2"/>
        <v>2</v>
      </c>
      <c r="D114">
        <f t="shared" si="3"/>
        <v>0</v>
      </c>
    </row>
    <row r="115" spans="1:4" hidden="1" x14ac:dyDescent="0.25">
      <c r="A115">
        <f>IFERROR(HLOOKUP($A$1,'liste CIRCUIT'!$B:$AM,115,0)," ")</f>
        <v>0</v>
      </c>
      <c r="B115">
        <f>IFERROR(HLOOKUP($B$1,'liste CIRCUIT'!$B:$AM,115,0)," ")</f>
        <v>0</v>
      </c>
      <c r="C115">
        <f t="shared" si="2"/>
        <v>0</v>
      </c>
      <c r="D115">
        <f t="shared" si="3"/>
        <v>0</v>
      </c>
    </row>
    <row r="116" spans="1:4" hidden="1" x14ac:dyDescent="0.25">
      <c r="A116">
        <f>IFERROR(HLOOKUP($A$1,'liste CIRCUIT'!$B:$AM,116,0)," ")</f>
        <v>0</v>
      </c>
      <c r="B116">
        <f>IFERROR(HLOOKUP($B$1,'liste CIRCUIT'!$B:$AM,116,0)," ")</f>
        <v>0</v>
      </c>
      <c r="C116">
        <f t="shared" si="2"/>
        <v>0</v>
      </c>
      <c r="D116">
        <f t="shared" si="3"/>
        <v>0</v>
      </c>
    </row>
    <row r="117" spans="1:4" hidden="1" x14ac:dyDescent="0.25">
      <c r="A117">
        <f>IFERROR(HLOOKUP($A$1,'liste CIRCUIT'!$B:$AM,117,0)," ")</f>
        <v>0</v>
      </c>
      <c r="B117">
        <f>IFERROR(HLOOKUP($B$1,'liste CIRCUIT'!$B:$AM,117,0)," ")</f>
        <v>0</v>
      </c>
      <c r="C117">
        <f t="shared" si="2"/>
        <v>0</v>
      </c>
      <c r="D117">
        <f t="shared" si="3"/>
        <v>0</v>
      </c>
    </row>
    <row r="118" spans="1:4" hidden="1" x14ac:dyDescent="0.25">
      <c r="A118">
        <f>IFERROR(HLOOKUP($A$1,'liste CIRCUIT'!$B:$AM,118,0)," ")</f>
        <v>1</v>
      </c>
      <c r="B118">
        <f>IFERROR(HLOOKUP($B$1,'liste CIRCUIT'!$B:$AM,118,0)," ")</f>
        <v>1</v>
      </c>
      <c r="C118">
        <f t="shared" si="2"/>
        <v>2</v>
      </c>
      <c r="D118">
        <f t="shared" si="3"/>
        <v>0</v>
      </c>
    </row>
    <row r="119" spans="1:4" hidden="1" x14ac:dyDescent="0.25">
      <c r="A119">
        <f>IFERROR(HLOOKUP($A$1,'liste CIRCUIT'!$B:$AM,119,0)," ")</f>
        <v>1</v>
      </c>
      <c r="B119">
        <f>IFERROR(HLOOKUP($B$1,'liste CIRCUIT'!$B:$AM,119,0)," ")</f>
        <v>1</v>
      </c>
      <c r="C119">
        <f t="shared" si="2"/>
        <v>2</v>
      </c>
      <c r="D119">
        <f t="shared" si="3"/>
        <v>0</v>
      </c>
    </row>
    <row r="120" spans="1:4" hidden="1" x14ac:dyDescent="0.25">
      <c r="A120">
        <f>IFERROR(HLOOKUP($A$1,'liste CIRCUIT'!$B:$AM,120,0)," ")</f>
        <v>1</v>
      </c>
      <c r="B120">
        <f>IFERROR(HLOOKUP($B$1,'liste CIRCUIT'!$B:$AM,120,0)," ")</f>
        <v>1</v>
      </c>
      <c r="C120">
        <f t="shared" si="2"/>
        <v>2</v>
      </c>
      <c r="D120">
        <f t="shared" si="3"/>
        <v>0</v>
      </c>
    </row>
    <row r="121" spans="1:4" hidden="1" x14ac:dyDescent="0.25">
      <c r="A121">
        <f>IFERROR(HLOOKUP($A$1,'liste CIRCUIT'!$B:$AM,121,0)," ")</f>
        <v>0</v>
      </c>
      <c r="B121">
        <f>IFERROR(HLOOKUP($B$1,'liste CIRCUIT'!$B:$AM,121,0)," ")</f>
        <v>1</v>
      </c>
      <c r="C121">
        <f t="shared" si="2"/>
        <v>1</v>
      </c>
      <c r="D121">
        <f t="shared" si="3"/>
        <v>-1</v>
      </c>
    </row>
    <row r="122" spans="1:4" hidden="1" x14ac:dyDescent="0.25">
      <c r="A122">
        <f>IFERROR(HLOOKUP($A$1,'liste CIRCUIT'!$B:$AM,122,0)," ")</f>
        <v>0</v>
      </c>
      <c r="B122">
        <f>IFERROR(HLOOKUP($B$1,'liste CIRCUIT'!$B:$AM,122,0)," ")</f>
        <v>1</v>
      </c>
      <c r="C122">
        <f t="shared" si="2"/>
        <v>1</v>
      </c>
      <c r="D122">
        <f t="shared" si="3"/>
        <v>-1</v>
      </c>
    </row>
    <row r="123" spans="1:4" hidden="1" x14ac:dyDescent="0.25">
      <c r="A123">
        <f>IFERROR(HLOOKUP($A$1,'liste CIRCUIT'!$B:$AM,123,0)," ")</f>
        <v>0</v>
      </c>
      <c r="B123">
        <f>IFERROR(HLOOKUP($B$1,'liste CIRCUIT'!$B:$AM,123,0)," ")</f>
        <v>1</v>
      </c>
      <c r="C123">
        <f t="shared" si="2"/>
        <v>1</v>
      </c>
      <c r="D123">
        <f t="shared" si="3"/>
        <v>-1</v>
      </c>
    </row>
    <row r="124" spans="1:4" hidden="1" x14ac:dyDescent="0.25">
      <c r="A124">
        <f>IFERROR(HLOOKUP($A$1,'liste CIRCUIT'!$B:$AM,124,0)," ")</f>
        <v>0</v>
      </c>
      <c r="B124">
        <f>IFERROR(HLOOKUP($B$1,'liste CIRCUIT'!$B:$AM,124,0)," ")</f>
        <v>1</v>
      </c>
      <c r="C124">
        <f t="shared" si="2"/>
        <v>1</v>
      </c>
      <c r="D124">
        <f t="shared" si="3"/>
        <v>-1</v>
      </c>
    </row>
    <row r="125" spans="1:4" hidden="1" x14ac:dyDescent="0.25">
      <c r="A125">
        <f>IFERROR(HLOOKUP($A$1,'liste CIRCUIT'!$B:$AM,125,0)," ")</f>
        <v>0</v>
      </c>
      <c r="B125">
        <f>IFERROR(HLOOKUP($B$1,'liste CIRCUIT'!$B:$AM,125,0)," ")</f>
        <v>1</v>
      </c>
      <c r="C125">
        <f t="shared" si="2"/>
        <v>1</v>
      </c>
      <c r="D125">
        <f t="shared" si="3"/>
        <v>-1</v>
      </c>
    </row>
    <row r="126" spans="1:4" hidden="1" x14ac:dyDescent="0.25">
      <c r="A126">
        <f>IFERROR(HLOOKUP($A$1,'liste CIRCUIT'!$B:$AM,126,0)," ")</f>
        <v>0</v>
      </c>
      <c r="B126">
        <f>IFERROR(HLOOKUP($B$1,'liste CIRCUIT'!$B:$AM,126,0)," ")</f>
        <v>1</v>
      </c>
      <c r="C126">
        <f t="shared" si="2"/>
        <v>1</v>
      </c>
      <c r="D126">
        <f t="shared" si="3"/>
        <v>-1</v>
      </c>
    </row>
    <row r="127" spans="1:4" hidden="1" x14ac:dyDescent="0.25">
      <c r="A127">
        <f>IFERROR(HLOOKUP($A$1,'liste CIRCUIT'!$B:$AM,127,0)," ")</f>
        <v>0</v>
      </c>
      <c r="B127">
        <f>IFERROR(HLOOKUP($B$1,'liste CIRCUIT'!$B:$AM,127,0)," ")</f>
        <v>0</v>
      </c>
      <c r="C127">
        <f t="shared" si="2"/>
        <v>0</v>
      </c>
      <c r="D127">
        <f t="shared" si="3"/>
        <v>0</v>
      </c>
    </row>
    <row r="128" spans="1:4" hidden="1" x14ac:dyDescent="0.25">
      <c r="A128">
        <f>IFERROR(HLOOKUP($A$1,'liste CIRCUIT'!$B:$AM,128,0)," ")</f>
        <v>1</v>
      </c>
      <c r="B128">
        <f>IFERROR(HLOOKUP($B$1,'liste CIRCUIT'!$B:$AM,128,0)," ")</f>
        <v>1</v>
      </c>
      <c r="C128">
        <f t="shared" si="2"/>
        <v>2</v>
      </c>
      <c r="D128">
        <f t="shared" si="3"/>
        <v>0</v>
      </c>
    </row>
    <row r="129" spans="1:4" hidden="1" x14ac:dyDescent="0.25">
      <c r="A129">
        <f>IFERROR(HLOOKUP($A$1,'liste CIRCUIT'!$B:$AM,129,0)," ")</f>
        <v>0</v>
      </c>
      <c r="B129">
        <f>IFERROR(HLOOKUP($B$1,'liste CIRCUIT'!$B:$AM,129,0)," ")</f>
        <v>0</v>
      </c>
      <c r="C129">
        <f t="shared" si="2"/>
        <v>0</v>
      </c>
      <c r="D129">
        <f t="shared" si="3"/>
        <v>0</v>
      </c>
    </row>
    <row r="130" spans="1:4" hidden="1" x14ac:dyDescent="0.25">
      <c r="A130">
        <f>IFERROR(HLOOKUP($A$1,'liste CIRCUIT'!$B:$AM,130,0)," ")</f>
        <v>1</v>
      </c>
      <c r="B130">
        <f>IFERROR(HLOOKUP($B$1,'liste CIRCUIT'!$B:$AM,130,0)," ")</f>
        <v>1</v>
      </c>
      <c r="C130">
        <f t="shared" si="2"/>
        <v>2</v>
      </c>
      <c r="D130">
        <f t="shared" si="3"/>
        <v>0</v>
      </c>
    </row>
    <row r="131" spans="1:4" hidden="1" x14ac:dyDescent="0.25">
      <c r="A131">
        <f>IFERROR(HLOOKUP($A$1,'liste CIRCUIT'!$B:$AM,131,0)," ")</f>
        <v>1</v>
      </c>
      <c r="B131">
        <f>IFERROR(HLOOKUP($B$1,'liste CIRCUIT'!$B:$AM,131,0)," ")</f>
        <v>1</v>
      </c>
      <c r="C131">
        <f t="shared" ref="C131:C194" si="4">SUM(A131:B131)</f>
        <v>2</v>
      </c>
      <c r="D131">
        <f t="shared" ref="D131:D194" si="5">A131-B131</f>
        <v>0</v>
      </c>
    </row>
    <row r="132" spans="1:4" hidden="1" x14ac:dyDescent="0.25">
      <c r="A132">
        <f>IFERROR(HLOOKUP($A$1,'liste CIRCUIT'!$B:$AM,132,0)," ")</f>
        <v>1</v>
      </c>
      <c r="B132">
        <f>IFERROR(HLOOKUP($B$1,'liste CIRCUIT'!$B:$AM,132,0)," ")</f>
        <v>1</v>
      </c>
      <c r="C132">
        <f t="shared" si="4"/>
        <v>2</v>
      </c>
      <c r="D132">
        <f t="shared" si="5"/>
        <v>0</v>
      </c>
    </row>
    <row r="133" spans="1:4" hidden="1" x14ac:dyDescent="0.25">
      <c r="A133">
        <f>IFERROR(HLOOKUP($A$1,'liste CIRCUIT'!$B:$AM,133,0)," ")</f>
        <v>1</v>
      </c>
      <c r="B133">
        <f>IFERROR(HLOOKUP($B$1,'liste CIRCUIT'!$B:$AM,133,0)," ")</f>
        <v>1</v>
      </c>
      <c r="C133">
        <f t="shared" si="4"/>
        <v>2</v>
      </c>
      <c r="D133">
        <f t="shared" si="5"/>
        <v>0</v>
      </c>
    </row>
    <row r="134" spans="1:4" hidden="1" x14ac:dyDescent="0.25">
      <c r="A134">
        <f>IFERROR(HLOOKUP($A$1,'liste CIRCUIT'!$B:$AM,134,0)," ")</f>
        <v>0</v>
      </c>
      <c r="B134">
        <f>IFERROR(HLOOKUP($B$1,'liste CIRCUIT'!$B:$AM,134,0)," ")</f>
        <v>0</v>
      </c>
      <c r="C134">
        <f t="shared" si="4"/>
        <v>0</v>
      </c>
      <c r="D134">
        <f t="shared" si="5"/>
        <v>0</v>
      </c>
    </row>
    <row r="135" spans="1:4" hidden="1" x14ac:dyDescent="0.25">
      <c r="A135">
        <f>IFERROR(HLOOKUP($A$1,'liste CIRCUIT'!$B:$AM,135,0)," ")</f>
        <v>0</v>
      </c>
      <c r="B135">
        <f>IFERROR(HLOOKUP($B$1,'liste CIRCUIT'!$B:$AM,135,0)," ")</f>
        <v>0</v>
      </c>
      <c r="C135">
        <f t="shared" si="4"/>
        <v>0</v>
      </c>
      <c r="D135">
        <f t="shared" si="5"/>
        <v>0</v>
      </c>
    </row>
    <row r="136" spans="1:4" hidden="1" x14ac:dyDescent="0.25">
      <c r="A136">
        <f>IFERROR(HLOOKUP($A$1,'liste CIRCUIT'!$B:$AM,136,0)," ")</f>
        <v>0</v>
      </c>
      <c r="B136">
        <f>IFERROR(HLOOKUP($B$1,'liste CIRCUIT'!$B:$AM,136,0)," ")</f>
        <v>0</v>
      </c>
      <c r="C136">
        <f t="shared" si="4"/>
        <v>0</v>
      </c>
      <c r="D136">
        <f t="shared" si="5"/>
        <v>0</v>
      </c>
    </row>
    <row r="137" spans="1:4" hidden="1" x14ac:dyDescent="0.25">
      <c r="A137">
        <f>IFERROR(HLOOKUP($A$1,'liste CIRCUIT'!$B:$AM,137,0)," ")</f>
        <v>0</v>
      </c>
      <c r="B137">
        <f>IFERROR(HLOOKUP($B$1,'liste CIRCUIT'!$B:$AM,137,0)," ")</f>
        <v>0</v>
      </c>
      <c r="C137">
        <f t="shared" si="4"/>
        <v>0</v>
      </c>
      <c r="D137">
        <f t="shared" si="5"/>
        <v>0</v>
      </c>
    </row>
    <row r="138" spans="1:4" hidden="1" x14ac:dyDescent="0.25">
      <c r="A138">
        <f>IFERROR(HLOOKUP($A$1,'liste CIRCUIT'!$B:$AM,138,0)," ")</f>
        <v>0</v>
      </c>
      <c r="B138">
        <f>IFERROR(HLOOKUP($B$1,'liste CIRCUIT'!$B:$AM,138,0)," ")</f>
        <v>0</v>
      </c>
      <c r="C138">
        <f t="shared" si="4"/>
        <v>0</v>
      </c>
      <c r="D138">
        <f t="shared" si="5"/>
        <v>0</v>
      </c>
    </row>
    <row r="139" spans="1:4" hidden="1" x14ac:dyDescent="0.25">
      <c r="A139">
        <f>IFERROR(HLOOKUP($A$1,'liste CIRCUIT'!$B:$AM,139,0)," ")</f>
        <v>1</v>
      </c>
      <c r="B139">
        <f>IFERROR(HLOOKUP($B$1,'liste CIRCUIT'!$B:$AM,139,0)," ")</f>
        <v>1</v>
      </c>
      <c r="C139">
        <f t="shared" si="4"/>
        <v>2</v>
      </c>
      <c r="D139">
        <f t="shared" si="5"/>
        <v>0</v>
      </c>
    </row>
    <row r="140" spans="1:4" hidden="1" x14ac:dyDescent="0.25">
      <c r="A140">
        <f>IFERROR(HLOOKUP($A$1,'liste CIRCUIT'!$B:$AM,140,0)," ")</f>
        <v>1</v>
      </c>
      <c r="B140">
        <f>IFERROR(HLOOKUP($B$1,'liste CIRCUIT'!$B:$AM,140,0)," ")</f>
        <v>1</v>
      </c>
      <c r="C140">
        <f t="shared" si="4"/>
        <v>2</v>
      </c>
      <c r="D140">
        <f t="shared" si="5"/>
        <v>0</v>
      </c>
    </row>
    <row r="141" spans="1:4" hidden="1" x14ac:dyDescent="0.25">
      <c r="A141">
        <f>IFERROR(HLOOKUP($A$1,'liste CIRCUIT'!$B:$AM,141,0)," ")</f>
        <v>1</v>
      </c>
      <c r="B141">
        <f>IFERROR(HLOOKUP($B$1,'liste CIRCUIT'!$B:$AM,141,0)," ")</f>
        <v>1</v>
      </c>
      <c r="C141">
        <f t="shared" si="4"/>
        <v>2</v>
      </c>
      <c r="D141">
        <f t="shared" si="5"/>
        <v>0</v>
      </c>
    </row>
    <row r="142" spans="1:4" hidden="1" x14ac:dyDescent="0.25">
      <c r="A142">
        <f>IFERROR(HLOOKUP($A$1,'liste CIRCUIT'!$B:$AM,142,0)," ")</f>
        <v>0</v>
      </c>
      <c r="B142">
        <f>IFERROR(HLOOKUP($B$1,'liste CIRCUIT'!$B:$AM,142,0)," ")</f>
        <v>0</v>
      </c>
      <c r="C142">
        <f t="shared" si="4"/>
        <v>0</v>
      </c>
      <c r="D142">
        <f t="shared" si="5"/>
        <v>0</v>
      </c>
    </row>
    <row r="143" spans="1:4" hidden="1" x14ac:dyDescent="0.25">
      <c r="A143">
        <f>IFERROR(HLOOKUP($A$1,'liste CIRCUIT'!$B:$AM,143,0)," ")</f>
        <v>0</v>
      </c>
      <c r="B143">
        <f>IFERROR(HLOOKUP($B$1,'liste CIRCUIT'!$B:$AM,143,0)," ")</f>
        <v>0</v>
      </c>
      <c r="C143">
        <f t="shared" si="4"/>
        <v>0</v>
      </c>
      <c r="D143">
        <f t="shared" si="5"/>
        <v>0</v>
      </c>
    </row>
    <row r="144" spans="1:4" hidden="1" x14ac:dyDescent="0.25">
      <c r="A144">
        <f>IFERROR(HLOOKUP($A$1,'liste CIRCUIT'!$B:$AM,144,0)," ")</f>
        <v>1</v>
      </c>
      <c r="B144">
        <f>IFERROR(HLOOKUP($B$1,'liste CIRCUIT'!$B:$AM,144,0)," ")</f>
        <v>0</v>
      </c>
      <c r="C144">
        <f t="shared" si="4"/>
        <v>1</v>
      </c>
      <c r="D144">
        <f t="shared" si="5"/>
        <v>1</v>
      </c>
    </row>
    <row r="145" spans="1:4" hidden="1" x14ac:dyDescent="0.25">
      <c r="A145">
        <f>IFERROR(HLOOKUP($A$1,'liste CIRCUIT'!$B:$AM,145,0)," ")</f>
        <v>0</v>
      </c>
      <c r="B145">
        <f>IFERROR(HLOOKUP($B$1,'liste CIRCUIT'!$B:$AM,145,0)," ")</f>
        <v>1</v>
      </c>
      <c r="C145">
        <f t="shared" si="4"/>
        <v>1</v>
      </c>
      <c r="D145">
        <f t="shared" si="5"/>
        <v>-1</v>
      </c>
    </row>
    <row r="146" spans="1:4" hidden="1" x14ac:dyDescent="0.25">
      <c r="A146">
        <f>IFERROR(HLOOKUP($A$1,'liste CIRCUIT'!$B:$AM,146,0)," ")</f>
        <v>0</v>
      </c>
      <c r="B146">
        <f>IFERROR(HLOOKUP($B$1,'liste CIRCUIT'!$B:$AM,146,0)," ")</f>
        <v>0</v>
      </c>
      <c r="C146">
        <f t="shared" si="4"/>
        <v>0</v>
      </c>
      <c r="D146">
        <f t="shared" si="5"/>
        <v>0</v>
      </c>
    </row>
    <row r="147" spans="1:4" hidden="1" x14ac:dyDescent="0.25">
      <c r="A147">
        <f>IFERROR(HLOOKUP($A$1,'liste CIRCUIT'!$B:$AM,147,0)," ")</f>
        <v>0</v>
      </c>
      <c r="B147">
        <f>IFERROR(HLOOKUP($B$1,'liste CIRCUIT'!$B:$AM,147,0)," ")</f>
        <v>0</v>
      </c>
      <c r="C147">
        <f t="shared" si="4"/>
        <v>0</v>
      </c>
      <c r="D147">
        <f t="shared" si="5"/>
        <v>0</v>
      </c>
    </row>
    <row r="148" spans="1:4" hidden="1" x14ac:dyDescent="0.25">
      <c r="A148">
        <f>IFERROR(HLOOKUP($A$1,'liste CIRCUIT'!$B:$AM,148,0)," ")</f>
        <v>0</v>
      </c>
      <c r="B148">
        <f>IFERROR(HLOOKUP($B$1,'liste CIRCUIT'!$B:$AM,148,0)," ")</f>
        <v>0</v>
      </c>
      <c r="C148">
        <f t="shared" si="4"/>
        <v>0</v>
      </c>
      <c r="D148">
        <f t="shared" si="5"/>
        <v>0</v>
      </c>
    </row>
    <row r="149" spans="1:4" hidden="1" x14ac:dyDescent="0.25">
      <c r="A149">
        <f>IFERROR(HLOOKUP($A$1,'liste CIRCUIT'!$B:$AM,149,0)," ")</f>
        <v>0</v>
      </c>
      <c r="B149">
        <f>IFERROR(HLOOKUP($B$1,'liste CIRCUIT'!$B:$AM,149,0)," ")</f>
        <v>0</v>
      </c>
      <c r="C149">
        <f t="shared" si="4"/>
        <v>0</v>
      </c>
      <c r="D149">
        <f t="shared" si="5"/>
        <v>0</v>
      </c>
    </row>
    <row r="150" spans="1:4" hidden="1" x14ac:dyDescent="0.25">
      <c r="A150">
        <f>IFERROR(HLOOKUP($A$1,'liste CIRCUIT'!$B:$AM,150,0)," ")</f>
        <v>1</v>
      </c>
      <c r="B150">
        <f>IFERROR(HLOOKUP($B$1,'liste CIRCUIT'!$B:$AM,150,0)," ")</f>
        <v>0</v>
      </c>
      <c r="C150">
        <f t="shared" si="4"/>
        <v>1</v>
      </c>
      <c r="D150">
        <f t="shared" si="5"/>
        <v>1</v>
      </c>
    </row>
    <row r="151" spans="1:4" hidden="1" x14ac:dyDescent="0.25">
      <c r="A151">
        <f>IFERROR(HLOOKUP($A$1,'liste CIRCUIT'!$B:$AM,151,0)," ")</f>
        <v>0</v>
      </c>
      <c r="B151">
        <f>IFERROR(HLOOKUP($B$1,'liste CIRCUIT'!$B:$AM,151,0)," ")</f>
        <v>1</v>
      </c>
      <c r="C151">
        <f t="shared" si="4"/>
        <v>1</v>
      </c>
      <c r="D151">
        <f t="shared" si="5"/>
        <v>-1</v>
      </c>
    </row>
    <row r="152" spans="1:4" hidden="1" x14ac:dyDescent="0.25">
      <c r="A152">
        <f>IFERROR(HLOOKUP($A$1,'liste CIRCUIT'!$B:$AM,152,0)," ")</f>
        <v>0</v>
      </c>
      <c r="B152">
        <f>IFERROR(HLOOKUP($B$1,'liste CIRCUIT'!$B:$AM,152,0)," ")</f>
        <v>0</v>
      </c>
      <c r="C152">
        <f t="shared" si="4"/>
        <v>0</v>
      </c>
      <c r="D152">
        <f t="shared" si="5"/>
        <v>0</v>
      </c>
    </row>
    <row r="153" spans="1:4" hidden="1" x14ac:dyDescent="0.25">
      <c r="A153">
        <f>IFERROR(HLOOKUP($A$1,'liste CIRCUIT'!$B:$AM,153,0)," ")</f>
        <v>0</v>
      </c>
      <c r="B153">
        <f>IFERROR(HLOOKUP($B$1,'liste CIRCUIT'!$B:$AM,153,0)," ")</f>
        <v>0</v>
      </c>
      <c r="C153">
        <f t="shared" si="4"/>
        <v>0</v>
      </c>
      <c r="D153">
        <f t="shared" si="5"/>
        <v>0</v>
      </c>
    </row>
    <row r="154" spans="1:4" hidden="1" x14ac:dyDescent="0.25">
      <c r="A154">
        <f>IFERROR(HLOOKUP($A$1,'liste CIRCUIT'!$B:$AM,154,0)," ")</f>
        <v>1</v>
      </c>
      <c r="B154">
        <f>IFERROR(HLOOKUP($B$1,'liste CIRCUIT'!$B:$AM,154,0)," ")</f>
        <v>1</v>
      </c>
      <c r="C154">
        <f t="shared" si="4"/>
        <v>2</v>
      </c>
      <c r="D154">
        <f t="shared" si="5"/>
        <v>0</v>
      </c>
    </row>
    <row r="155" spans="1:4" hidden="1" x14ac:dyDescent="0.25">
      <c r="A155">
        <f>IFERROR(HLOOKUP($A$1,'liste CIRCUIT'!$B:$AM,155,0)," ")</f>
        <v>0</v>
      </c>
      <c r="B155">
        <f>IFERROR(HLOOKUP($B$1,'liste CIRCUIT'!$B:$AM,155,0)," ")</f>
        <v>0</v>
      </c>
      <c r="C155">
        <f t="shared" si="4"/>
        <v>0</v>
      </c>
      <c r="D155">
        <f t="shared" si="5"/>
        <v>0</v>
      </c>
    </row>
    <row r="156" spans="1:4" hidden="1" x14ac:dyDescent="0.25">
      <c r="A156">
        <f>IFERROR(HLOOKUP($A$1,'liste CIRCUIT'!$B:$AM,156,0)," ")</f>
        <v>0</v>
      </c>
      <c r="B156">
        <f>IFERROR(HLOOKUP($B$1,'liste CIRCUIT'!$B:$AM,156,0)," ")</f>
        <v>0</v>
      </c>
      <c r="C156">
        <f t="shared" si="4"/>
        <v>0</v>
      </c>
      <c r="D156">
        <f t="shared" si="5"/>
        <v>0</v>
      </c>
    </row>
    <row r="157" spans="1:4" hidden="1" x14ac:dyDescent="0.25">
      <c r="A157">
        <f>IFERROR(HLOOKUP($A$1,'liste CIRCUIT'!$B:$AM,157,0)," ")</f>
        <v>0</v>
      </c>
      <c r="B157">
        <f>IFERROR(HLOOKUP($B$1,'liste CIRCUIT'!$B:$AM,157,0)," ")</f>
        <v>0</v>
      </c>
      <c r="C157">
        <f t="shared" si="4"/>
        <v>0</v>
      </c>
      <c r="D157">
        <f t="shared" si="5"/>
        <v>0</v>
      </c>
    </row>
    <row r="158" spans="1:4" hidden="1" x14ac:dyDescent="0.25">
      <c r="A158">
        <f>IFERROR(HLOOKUP($A$1,'liste CIRCUIT'!$B:$AM,158,0)," ")</f>
        <v>0</v>
      </c>
      <c r="B158">
        <f>IFERROR(HLOOKUP($B$1,'liste CIRCUIT'!$B:$AM,158,0)," ")</f>
        <v>0</v>
      </c>
      <c r="C158">
        <f t="shared" si="4"/>
        <v>0</v>
      </c>
      <c r="D158">
        <f t="shared" si="5"/>
        <v>0</v>
      </c>
    </row>
    <row r="159" spans="1:4" hidden="1" x14ac:dyDescent="0.25">
      <c r="A159">
        <f>IFERROR(HLOOKUP($A$1,'liste CIRCUIT'!$B:$AM,159,0)," ")</f>
        <v>0</v>
      </c>
      <c r="B159">
        <f>IFERROR(HLOOKUP($B$1,'liste CIRCUIT'!$B:$AM,159,0)," ")</f>
        <v>0</v>
      </c>
      <c r="C159">
        <f t="shared" si="4"/>
        <v>0</v>
      </c>
      <c r="D159">
        <f t="shared" si="5"/>
        <v>0</v>
      </c>
    </row>
    <row r="160" spans="1:4" hidden="1" x14ac:dyDescent="0.25">
      <c r="A160">
        <f>IFERROR(HLOOKUP($A$1,'liste CIRCUIT'!$B:$AM,160,0)," ")</f>
        <v>0</v>
      </c>
      <c r="B160">
        <f>IFERROR(HLOOKUP($B$1,'liste CIRCUIT'!$B:$AM,160,0)," ")</f>
        <v>0</v>
      </c>
      <c r="C160">
        <f t="shared" si="4"/>
        <v>0</v>
      </c>
      <c r="D160">
        <f t="shared" si="5"/>
        <v>0</v>
      </c>
    </row>
    <row r="161" spans="1:4" hidden="1" x14ac:dyDescent="0.25">
      <c r="A161">
        <f>IFERROR(HLOOKUP($A$1,'liste CIRCUIT'!$B:$AM,161,0)," ")</f>
        <v>0</v>
      </c>
      <c r="B161">
        <f>IFERROR(HLOOKUP($B$1,'liste CIRCUIT'!$B:$AM,161,0)," ")</f>
        <v>0</v>
      </c>
      <c r="C161">
        <f t="shared" si="4"/>
        <v>0</v>
      </c>
      <c r="D161">
        <f t="shared" si="5"/>
        <v>0</v>
      </c>
    </row>
    <row r="162" spans="1:4" hidden="1" x14ac:dyDescent="0.25">
      <c r="A162">
        <f>IFERROR(HLOOKUP($A$1,'liste CIRCUIT'!$B:$AM,162,0)," ")</f>
        <v>0</v>
      </c>
      <c r="B162">
        <f>IFERROR(HLOOKUP($B$1,'liste CIRCUIT'!$B:$AM,162,0)," ")</f>
        <v>0</v>
      </c>
      <c r="C162">
        <f t="shared" si="4"/>
        <v>0</v>
      </c>
      <c r="D162">
        <f t="shared" si="5"/>
        <v>0</v>
      </c>
    </row>
    <row r="163" spans="1:4" hidden="1" x14ac:dyDescent="0.25">
      <c r="A163">
        <f>IFERROR(HLOOKUP($A$1,'liste CIRCUIT'!$B:$AM,163,0)," ")</f>
        <v>0</v>
      </c>
      <c r="B163">
        <f>IFERROR(HLOOKUP($B$1,'liste CIRCUIT'!$B:$AM,163,0)," ")</f>
        <v>0</v>
      </c>
      <c r="C163">
        <f t="shared" si="4"/>
        <v>0</v>
      </c>
      <c r="D163">
        <f t="shared" si="5"/>
        <v>0</v>
      </c>
    </row>
    <row r="164" spans="1:4" hidden="1" x14ac:dyDescent="0.25">
      <c r="A164">
        <f>IFERROR(HLOOKUP($A$1,'liste CIRCUIT'!$B:$AM,164,0)," ")</f>
        <v>0</v>
      </c>
      <c r="B164">
        <f>IFERROR(HLOOKUP($B$1,'liste CIRCUIT'!$B:$AM,164,0)," ")</f>
        <v>0</v>
      </c>
      <c r="C164">
        <f t="shared" si="4"/>
        <v>0</v>
      </c>
      <c r="D164">
        <f t="shared" si="5"/>
        <v>0</v>
      </c>
    </row>
    <row r="165" spans="1:4" hidden="1" x14ac:dyDescent="0.25">
      <c r="A165">
        <f>IFERROR(HLOOKUP($A$1,'liste CIRCUIT'!$B:$AM,165,0)," ")</f>
        <v>0</v>
      </c>
      <c r="B165">
        <f>IFERROR(HLOOKUP($B$1,'liste CIRCUIT'!$B:$AM,165,0)," ")</f>
        <v>1</v>
      </c>
      <c r="C165">
        <f t="shared" si="4"/>
        <v>1</v>
      </c>
      <c r="D165">
        <f t="shared" si="5"/>
        <v>-1</v>
      </c>
    </row>
    <row r="166" spans="1:4" hidden="1" x14ac:dyDescent="0.25">
      <c r="A166">
        <f>IFERROR(HLOOKUP($A$1,'liste CIRCUIT'!$B:$AM,166,0)," ")</f>
        <v>0</v>
      </c>
      <c r="B166">
        <f>IFERROR(HLOOKUP($B$1,'liste CIRCUIT'!$B:$AM,166,0)," ")</f>
        <v>1</v>
      </c>
      <c r="C166">
        <f t="shared" si="4"/>
        <v>1</v>
      </c>
      <c r="D166">
        <f t="shared" si="5"/>
        <v>-1</v>
      </c>
    </row>
    <row r="167" spans="1:4" hidden="1" x14ac:dyDescent="0.25">
      <c r="A167">
        <f>IFERROR(HLOOKUP($A$1,'liste CIRCUIT'!$B:$AM,167,0)," ")</f>
        <v>0</v>
      </c>
      <c r="B167">
        <f>IFERROR(HLOOKUP($B$1,'liste CIRCUIT'!$B:$AM,167,0)," ")</f>
        <v>1</v>
      </c>
      <c r="C167">
        <f t="shared" si="4"/>
        <v>1</v>
      </c>
      <c r="D167">
        <f t="shared" si="5"/>
        <v>-1</v>
      </c>
    </row>
    <row r="168" spans="1:4" hidden="1" x14ac:dyDescent="0.25">
      <c r="A168">
        <f>IFERROR(HLOOKUP($A$1,'liste CIRCUIT'!$B:$AM,168,0)," ")</f>
        <v>0</v>
      </c>
      <c r="B168">
        <f>IFERROR(HLOOKUP($B$1,'liste CIRCUIT'!$B:$AM,168,0)," ")</f>
        <v>1</v>
      </c>
      <c r="C168">
        <f t="shared" si="4"/>
        <v>1</v>
      </c>
      <c r="D168">
        <f t="shared" si="5"/>
        <v>-1</v>
      </c>
    </row>
    <row r="169" spans="1:4" hidden="1" x14ac:dyDescent="0.25">
      <c r="A169">
        <f>IFERROR(HLOOKUP($A$1,'liste CIRCUIT'!$B:$AM,169,0)," ")</f>
        <v>0</v>
      </c>
      <c r="B169">
        <f>IFERROR(HLOOKUP($B$1,'liste CIRCUIT'!$B:$AM,169,0)," ")</f>
        <v>0</v>
      </c>
      <c r="C169">
        <f t="shared" si="4"/>
        <v>0</v>
      </c>
      <c r="D169">
        <f t="shared" si="5"/>
        <v>0</v>
      </c>
    </row>
    <row r="170" spans="1:4" hidden="1" x14ac:dyDescent="0.25">
      <c r="A170">
        <f>IFERROR(HLOOKUP($A$1,'liste CIRCUIT'!$B:$AM,170,0)," ")</f>
        <v>0</v>
      </c>
      <c r="B170">
        <f>IFERROR(HLOOKUP($B$1,'liste CIRCUIT'!$B:$AM,170,0)," ")</f>
        <v>0</v>
      </c>
      <c r="C170">
        <f t="shared" si="4"/>
        <v>0</v>
      </c>
      <c r="D170">
        <f t="shared" si="5"/>
        <v>0</v>
      </c>
    </row>
    <row r="171" spans="1:4" hidden="1" x14ac:dyDescent="0.25">
      <c r="A171">
        <f>IFERROR(HLOOKUP($A$1,'liste CIRCUIT'!$B:$AM,171,0)," ")</f>
        <v>0</v>
      </c>
      <c r="B171">
        <f>IFERROR(HLOOKUP($B$1,'liste CIRCUIT'!$B:$AM,171,0)," ")</f>
        <v>0</v>
      </c>
      <c r="C171">
        <f t="shared" si="4"/>
        <v>0</v>
      </c>
      <c r="D171">
        <f t="shared" si="5"/>
        <v>0</v>
      </c>
    </row>
    <row r="172" spans="1:4" hidden="1" x14ac:dyDescent="0.25">
      <c r="A172">
        <f>IFERROR(HLOOKUP($A$1,'liste CIRCUIT'!$B:$AM,172,0)," ")</f>
        <v>0</v>
      </c>
      <c r="B172">
        <f>IFERROR(HLOOKUP($B$1,'liste CIRCUIT'!$B:$AM,172,0)," ")</f>
        <v>0</v>
      </c>
      <c r="C172">
        <f t="shared" si="4"/>
        <v>0</v>
      </c>
      <c r="D172">
        <f t="shared" si="5"/>
        <v>0</v>
      </c>
    </row>
    <row r="173" spans="1:4" hidden="1" x14ac:dyDescent="0.25">
      <c r="A173">
        <f>IFERROR(HLOOKUP($A$1,'liste CIRCUIT'!$B:$AM,173,0)," ")</f>
        <v>0</v>
      </c>
      <c r="B173">
        <f>IFERROR(HLOOKUP($B$1,'liste CIRCUIT'!$B:$AM,173,0)," ")</f>
        <v>0</v>
      </c>
      <c r="C173">
        <f t="shared" si="4"/>
        <v>0</v>
      </c>
      <c r="D173">
        <f t="shared" si="5"/>
        <v>0</v>
      </c>
    </row>
    <row r="174" spans="1:4" hidden="1" x14ac:dyDescent="0.25">
      <c r="A174">
        <f>IFERROR(HLOOKUP($A$1,'liste CIRCUIT'!$B:$AM,174,0)," ")</f>
        <v>0</v>
      </c>
      <c r="B174">
        <f>IFERROR(HLOOKUP($B$1,'liste CIRCUIT'!$B:$AM,174,0)," ")</f>
        <v>0</v>
      </c>
      <c r="C174">
        <f t="shared" si="4"/>
        <v>0</v>
      </c>
      <c r="D174">
        <f t="shared" si="5"/>
        <v>0</v>
      </c>
    </row>
    <row r="175" spans="1:4" hidden="1" x14ac:dyDescent="0.25">
      <c r="A175">
        <f>IFERROR(HLOOKUP($A$1,'liste CIRCUIT'!$B:$AM,175,0)," ")</f>
        <v>0</v>
      </c>
      <c r="B175">
        <f>IFERROR(HLOOKUP($B$1,'liste CIRCUIT'!$B:$AM,175,0)," ")</f>
        <v>0</v>
      </c>
      <c r="C175">
        <f t="shared" si="4"/>
        <v>0</v>
      </c>
      <c r="D175">
        <f t="shared" si="5"/>
        <v>0</v>
      </c>
    </row>
    <row r="176" spans="1:4" hidden="1" x14ac:dyDescent="0.25">
      <c r="A176">
        <f>IFERROR(HLOOKUP($A$1,'liste CIRCUIT'!$B:$AM,176,0)," ")</f>
        <v>0</v>
      </c>
      <c r="B176">
        <f>IFERROR(HLOOKUP($B$1,'liste CIRCUIT'!$B:$AM,176,0)," ")</f>
        <v>0</v>
      </c>
      <c r="C176">
        <f t="shared" si="4"/>
        <v>0</v>
      </c>
      <c r="D176">
        <f t="shared" si="5"/>
        <v>0</v>
      </c>
    </row>
    <row r="177" spans="1:4" hidden="1" x14ac:dyDescent="0.25">
      <c r="A177">
        <f>IFERROR(HLOOKUP($A$1,'liste CIRCUIT'!$B:$AM,177,0)," ")</f>
        <v>0</v>
      </c>
      <c r="B177">
        <f>IFERROR(HLOOKUP($B$1,'liste CIRCUIT'!$B:$AM,177,0)," ")</f>
        <v>0</v>
      </c>
      <c r="C177">
        <f t="shared" si="4"/>
        <v>0</v>
      </c>
      <c r="D177">
        <f t="shared" si="5"/>
        <v>0</v>
      </c>
    </row>
    <row r="178" spans="1:4" hidden="1" x14ac:dyDescent="0.25">
      <c r="A178">
        <f>IFERROR(HLOOKUP($A$1,'liste CIRCUIT'!$B:$AM,178,0)," ")</f>
        <v>0</v>
      </c>
      <c r="B178">
        <f>IFERROR(HLOOKUP($B$1,'liste CIRCUIT'!$B:$AM,178,0)," ")</f>
        <v>0</v>
      </c>
      <c r="C178">
        <f t="shared" si="4"/>
        <v>0</v>
      </c>
      <c r="D178">
        <f t="shared" si="5"/>
        <v>0</v>
      </c>
    </row>
    <row r="179" spans="1:4" hidden="1" x14ac:dyDescent="0.25">
      <c r="A179">
        <f>IFERROR(HLOOKUP($A$1,'liste CIRCUIT'!$B:$AM,179,0)," ")</f>
        <v>0</v>
      </c>
      <c r="B179">
        <f>IFERROR(HLOOKUP($B$1,'liste CIRCUIT'!$B:$AM,179,0)," ")</f>
        <v>0</v>
      </c>
      <c r="C179">
        <f t="shared" si="4"/>
        <v>0</v>
      </c>
      <c r="D179">
        <f t="shared" si="5"/>
        <v>0</v>
      </c>
    </row>
    <row r="180" spans="1:4" hidden="1" x14ac:dyDescent="0.25">
      <c r="A180">
        <f>IFERROR(HLOOKUP($A$1,'liste CIRCUIT'!$B:$AM,180,0)," ")</f>
        <v>0</v>
      </c>
      <c r="B180">
        <f>IFERROR(HLOOKUP($B$1,'liste CIRCUIT'!$B:$AM,180,0)," ")</f>
        <v>0</v>
      </c>
      <c r="C180">
        <f t="shared" si="4"/>
        <v>0</v>
      </c>
      <c r="D180">
        <f t="shared" si="5"/>
        <v>0</v>
      </c>
    </row>
    <row r="181" spans="1:4" hidden="1" x14ac:dyDescent="0.25">
      <c r="A181">
        <f>IFERROR(HLOOKUP($A$1,'liste CIRCUIT'!$B:$AM,181,0)," ")</f>
        <v>0</v>
      </c>
      <c r="B181">
        <f>IFERROR(HLOOKUP($B$1,'liste CIRCUIT'!$B:$AM,181,0)," ")</f>
        <v>0</v>
      </c>
      <c r="C181">
        <f t="shared" si="4"/>
        <v>0</v>
      </c>
      <c r="D181">
        <f t="shared" si="5"/>
        <v>0</v>
      </c>
    </row>
    <row r="182" spans="1:4" hidden="1" x14ac:dyDescent="0.25">
      <c r="A182">
        <f>IFERROR(HLOOKUP($A$1,'liste CIRCUIT'!$B:$AM,182,0)," ")</f>
        <v>1</v>
      </c>
      <c r="B182">
        <f>IFERROR(HLOOKUP($B$1,'liste CIRCUIT'!$B:$AM,182,0)," ")</f>
        <v>1</v>
      </c>
      <c r="C182">
        <f t="shared" si="4"/>
        <v>2</v>
      </c>
      <c r="D182">
        <f t="shared" si="5"/>
        <v>0</v>
      </c>
    </row>
    <row r="183" spans="1:4" hidden="1" x14ac:dyDescent="0.25">
      <c r="A183">
        <f>IFERROR(HLOOKUP($A$1,'liste CIRCUIT'!$B:$AM,183,0)," ")</f>
        <v>0</v>
      </c>
      <c r="B183">
        <f>IFERROR(HLOOKUP($B$1,'liste CIRCUIT'!$B:$AM,183,0)," ")</f>
        <v>0</v>
      </c>
      <c r="C183">
        <f t="shared" si="4"/>
        <v>0</v>
      </c>
      <c r="D183">
        <f t="shared" si="5"/>
        <v>0</v>
      </c>
    </row>
    <row r="184" spans="1:4" hidden="1" x14ac:dyDescent="0.25">
      <c r="A184">
        <f>IFERROR(HLOOKUP($A$1,'liste CIRCUIT'!$B:$AM,184,0)," ")</f>
        <v>0</v>
      </c>
      <c r="B184">
        <f>IFERROR(HLOOKUP($B$1,'liste CIRCUIT'!$B:$AM,184,0)," ")</f>
        <v>0</v>
      </c>
      <c r="C184">
        <f t="shared" si="4"/>
        <v>0</v>
      </c>
      <c r="D184">
        <f t="shared" si="5"/>
        <v>0</v>
      </c>
    </row>
    <row r="185" spans="1:4" hidden="1" x14ac:dyDescent="0.25">
      <c r="A185">
        <f>IFERROR(HLOOKUP($A$1,'liste CIRCUIT'!$B:$AM,185,0)," ")</f>
        <v>1</v>
      </c>
      <c r="B185">
        <f>IFERROR(HLOOKUP($B$1,'liste CIRCUIT'!$B:$AM,185,0)," ")</f>
        <v>0</v>
      </c>
      <c r="C185">
        <f t="shared" si="4"/>
        <v>1</v>
      </c>
      <c r="D185">
        <f t="shared" si="5"/>
        <v>1</v>
      </c>
    </row>
    <row r="186" spans="1:4" hidden="1" x14ac:dyDescent="0.25">
      <c r="A186">
        <f>IFERROR(HLOOKUP($A$1,'liste CIRCUIT'!$B:$AM,186,0)," ")</f>
        <v>0</v>
      </c>
      <c r="B186">
        <f>IFERROR(HLOOKUP($B$1,'liste CIRCUIT'!$B:$AM,186,0)," ")</f>
        <v>1</v>
      </c>
      <c r="C186">
        <f t="shared" si="4"/>
        <v>1</v>
      </c>
      <c r="D186">
        <f t="shared" si="5"/>
        <v>-1</v>
      </c>
    </row>
    <row r="187" spans="1:4" hidden="1" x14ac:dyDescent="0.25">
      <c r="A187">
        <f>IFERROR(HLOOKUP($A$1,'liste CIRCUIT'!$B:$AM,187,0)," ")</f>
        <v>0</v>
      </c>
      <c r="B187">
        <f>IFERROR(HLOOKUP($B$1,'liste CIRCUIT'!$B:$AM,187,0)," ")</f>
        <v>0</v>
      </c>
      <c r="C187">
        <f t="shared" si="4"/>
        <v>0</v>
      </c>
      <c r="D187">
        <f t="shared" si="5"/>
        <v>0</v>
      </c>
    </row>
    <row r="188" spans="1:4" hidden="1" x14ac:dyDescent="0.25">
      <c r="A188">
        <f>IFERROR(HLOOKUP($A$1,'liste CIRCUIT'!$B:$AM,188,0)," ")</f>
        <v>0</v>
      </c>
      <c r="B188">
        <f>IFERROR(HLOOKUP($B$1,'liste CIRCUIT'!$B:$AM,188,0)," ")</f>
        <v>0</v>
      </c>
      <c r="C188">
        <f t="shared" si="4"/>
        <v>0</v>
      </c>
      <c r="D188">
        <f t="shared" si="5"/>
        <v>0</v>
      </c>
    </row>
    <row r="189" spans="1:4" hidden="1" x14ac:dyDescent="0.25">
      <c r="A189">
        <f>IFERROR(HLOOKUP($A$1,'liste CIRCUIT'!$B:$AM,189,0)," ")</f>
        <v>1</v>
      </c>
      <c r="B189">
        <f>IFERROR(HLOOKUP($B$1,'liste CIRCUIT'!$B:$AM,189,0)," ")</f>
        <v>1</v>
      </c>
      <c r="C189">
        <f t="shared" si="4"/>
        <v>2</v>
      </c>
      <c r="D189">
        <f t="shared" si="5"/>
        <v>0</v>
      </c>
    </row>
    <row r="190" spans="1:4" hidden="1" x14ac:dyDescent="0.25">
      <c r="A190">
        <f>IFERROR(HLOOKUP($A$1,'liste CIRCUIT'!$B:$AM,190,0)," ")</f>
        <v>1</v>
      </c>
      <c r="B190">
        <f>IFERROR(HLOOKUP($B$1,'liste CIRCUIT'!$B:$AM,190,0)," ")</f>
        <v>1</v>
      </c>
      <c r="C190">
        <f t="shared" si="4"/>
        <v>2</v>
      </c>
      <c r="D190">
        <f t="shared" si="5"/>
        <v>0</v>
      </c>
    </row>
    <row r="191" spans="1:4" hidden="1" x14ac:dyDescent="0.25">
      <c r="A191">
        <f>IFERROR(HLOOKUP($A$1,'liste CIRCUIT'!$B:$AM,191,0)," ")</f>
        <v>1</v>
      </c>
      <c r="B191">
        <f>IFERROR(HLOOKUP($B$1,'liste CIRCUIT'!$B:$AM,191,0)," ")</f>
        <v>1</v>
      </c>
      <c r="C191">
        <f t="shared" si="4"/>
        <v>2</v>
      </c>
      <c r="D191">
        <f t="shared" si="5"/>
        <v>0</v>
      </c>
    </row>
    <row r="192" spans="1:4" hidden="1" x14ac:dyDescent="0.25">
      <c r="A192">
        <f>IFERROR(HLOOKUP($A$1,'liste CIRCUIT'!$B:$AM,192,0)," ")</f>
        <v>1</v>
      </c>
      <c r="B192">
        <f>IFERROR(HLOOKUP($B$1,'liste CIRCUIT'!$B:$AM,192,0)," ")</f>
        <v>1</v>
      </c>
      <c r="C192">
        <f t="shared" si="4"/>
        <v>2</v>
      </c>
      <c r="D192">
        <f t="shared" si="5"/>
        <v>0</v>
      </c>
    </row>
    <row r="193" spans="1:4" hidden="1" x14ac:dyDescent="0.25">
      <c r="A193">
        <f>IFERROR(HLOOKUP($A$1,'liste CIRCUIT'!$B:$AM,193,0)," ")</f>
        <v>1</v>
      </c>
      <c r="B193">
        <f>IFERROR(HLOOKUP($B$1,'liste CIRCUIT'!$B:$AM,193,0)," ")</f>
        <v>1</v>
      </c>
      <c r="C193">
        <f t="shared" si="4"/>
        <v>2</v>
      </c>
      <c r="D193">
        <f t="shared" si="5"/>
        <v>0</v>
      </c>
    </row>
    <row r="194" spans="1:4" hidden="1" x14ac:dyDescent="0.25">
      <c r="A194">
        <f>IFERROR(HLOOKUP($A$1,'liste CIRCUIT'!$B:$AM,194,0)," ")</f>
        <v>0</v>
      </c>
      <c r="B194">
        <f>IFERROR(HLOOKUP($B$1,'liste CIRCUIT'!$B:$AM,194,0)," ")</f>
        <v>1</v>
      </c>
      <c r="C194">
        <f t="shared" si="4"/>
        <v>1</v>
      </c>
      <c r="D194">
        <f t="shared" si="5"/>
        <v>-1</v>
      </c>
    </row>
    <row r="195" spans="1:4" hidden="1" x14ac:dyDescent="0.25">
      <c r="A195">
        <f>IFERROR(HLOOKUP($A$1,'liste CIRCUIT'!$B:$AM,195,0)," ")</f>
        <v>0</v>
      </c>
      <c r="B195">
        <f>IFERROR(HLOOKUP($B$1,'liste CIRCUIT'!$B:$AM,195,0)," ")</f>
        <v>1</v>
      </c>
      <c r="C195">
        <f t="shared" ref="C195:C258" si="6">SUM(A195:B195)</f>
        <v>1</v>
      </c>
      <c r="D195">
        <f t="shared" ref="D195:D258" si="7">A195-B195</f>
        <v>-1</v>
      </c>
    </row>
    <row r="196" spans="1:4" hidden="1" x14ac:dyDescent="0.25">
      <c r="A196">
        <f>IFERROR(HLOOKUP($A$1,'liste CIRCUIT'!$B:$AM,196,0)," ")</f>
        <v>1</v>
      </c>
      <c r="B196">
        <f>IFERROR(HLOOKUP($B$1,'liste CIRCUIT'!$B:$AM,196,0)," ")</f>
        <v>1</v>
      </c>
      <c r="C196">
        <f t="shared" si="6"/>
        <v>2</v>
      </c>
      <c r="D196">
        <f t="shared" si="7"/>
        <v>0</v>
      </c>
    </row>
    <row r="197" spans="1:4" hidden="1" x14ac:dyDescent="0.25">
      <c r="A197">
        <f>IFERROR(HLOOKUP($A$1,'liste CIRCUIT'!$B:$AM,197,0)," ")</f>
        <v>1</v>
      </c>
      <c r="B197">
        <f>IFERROR(HLOOKUP($B$1,'liste CIRCUIT'!$B:$AM,197,0)," ")</f>
        <v>1</v>
      </c>
      <c r="C197">
        <f t="shared" si="6"/>
        <v>2</v>
      </c>
      <c r="D197">
        <f t="shared" si="7"/>
        <v>0</v>
      </c>
    </row>
    <row r="198" spans="1:4" hidden="1" x14ac:dyDescent="0.25">
      <c r="A198">
        <f>IFERROR(HLOOKUP($A$1,'liste CIRCUIT'!$B:$AM,198,0)," ")</f>
        <v>1</v>
      </c>
      <c r="B198">
        <f>IFERROR(HLOOKUP($B$1,'liste CIRCUIT'!$B:$AM,198,0)," ")</f>
        <v>1</v>
      </c>
      <c r="C198">
        <f t="shared" si="6"/>
        <v>2</v>
      </c>
      <c r="D198">
        <f t="shared" si="7"/>
        <v>0</v>
      </c>
    </row>
    <row r="199" spans="1:4" hidden="1" x14ac:dyDescent="0.25">
      <c r="A199">
        <f>IFERROR(HLOOKUP($A$1,'liste CIRCUIT'!$B:$AM,199,0)," ")</f>
        <v>1</v>
      </c>
      <c r="B199">
        <f>IFERROR(HLOOKUP($B$1,'liste CIRCUIT'!$B:$AM,199,0)," ")</f>
        <v>1</v>
      </c>
      <c r="C199">
        <f t="shared" si="6"/>
        <v>2</v>
      </c>
      <c r="D199">
        <f t="shared" si="7"/>
        <v>0</v>
      </c>
    </row>
    <row r="200" spans="1:4" hidden="1" x14ac:dyDescent="0.25">
      <c r="A200">
        <f>IFERROR(HLOOKUP($A$1,'liste CIRCUIT'!$B:$AM,200,0)," ")</f>
        <v>1</v>
      </c>
      <c r="B200">
        <f>IFERROR(HLOOKUP($B$1,'liste CIRCUIT'!$B:$AM,200,0)," ")</f>
        <v>1</v>
      </c>
      <c r="C200">
        <f t="shared" si="6"/>
        <v>2</v>
      </c>
      <c r="D200">
        <f t="shared" si="7"/>
        <v>0</v>
      </c>
    </row>
    <row r="201" spans="1:4" hidden="1" x14ac:dyDescent="0.25">
      <c r="A201">
        <f>IFERROR(HLOOKUP($A$1,'liste CIRCUIT'!$B:$AM,201,0)," ")</f>
        <v>0</v>
      </c>
      <c r="B201">
        <f>IFERROR(HLOOKUP($B$1,'liste CIRCUIT'!$B:$AM,201,0)," ")</f>
        <v>0</v>
      </c>
      <c r="C201">
        <f t="shared" si="6"/>
        <v>0</v>
      </c>
      <c r="D201">
        <f t="shared" si="7"/>
        <v>0</v>
      </c>
    </row>
    <row r="202" spans="1:4" hidden="1" x14ac:dyDescent="0.25">
      <c r="A202">
        <f>IFERROR(HLOOKUP($A$1,'liste CIRCUIT'!$B:$AM,202,0)," ")</f>
        <v>0</v>
      </c>
      <c r="B202">
        <f>IFERROR(HLOOKUP($B$1,'liste CIRCUIT'!$B:$AM,202,0)," ")</f>
        <v>0</v>
      </c>
      <c r="C202">
        <f t="shared" si="6"/>
        <v>0</v>
      </c>
      <c r="D202">
        <f t="shared" si="7"/>
        <v>0</v>
      </c>
    </row>
    <row r="203" spans="1:4" hidden="1" x14ac:dyDescent="0.25">
      <c r="A203">
        <f>IFERROR(HLOOKUP($A$1,'liste CIRCUIT'!$B:$AM,203,0)," ")</f>
        <v>1</v>
      </c>
      <c r="B203">
        <f>IFERROR(HLOOKUP($B$1,'liste CIRCUIT'!$B:$AM,203,0)," ")</f>
        <v>0</v>
      </c>
      <c r="C203">
        <f t="shared" si="6"/>
        <v>1</v>
      </c>
      <c r="D203">
        <f t="shared" si="7"/>
        <v>1</v>
      </c>
    </row>
    <row r="204" spans="1:4" hidden="1" x14ac:dyDescent="0.25">
      <c r="A204">
        <f>IFERROR(HLOOKUP($A$1,'liste CIRCUIT'!$B:$AM,204,0)," ")</f>
        <v>0</v>
      </c>
      <c r="B204">
        <f>IFERROR(HLOOKUP($B$1,'liste CIRCUIT'!$B:$AM,204,0)," ")</f>
        <v>1</v>
      </c>
      <c r="C204">
        <f t="shared" si="6"/>
        <v>1</v>
      </c>
      <c r="D204">
        <f t="shared" si="7"/>
        <v>-1</v>
      </c>
    </row>
    <row r="205" spans="1:4" hidden="1" x14ac:dyDescent="0.25">
      <c r="A205">
        <f>IFERROR(HLOOKUP($A$1,'liste CIRCUIT'!$B:$AM,205,0)," ")</f>
        <v>0</v>
      </c>
      <c r="B205">
        <f>IFERROR(HLOOKUP($B$1,'liste CIRCUIT'!$B:$AM,205,0)," ")</f>
        <v>0</v>
      </c>
      <c r="C205">
        <f t="shared" si="6"/>
        <v>0</v>
      </c>
      <c r="D205">
        <f t="shared" si="7"/>
        <v>0</v>
      </c>
    </row>
    <row r="206" spans="1:4" hidden="1" x14ac:dyDescent="0.25">
      <c r="A206">
        <f>IFERROR(HLOOKUP($A$1,'liste CIRCUIT'!$B:$AM,206,0)," ")</f>
        <v>0</v>
      </c>
      <c r="B206">
        <f>IFERROR(HLOOKUP($B$1,'liste CIRCUIT'!$B:$AM,206,0)," ")</f>
        <v>0</v>
      </c>
      <c r="C206">
        <f t="shared" si="6"/>
        <v>0</v>
      </c>
      <c r="D206">
        <f t="shared" si="7"/>
        <v>0</v>
      </c>
    </row>
    <row r="207" spans="1:4" hidden="1" x14ac:dyDescent="0.25">
      <c r="A207">
        <f>IFERROR(HLOOKUP($A$1,'liste CIRCUIT'!$B:$AM,207,0)," ")</f>
        <v>0</v>
      </c>
      <c r="B207">
        <f>IFERROR(HLOOKUP($B$1,'liste CIRCUIT'!$B:$AM,207,0)," ")</f>
        <v>0</v>
      </c>
      <c r="C207">
        <f t="shared" si="6"/>
        <v>0</v>
      </c>
      <c r="D207">
        <f t="shared" si="7"/>
        <v>0</v>
      </c>
    </row>
    <row r="208" spans="1:4" hidden="1" x14ac:dyDescent="0.25">
      <c r="A208">
        <f>IFERROR(HLOOKUP($A$1,'liste CIRCUIT'!$B:$AM,208,0)," ")</f>
        <v>0</v>
      </c>
      <c r="B208">
        <f>IFERROR(HLOOKUP($B$1,'liste CIRCUIT'!$B:$AM,208,0)," ")</f>
        <v>0</v>
      </c>
      <c r="C208">
        <f t="shared" si="6"/>
        <v>0</v>
      </c>
      <c r="D208">
        <f t="shared" si="7"/>
        <v>0</v>
      </c>
    </row>
    <row r="209" spans="1:4" hidden="1" x14ac:dyDescent="0.25">
      <c r="A209">
        <f>IFERROR(HLOOKUP($A$1,'liste CIRCUIT'!$B:$AM,209,0)," ")</f>
        <v>1</v>
      </c>
      <c r="B209">
        <f>IFERROR(HLOOKUP($B$1,'liste CIRCUIT'!$B:$AM,209,0)," ")</f>
        <v>0</v>
      </c>
      <c r="C209">
        <f t="shared" si="6"/>
        <v>1</v>
      </c>
      <c r="D209">
        <f t="shared" si="7"/>
        <v>1</v>
      </c>
    </row>
    <row r="210" spans="1:4" hidden="1" x14ac:dyDescent="0.25">
      <c r="A210">
        <f>IFERROR(HLOOKUP($A$1,'liste CIRCUIT'!$B:$AM,210,0)," ")</f>
        <v>0</v>
      </c>
      <c r="B210">
        <f>IFERROR(HLOOKUP($B$1,'liste CIRCUIT'!$B:$AM,210,0)," ")</f>
        <v>1</v>
      </c>
      <c r="C210">
        <f t="shared" si="6"/>
        <v>1</v>
      </c>
      <c r="D210">
        <f t="shared" si="7"/>
        <v>-1</v>
      </c>
    </row>
    <row r="211" spans="1:4" hidden="1" x14ac:dyDescent="0.25">
      <c r="A211">
        <f>IFERROR(HLOOKUP($A$1,'liste CIRCUIT'!$B:$AM,211,0)," ")</f>
        <v>0</v>
      </c>
      <c r="B211">
        <f>IFERROR(HLOOKUP($B$1,'liste CIRCUIT'!$B:$AM,211,0)," ")</f>
        <v>0</v>
      </c>
      <c r="C211">
        <f t="shared" si="6"/>
        <v>0</v>
      </c>
      <c r="D211">
        <f t="shared" si="7"/>
        <v>0</v>
      </c>
    </row>
    <row r="212" spans="1:4" hidden="1" x14ac:dyDescent="0.25">
      <c r="A212">
        <f>IFERROR(HLOOKUP($A$1,'liste CIRCUIT'!$B:$AM,212,0)," ")</f>
        <v>0</v>
      </c>
      <c r="B212">
        <f>IFERROR(HLOOKUP($B$1,'liste CIRCUIT'!$B:$AM,212,0)," ")</f>
        <v>0</v>
      </c>
      <c r="C212">
        <f t="shared" si="6"/>
        <v>0</v>
      </c>
      <c r="D212">
        <f t="shared" si="7"/>
        <v>0</v>
      </c>
    </row>
    <row r="213" spans="1:4" hidden="1" x14ac:dyDescent="0.25">
      <c r="A213">
        <f>IFERROR(HLOOKUP($A$1,'liste CIRCUIT'!$B:$AM,213,0)," ")</f>
        <v>1</v>
      </c>
      <c r="B213">
        <f>IFERROR(HLOOKUP($B$1,'liste CIRCUIT'!$B:$AM,213,0)," ")</f>
        <v>1</v>
      </c>
      <c r="C213">
        <f t="shared" si="6"/>
        <v>2</v>
      </c>
      <c r="D213">
        <f t="shared" si="7"/>
        <v>0</v>
      </c>
    </row>
    <row r="214" spans="1:4" hidden="1" x14ac:dyDescent="0.25">
      <c r="A214">
        <f>IFERROR(HLOOKUP($A$1,'liste CIRCUIT'!$B:$AM,214,0)," ")</f>
        <v>1</v>
      </c>
      <c r="B214">
        <f>IFERROR(HLOOKUP($B$1,'liste CIRCUIT'!$B:$AM,214,0)," ")</f>
        <v>1</v>
      </c>
      <c r="C214">
        <f t="shared" si="6"/>
        <v>2</v>
      </c>
      <c r="D214">
        <f t="shared" si="7"/>
        <v>0</v>
      </c>
    </row>
    <row r="215" spans="1:4" hidden="1" x14ac:dyDescent="0.25">
      <c r="A215">
        <f>IFERROR(HLOOKUP($A$1,'liste CIRCUIT'!$B:$AM,215,0)," ")</f>
        <v>1</v>
      </c>
      <c r="B215">
        <f>IFERROR(HLOOKUP($B$1,'liste CIRCUIT'!$B:$AM,215,0)," ")</f>
        <v>1</v>
      </c>
      <c r="C215">
        <f t="shared" si="6"/>
        <v>2</v>
      </c>
      <c r="D215">
        <f t="shared" si="7"/>
        <v>0</v>
      </c>
    </row>
    <row r="216" spans="1:4" hidden="1" x14ac:dyDescent="0.25">
      <c r="A216">
        <f>IFERROR(HLOOKUP($A$1,'liste CIRCUIT'!$B:$AM,216,0)," ")</f>
        <v>1</v>
      </c>
      <c r="B216">
        <f>IFERROR(HLOOKUP($B$1,'liste CIRCUIT'!$B:$AM,216,0)," ")</f>
        <v>1</v>
      </c>
      <c r="C216">
        <f t="shared" si="6"/>
        <v>2</v>
      </c>
      <c r="D216">
        <f t="shared" si="7"/>
        <v>0</v>
      </c>
    </row>
    <row r="217" spans="1:4" hidden="1" x14ac:dyDescent="0.25">
      <c r="A217">
        <f>IFERROR(HLOOKUP($A$1,'liste CIRCUIT'!$B:$AM,217,0)," ")</f>
        <v>1</v>
      </c>
      <c r="B217">
        <f>IFERROR(HLOOKUP($B$1,'liste CIRCUIT'!$B:$AM,217,0)," ")</f>
        <v>1</v>
      </c>
      <c r="C217">
        <f t="shared" si="6"/>
        <v>2</v>
      </c>
      <c r="D217">
        <f t="shared" si="7"/>
        <v>0</v>
      </c>
    </row>
    <row r="218" spans="1:4" hidden="1" x14ac:dyDescent="0.25">
      <c r="A218">
        <f>IFERROR(HLOOKUP($A$1,'liste CIRCUIT'!$B:$AM,218,0)," ")</f>
        <v>1</v>
      </c>
      <c r="B218">
        <f>IFERROR(HLOOKUP($B$1,'liste CIRCUIT'!$B:$AM,218,0)," ")</f>
        <v>1</v>
      </c>
      <c r="C218">
        <f t="shared" si="6"/>
        <v>2</v>
      </c>
      <c r="D218">
        <f t="shared" si="7"/>
        <v>0</v>
      </c>
    </row>
    <row r="219" spans="1:4" hidden="1" x14ac:dyDescent="0.25">
      <c r="A219">
        <f>IFERROR(HLOOKUP($A$1,'liste CIRCUIT'!$B:$AM,219,0)," ")</f>
        <v>1</v>
      </c>
      <c r="B219">
        <f>IFERROR(HLOOKUP($B$1,'liste CIRCUIT'!$B:$AM,219,0)," ")</f>
        <v>1</v>
      </c>
      <c r="C219">
        <f t="shared" si="6"/>
        <v>2</v>
      </c>
      <c r="D219">
        <f t="shared" si="7"/>
        <v>0</v>
      </c>
    </row>
    <row r="220" spans="1:4" hidden="1" x14ac:dyDescent="0.25">
      <c r="A220">
        <f>IFERROR(HLOOKUP($A$1,'liste CIRCUIT'!$B:$AM,220,0)," ")</f>
        <v>1</v>
      </c>
      <c r="B220">
        <f>IFERROR(HLOOKUP($B$1,'liste CIRCUIT'!$B:$AM,220,0)," ")</f>
        <v>1</v>
      </c>
      <c r="C220">
        <f t="shared" si="6"/>
        <v>2</v>
      </c>
      <c r="D220">
        <f t="shared" si="7"/>
        <v>0</v>
      </c>
    </row>
    <row r="221" spans="1:4" hidden="1" x14ac:dyDescent="0.25">
      <c r="A221">
        <f>IFERROR(HLOOKUP($A$1,'liste CIRCUIT'!$B:$AM,221,0)," ")</f>
        <v>1</v>
      </c>
      <c r="B221">
        <f>IFERROR(HLOOKUP($B$1,'liste CIRCUIT'!$B:$AM,221,0)," ")</f>
        <v>1</v>
      </c>
      <c r="C221">
        <f t="shared" si="6"/>
        <v>2</v>
      </c>
      <c r="D221">
        <f t="shared" si="7"/>
        <v>0</v>
      </c>
    </row>
    <row r="222" spans="1:4" hidden="1" x14ac:dyDescent="0.25">
      <c r="A222">
        <f>IFERROR(HLOOKUP($A$1,'liste CIRCUIT'!$B:$AM,222,0)," ")</f>
        <v>1</v>
      </c>
      <c r="B222">
        <f>IFERROR(HLOOKUP($B$1,'liste CIRCUIT'!$B:$AM,222,0)," ")</f>
        <v>1</v>
      </c>
      <c r="C222">
        <f t="shared" si="6"/>
        <v>2</v>
      </c>
      <c r="D222">
        <f t="shared" si="7"/>
        <v>0</v>
      </c>
    </row>
    <row r="223" spans="1:4" hidden="1" x14ac:dyDescent="0.25">
      <c r="A223">
        <f>IFERROR(HLOOKUP($A$1,'liste CIRCUIT'!$B:$AM,223,0)," ")</f>
        <v>1</v>
      </c>
      <c r="B223">
        <f>IFERROR(HLOOKUP($B$1,'liste CIRCUIT'!$B:$AM,223,0)," ")</f>
        <v>1</v>
      </c>
      <c r="C223">
        <f t="shared" si="6"/>
        <v>2</v>
      </c>
      <c r="D223">
        <f t="shared" si="7"/>
        <v>0</v>
      </c>
    </row>
    <row r="224" spans="1:4" hidden="1" x14ac:dyDescent="0.25">
      <c r="A224">
        <f>IFERROR(HLOOKUP($A$1,'liste CIRCUIT'!$B:$AM,224,0)," ")</f>
        <v>1</v>
      </c>
      <c r="B224">
        <f>IFERROR(HLOOKUP($B$1,'liste CIRCUIT'!$B:$AM,224,0)," ")</f>
        <v>1</v>
      </c>
      <c r="C224">
        <f t="shared" si="6"/>
        <v>2</v>
      </c>
      <c r="D224">
        <f t="shared" si="7"/>
        <v>0</v>
      </c>
    </row>
    <row r="225" spans="1:4" hidden="1" x14ac:dyDescent="0.25">
      <c r="A225">
        <f>IFERROR(HLOOKUP($A$1,'liste CIRCUIT'!$B:$AM,225,0)," ")</f>
        <v>1</v>
      </c>
      <c r="B225">
        <f>IFERROR(HLOOKUP($B$1,'liste CIRCUIT'!$B:$AM,225,0)," ")</f>
        <v>1</v>
      </c>
      <c r="C225">
        <f t="shared" si="6"/>
        <v>2</v>
      </c>
      <c r="D225">
        <f t="shared" si="7"/>
        <v>0</v>
      </c>
    </row>
    <row r="226" spans="1:4" hidden="1" x14ac:dyDescent="0.25">
      <c r="A226">
        <f>IFERROR(HLOOKUP($A$1,'liste CIRCUIT'!$B:$AM,226,0)," ")</f>
        <v>1</v>
      </c>
      <c r="B226">
        <f>IFERROR(HLOOKUP($B$1,'liste CIRCUIT'!$B:$AM,226,0)," ")</f>
        <v>1</v>
      </c>
      <c r="C226">
        <f t="shared" si="6"/>
        <v>2</v>
      </c>
      <c r="D226">
        <f t="shared" si="7"/>
        <v>0</v>
      </c>
    </row>
    <row r="227" spans="1:4" hidden="1" x14ac:dyDescent="0.25">
      <c r="A227">
        <f>IFERROR(HLOOKUP($A$1,'liste CIRCUIT'!$B:$AM,227,0)," ")</f>
        <v>1</v>
      </c>
      <c r="B227">
        <f>IFERROR(HLOOKUP($B$1,'liste CIRCUIT'!$B:$AM,227,0)," ")</f>
        <v>1</v>
      </c>
      <c r="C227">
        <f t="shared" si="6"/>
        <v>2</v>
      </c>
      <c r="D227">
        <f t="shared" si="7"/>
        <v>0</v>
      </c>
    </row>
    <row r="228" spans="1:4" hidden="1" x14ac:dyDescent="0.25">
      <c r="A228">
        <f>IFERROR(HLOOKUP($A$1,'liste CIRCUIT'!$B:$AM,228,0)," ")</f>
        <v>1</v>
      </c>
      <c r="B228">
        <f>IFERROR(HLOOKUP($B$1,'liste CIRCUIT'!$B:$AM,228,0)," ")</f>
        <v>1</v>
      </c>
      <c r="C228">
        <f t="shared" si="6"/>
        <v>2</v>
      </c>
      <c r="D228">
        <f t="shared" si="7"/>
        <v>0</v>
      </c>
    </row>
    <row r="229" spans="1:4" hidden="1" x14ac:dyDescent="0.25">
      <c r="A229">
        <f>IFERROR(HLOOKUP($A$1,'liste CIRCUIT'!$B:$AM,229,0)," ")</f>
        <v>1</v>
      </c>
      <c r="B229">
        <f>IFERROR(HLOOKUP($B$1,'liste CIRCUIT'!$B:$AM,229,0)," ")</f>
        <v>1</v>
      </c>
      <c r="C229">
        <f t="shared" si="6"/>
        <v>2</v>
      </c>
      <c r="D229">
        <f t="shared" si="7"/>
        <v>0</v>
      </c>
    </row>
    <row r="230" spans="1:4" hidden="1" x14ac:dyDescent="0.25">
      <c r="A230">
        <f>IFERROR(HLOOKUP($A$1,'liste CIRCUIT'!$B:$AM,230,0)," ")</f>
        <v>1</v>
      </c>
      <c r="B230">
        <f>IFERROR(HLOOKUP($B$1,'liste CIRCUIT'!$B:$AM,230,0)," ")</f>
        <v>1</v>
      </c>
      <c r="C230">
        <f t="shared" si="6"/>
        <v>2</v>
      </c>
      <c r="D230">
        <f t="shared" si="7"/>
        <v>0</v>
      </c>
    </row>
    <row r="231" spans="1:4" hidden="1" x14ac:dyDescent="0.25">
      <c r="A231">
        <f>IFERROR(HLOOKUP($A$1,'liste CIRCUIT'!$B:$AM,231,0)," ")</f>
        <v>1</v>
      </c>
      <c r="B231">
        <f>IFERROR(HLOOKUP($B$1,'liste CIRCUIT'!$B:$AM,231,0)," ")</f>
        <v>1</v>
      </c>
      <c r="C231">
        <f t="shared" si="6"/>
        <v>2</v>
      </c>
      <c r="D231">
        <f t="shared" si="7"/>
        <v>0</v>
      </c>
    </row>
    <row r="232" spans="1:4" hidden="1" x14ac:dyDescent="0.25">
      <c r="A232">
        <f>IFERROR(HLOOKUP($A$1,'liste CIRCUIT'!$B:$AM,232,0)," ")</f>
        <v>1</v>
      </c>
      <c r="B232">
        <f>IFERROR(HLOOKUP($B$1,'liste CIRCUIT'!$B:$AM,232,0)," ")</f>
        <v>1</v>
      </c>
      <c r="C232">
        <f t="shared" si="6"/>
        <v>2</v>
      </c>
      <c r="D232">
        <f t="shared" si="7"/>
        <v>0</v>
      </c>
    </row>
    <row r="233" spans="1:4" hidden="1" x14ac:dyDescent="0.25">
      <c r="A233">
        <f>IFERROR(HLOOKUP($A$1,'liste CIRCUIT'!$B:$AM,233,0)," ")</f>
        <v>1</v>
      </c>
      <c r="B233">
        <f>IFERROR(HLOOKUP($B$1,'liste CIRCUIT'!$B:$AM,233,0)," ")</f>
        <v>1</v>
      </c>
      <c r="C233">
        <f t="shared" si="6"/>
        <v>2</v>
      </c>
      <c r="D233">
        <f t="shared" si="7"/>
        <v>0</v>
      </c>
    </row>
    <row r="234" spans="1:4" hidden="1" x14ac:dyDescent="0.25">
      <c r="A234">
        <f>IFERROR(HLOOKUP($A$1,'liste CIRCUIT'!$B:$AM,234,0)," ")</f>
        <v>1</v>
      </c>
      <c r="B234">
        <f>IFERROR(HLOOKUP($B$1,'liste CIRCUIT'!$B:$AM,234,0)," ")</f>
        <v>1</v>
      </c>
      <c r="C234">
        <f t="shared" si="6"/>
        <v>2</v>
      </c>
      <c r="D234">
        <f t="shared" si="7"/>
        <v>0</v>
      </c>
    </row>
    <row r="235" spans="1:4" hidden="1" x14ac:dyDescent="0.25">
      <c r="A235">
        <f>IFERROR(HLOOKUP($A$1,'liste CIRCUIT'!$B:$AM,235,0)," ")</f>
        <v>1</v>
      </c>
      <c r="B235">
        <f>IFERROR(HLOOKUP($B$1,'liste CIRCUIT'!$B:$AM,235,0)," ")</f>
        <v>1</v>
      </c>
      <c r="C235">
        <f t="shared" si="6"/>
        <v>2</v>
      </c>
      <c r="D235">
        <f t="shared" si="7"/>
        <v>0</v>
      </c>
    </row>
    <row r="236" spans="1:4" hidden="1" x14ac:dyDescent="0.25">
      <c r="A236">
        <f>IFERROR(HLOOKUP($A$1,'liste CIRCUIT'!$B:$AM,236,0)," ")</f>
        <v>0</v>
      </c>
      <c r="B236">
        <f>IFERROR(HLOOKUP($B$1,'liste CIRCUIT'!$B:$AM,236,0)," ")</f>
        <v>0</v>
      </c>
      <c r="C236">
        <f t="shared" si="6"/>
        <v>0</v>
      </c>
      <c r="D236">
        <f t="shared" si="7"/>
        <v>0</v>
      </c>
    </row>
    <row r="237" spans="1:4" hidden="1" x14ac:dyDescent="0.25">
      <c r="A237">
        <f>IFERROR(HLOOKUP($A$1,'liste CIRCUIT'!$B:$AM,237,0)," ")</f>
        <v>0</v>
      </c>
      <c r="B237">
        <f>IFERROR(HLOOKUP($B$1,'liste CIRCUIT'!$B:$AM,237,0)," ")</f>
        <v>0</v>
      </c>
      <c r="C237">
        <f t="shared" si="6"/>
        <v>0</v>
      </c>
      <c r="D237">
        <f t="shared" si="7"/>
        <v>0</v>
      </c>
    </row>
    <row r="238" spans="1:4" hidden="1" x14ac:dyDescent="0.25">
      <c r="A238">
        <f>IFERROR(HLOOKUP($A$1,'liste CIRCUIT'!$B:$AM,238,0)," ")</f>
        <v>1</v>
      </c>
      <c r="B238">
        <f>IFERROR(HLOOKUP($B$1,'liste CIRCUIT'!$B:$AM,238,0)," ")</f>
        <v>1</v>
      </c>
      <c r="C238">
        <f t="shared" si="6"/>
        <v>2</v>
      </c>
      <c r="D238">
        <f t="shared" si="7"/>
        <v>0</v>
      </c>
    </row>
    <row r="239" spans="1:4" hidden="1" x14ac:dyDescent="0.25">
      <c r="A239">
        <f>IFERROR(HLOOKUP($A$1,'liste CIRCUIT'!$B:$AM,239,0)," ")</f>
        <v>0</v>
      </c>
      <c r="B239">
        <f>IFERROR(HLOOKUP($B$1,'liste CIRCUIT'!$B:$AM,239,0)," ")</f>
        <v>1</v>
      </c>
      <c r="C239">
        <f t="shared" si="6"/>
        <v>1</v>
      </c>
      <c r="D239">
        <f t="shared" si="7"/>
        <v>-1</v>
      </c>
    </row>
    <row r="240" spans="1:4" hidden="1" x14ac:dyDescent="0.25">
      <c r="A240">
        <f>IFERROR(HLOOKUP($A$1,'liste CIRCUIT'!$B:$AM,240,0)," ")</f>
        <v>0</v>
      </c>
      <c r="B240">
        <f>IFERROR(HLOOKUP($B$1,'liste CIRCUIT'!$B:$AM,240,0)," ")</f>
        <v>0</v>
      </c>
      <c r="C240">
        <f t="shared" si="6"/>
        <v>0</v>
      </c>
      <c r="D240">
        <f t="shared" si="7"/>
        <v>0</v>
      </c>
    </row>
    <row r="241" spans="1:4" hidden="1" x14ac:dyDescent="0.25">
      <c r="A241">
        <f>IFERROR(HLOOKUP($A$1,'liste CIRCUIT'!$B:$AM,241,0)," ")</f>
        <v>1</v>
      </c>
      <c r="B241">
        <f>IFERROR(HLOOKUP($B$1,'liste CIRCUIT'!$B:$AM,241,0)," ")</f>
        <v>1</v>
      </c>
      <c r="C241">
        <f t="shared" si="6"/>
        <v>2</v>
      </c>
      <c r="D241">
        <f t="shared" si="7"/>
        <v>0</v>
      </c>
    </row>
    <row r="242" spans="1:4" hidden="1" x14ac:dyDescent="0.25">
      <c r="A242">
        <f>IFERROR(HLOOKUP($A$1,'liste CIRCUIT'!$B:$AM,242,0)," ")</f>
        <v>0</v>
      </c>
      <c r="B242">
        <f>IFERROR(HLOOKUP($B$1,'liste CIRCUIT'!$B:$AM,242,0)," ")</f>
        <v>0</v>
      </c>
      <c r="C242">
        <f t="shared" si="6"/>
        <v>0</v>
      </c>
      <c r="D242">
        <f t="shared" si="7"/>
        <v>0</v>
      </c>
    </row>
    <row r="243" spans="1:4" hidden="1" x14ac:dyDescent="0.25">
      <c r="A243">
        <f>IFERROR(HLOOKUP($A$1,'liste CIRCUIT'!$B:$AM,243,0)," ")</f>
        <v>0</v>
      </c>
      <c r="B243">
        <f>IFERROR(HLOOKUP($B$1,'liste CIRCUIT'!$B:$AM,243,0)," ")</f>
        <v>0</v>
      </c>
      <c r="C243">
        <f t="shared" si="6"/>
        <v>0</v>
      </c>
      <c r="D243">
        <f t="shared" si="7"/>
        <v>0</v>
      </c>
    </row>
    <row r="244" spans="1:4" hidden="1" x14ac:dyDescent="0.25">
      <c r="A244">
        <f>IFERROR(HLOOKUP($A$1,'liste CIRCUIT'!$B:$AM,244,0)," ")</f>
        <v>0</v>
      </c>
      <c r="B244">
        <f>IFERROR(HLOOKUP($B$1,'liste CIRCUIT'!$B:$AM,244,0)," ")</f>
        <v>0</v>
      </c>
      <c r="C244">
        <f t="shared" si="6"/>
        <v>0</v>
      </c>
      <c r="D244">
        <f t="shared" si="7"/>
        <v>0</v>
      </c>
    </row>
    <row r="245" spans="1:4" hidden="1" x14ac:dyDescent="0.25">
      <c r="A245">
        <f>IFERROR(HLOOKUP($A$1,'liste CIRCUIT'!$B:$AM,245,0)," ")</f>
        <v>0</v>
      </c>
      <c r="B245">
        <f>IFERROR(HLOOKUP($B$1,'liste CIRCUIT'!$B:$AM,245,0)," ")</f>
        <v>0</v>
      </c>
      <c r="C245">
        <f t="shared" si="6"/>
        <v>0</v>
      </c>
      <c r="D245">
        <f t="shared" si="7"/>
        <v>0</v>
      </c>
    </row>
    <row r="246" spans="1:4" hidden="1" x14ac:dyDescent="0.25">
      <c r="A246">
        <f>IFERROR(HLOOKUP($A$1,'liste CIRCUIT'!$B:$AM,246,0)," ")</f>
        <v>1</v>
      </c>
      <c r="B246">
        <f>IFERROR(HLOOKUP($B$1,'liste CIRCUIT'!$B:$AM,246,0)," ")</f>
        <v>1</v>
      </c>
      <c r="C246">
        <f t="shared" si="6"/>
        <v>2</v>
      </c>
      <c r="D246">
        <f t="shared" si="7"/>
        <v>0</v>
      </c>
    </row>
    <row r="247" spans="1:4" hidden="1" x14ac:dyDescent="0.25">
      <c r="A247">
        <f>IFERROR(HLOOKUP($A$1,'liste CIRCUIT'!$B:$AM,247,0)," ")</f>
        <v>0</v>
      </c>
      <c r="B247">
        <f>IFERROR(HLOOKUP($B$1,'liste CIRCUIT'!$B:$AM,247,0)," ")</f>
        <v>0</v>
      </c>
      <c r="C247">
        <f t="shared" si="6"/>
        <v>0</v>
      </c>
      <c r="D247">
        <f t="shared" si="7"/>
        <v>0</v>
      </c>
    </row>
    <row r="248" spans="1:4" hidden="1" x14ac:dyDescent="0.25">
      <c r="A248">
        <f>IFERROR(HLOOKUP($A$1,'liste CIRCUIT'!$B:$AM,248,0)," ")</f>
        <v>0</v>
      </c>
      <c r="B248">
        <f>IFERROR(HLOOKUP($B$1,'liste CIRCUIT'!$B:$AM,248,0)," ")</f>
        <v>0</v>
      </c>
      <c r="C248">
        <f t="shared" si="6"/>
        <v>0</v>
      </c>
      <c r="D248">
        <f t="shared" si="7"/>
        <v>0</v>
      </c>
    </row>
    <row r="249" spans="1:4" hidden="1" x14ac:dyDescent="0.25">
      <c r="A249">
        <f>IFERROR(HLOOKUP($A$1,'liste CIRCUIT'!$B:$AM,249,0)," ")</f>
        <v>0</v>
      </c>
      <c r="B249">
        <f>IFERROR(HLOOKUP($B$1,'liste CIRCUIT'!$B:$AM,249,0)," ")</f>
        <v>0</v>
      </c>
      <c r="C249">
        <f t="shared" si="6"/>
        <v>0</v>
      </c>
      <c r="D249">
        <f t="shared" si="7"/>
        <v>0</v>
      </c>
    </row>
    <row r="250" spans="1:4" hidden="1" x14ac:dyDescent="0.25">
      <c r="A250">
        <f>IFERROR(HLOOKUP($A$1,'liste CIRCUIT'!$B:$AM,250,0)," ")</f>
        <v>1</v>
      </c>
      <c r="B250">
        <f>IFERROR(HLOOKUP($B$1,'liste CIRCUIT'!$B:$AM,250,0)," ")</f>
        <v>1</v>
      </c>
      <c r="C250">
        <f t="shared" si="6"/>
        <v>2</v>
      </c>
      <c r="D250">
        <f t="shared" si="7"/>
        <v>0</v>
      </c>
    </row>
    <row r="251" spans="1:4" hidden="1" x14ac:dyDescent="0.25">
      <c r="A251">
        <f>IFERROR(HLOOKUP($A$1,'liste CIRCUIT'!$B:$AM,251,0)," ")</f>
        <v>1</v>
      </c>
      <c r="B251">
        <f>IFERROR(HLOOKUP($B$1,'liste CIRCUIT'!$B:$AM,251,0)," ")</f>
        <v>1</v>
      </c>
      <c r="C251">
        <f t="shared" si="6"/>
        <v>2</v>
      </c>
      <c r="D251">
        <f t="shared" si="7"/>
        <v>0</v>
      </c>
    </row>
    <row r="252" spans="1:4" hidden="1" x14ac:dyDescent="0.25">
      <c r="A252">
        <f>IFERROR(HLOOKUP($A$1,'liste CIRCUIT'!$B:$AM,252,0)," ")</f>
        <v>1</v>
      </c>
      <c r="B252">
        <f>IFERROR(HLOOKUP($B$1,'liste CIRCUIT'!$B:$AM,252,0)," ")</f>
        <v>0</v>
      </c>
      <c r="C252">
        <f t="shared" si="6"/>
        <v>1</v>
      </c>
      <c r="D252">
        <f t="shared" si="7"/>
        <v>1</v>
      </c>
    </row>
    <row r="253" spans="1:4" hidden="1" x14ac:dyDescent="0.25">
      <c r="A253">
        <f>IFERROR(HLOOKUP($A$1,'liste CIRCUIT'!$B:$AM,253,0)," ")</f>
        <v>0</v>
      </c>
      <c r="B253">
        <f>IFERROR(HLOOKUP($B$1,'liste CIRCUIT'!$B:$AM,253,0)," ")</f>
        <v>0</v>
      </c>
      <c r="C253">
        <f t="shared" si="6"/>
        <v>0</v>
      </c>
      <c r="D253">
        <f t="shared" si="7"/>
        <v>0</v>
      </c>
    </row>
    <row r="254" spans="1:4" hidden="1" x14ac:dyDescent="0.25">
      <c r="A254">
        <f>IFERROR(HLOOKUP($A$1,'liste CIRCUIT'!$B:$AM,254,0)," ")</f>
        <v>0</v>
      </c>
      <c r="B254">
        <f>IFERROR(HLOOKUP($B$1,'liste CIRCUIT'!$B:$AM,254,0)," ")</f>
        <v>0</v>
      </c>
      <c r="C254">
        <f t="shared" si="6"/>
        <v>0</v>
      </c>
      <c r="D254">
        <f t="shared" si="7"/>
        <v>0</v>
      </c>
    </row>
    <row r="255" spans="1:4" hidden="1" x14ac:dyDescent="0.25">
      <c r="A255">
        <f>IFERROR(HLOOKUP($A$1,'liste CIRCUIT'!$B:$AM,255,0)," ")</f>
        <v>1</v>
      </c>
      <c r="B255">
        <f>IFERROR(HLOOKUP($B$1,'liste CIRCUIT'!$B:$AM,255,0)," ")</f>
        <v>0</v>
      </c>
      <c r="C255">
        <f t="shared" si="6"/>
        <v>1</v>
      </c>
      <c r="D255">
        <f t="shared" si="7"/>
        <v>1</v>
      </c>
    </row>
    <row r="256" spans="1:4" hidden="1" x14ac:dyDescent="0.25">
      <c r="A256">
        <f>IFERROR(HLOOKUP($A$1,'liste CIRCUIT'!$B:$AM,256,0)," ")</f>
        <v>0</v>
      </c>
      <c r="B256">
        <f>IFERROR(HLOOKUP($B$1,'liste CIRCUIT'!$B:$AM,256,0)," ")</f>
        <v>0</v>
      </c>
      <c r="C256">
        <f t="shared" si="6"/>
        <v>0</v>
      </c>
      <c r="D256">
        <f t="shared" si="7"/>
        <v>0</v>
      </c>
    </row>
    <row r="257" spans="1:4" hidden="1" x14ac:dyDescent="0.25">
      <c r="A257">
        <f>IFERROR(HLOOKUP($A$1,'liste CIRCUIT'!$B:$AM,257,0)," ")</f>
        <v>0</v>
      </c>
      <c r="B257">
        <f>IFERROR(HLOOKUP($B$1,'liste CIRCUIT'!$B:$AM,257,0)," ")</f>
        <v>0</v>
      </c>
      <c r="C257">
        <f t="shared" si="6"/>
        <v>0</v>
      </c>
      <c r="D257">
        <f t="shared" si="7"/>
        <v>0</v>
      </c>
    </row>
    <row r="258" spans="1:4" hidden="1" x14ac:dyDescent="0.25">
      <c r="A258">
        <f>IFERROR(HLOOKUP($A$1,'liste CIRCUIT'!$B:$AM,258,0)," ")</f>
        <v>0</v>
      </c>
      <c r="B258">
        <f>IFERROR(HLOOKUP($B$1,'liste CIRCUIT'!$B:$AM,258,0)," ")</f>
        <v>0</v>
      </c>
      <c r="C258">
        <f t="shared" si="6"/>
        <v>0</v>
      </c>
      <c r="D258">
        <f t="shared" si="7"/>
        <v>0</v>
      </c>
    </row>
    <row r="259" spans="1:4" hidden="1" x14ac:dyDescent="0.25">
      <c r="A259">
        <f>IFERROR(HLOOKUP($A$1,'liste CIRCUIT'!$B:$AM,259,0)," ")</f>
        <v>0</v>
      </c>
      <c r="B259">
        <f>IFERROR(HLOOKUP($B$1,'liste CIRCUIT'!$B:$AM,259,0)," ")</f>
        <v>1</v>
      </c>
      <c r="C259">
        <f t="shared" ref="C259:C322" si="8">SUM(A259:B259)</f>
        <v>1</v>
      </c>
      <c r="D259">
        <f t="shared" ref="D259:D322" si="9">A259-B259</f>
        <v>-1</v>
      </c>
    </row>
    <row r="260" spans="1:4" hidden="1" x14ac:dyDescent="0.25">
      <c r="A260">
        <f>IFERROR(HLOOKUP($A$1,'liste CIRCUIT'!$B:$AM,260,0)," ")</f>
        <v>0</v>
      </c>
      <c r="B260">
        <f>IFERROR(HLOOKUP($B$1,'liste CIRCUIT'!$B:$AM,260,0)," ")</f>
        <v>1</v>
      </c>
      <c r="C260">
        <f t="shared" si="8"/>
        <v>1</v>
      </c>
      <c r="D260">
        <f t="shared" si="9"/>
        <v>-1</v>
      </c>
    </row>
    <row r="261" spans="1:4" hidden="1" x14ac:dyDescent="0.25">
      <c r="A261">
        <f>IFERROR(HLOOKUP($A$1,'liste CIRCUIT'!$B:$AM,261,0)," ")</f>
        <v>0</v>
      </c>
      <c r="B261">
        <f>IFERROR(HLOOKUP($B$1,'liste CIRCUIT'!$B:$AM,261,0)," ")</f>
        <v>1</v>
      </c>
      <c r="C261">
        <f t="shared" si="8"/>
        <v>1</v>
      </c>
      <c r="D261">
        <f t="shared" si="9"/>
        <v>-1</v>
      </c>
    </row>
    <row r="262" spans="1:4" hidden="1" x14ac:dyDescent="0.25">
      <c r="A262">
        <f>IFERROR(HLOOKUP($A$1,'liste CIRCUIT'!$B:$AM,262,0)," ")</f>
        <v>0</v>
      </c>
      <c r="B262">
        <f>IFERROR(HLOOKUP($B$1,'liste CIRCUIT'!$B:$AM,262,0)," ")</f>
        <v>0</v>
      </c>
      <c r="C262">
        <f t="shared" si="8"/>
        <v>0</v>
      </c>
      <c r="D262">
        <f t="shared" si="9"/>
        <v>0</v>
      </c>
    </row>
    <row r="263" spans="1:4" hidden="1" x14ac:dyDescent="0.25">
      <c r="A263">
        <f>IFERROR(HLOOKUP($A$1,'liste CIRCUIT'!$B:$AM,263,0)," ")</f>
        <v>0</v>
      </c>
      <c r="B263">
        <f>IFERROR(HLOOKUP($B$1,'liste CIRCUIT'!$B:$AM,263,0)," ")</f>
        <v>0</v>
      </c>
      <c r="C263">
        <f t="shared" si="8"/>
        <v>0</v>
      </c>
      <c r="D263">
        <f t="shared" si="9"/>
        <v>0</v>
      </c>
    </row>
    <row r="264" spans="1:4" hidden="1" x14ac:dyDescent="0.25">
      <c r="A264">
        <f>IFERROR(HLOOKUP($A$1,'liste CIRCUIT'!$B:$AM,264,0)," ")</f>
        <v>1</v>
      </c>
      <c r="B264">
        <f>IFERROR(HLOOKUP($B$1,'liste CIRCUIT'!$B:$AM,264,0)," ")</f>
        <v>0</v>
      </c>
      <c r="C264">
        <f t="shared" si="8"/>
        <v>1</v>
      </c>
      <c r="D264">
        <f t="shared" si="9"/>
        <v>1</v>
      </c>
    </row>
    <row r="265" spans="1:4" hidden="1" x14ac:dyDescent="0.25">
      <c r="A265">
        <f>IFERROR(HLOOKUP($A$1,'liste CIRCUIT'!$B:$AM,265,0)," ")</f>
        <v>0</v>
      </c>
      <c r="B265">
        <f>IFERROR(HLOOKUP($B$1,'liste CIRCUIT'!$B:$AM,265,0)," ")</f>
        <v>0</v>
      </c>
      <c r="C265">
        <f t="shared" si="8"/>
        <v>0</v>
      </c>
      <c r="D265">
        <f t="shared" si="9"/>
        <v>0</v>
      </c>
    </row>
    <row r="266" spans="1:4" hidden="1" x14ac:dyDescent="0.25">
      <c r="A266">
        <f>IFERROR(HLOOKUP($A$1,'liste CIRCUIT'!$B:$AM,266,0)," ")</f>
        <v>0</v>
      </c>
      <c r="B266">
        <f>IFERROR(HLOOKUP($B$1,'liste CIRCUIT'!$B:$AM,266,0)," ")</f>
        <v>0</v>
      </c>
      <c r="C266">
        <f t="shared" si="8"/>
        <v>0</v>
      </c>
      <c r="D266">
        <f t="shared" si="9"/>
        <v>0</v>
      </c>
    </row>
    <row r="267" spans="1:4" hidden="1" x14ac:dyDescent="0.25">
      <c r="A267">
        <f>IFERROR(HLOOKUP($A$1,'liste CIRCUIT'!$B:$AM,267,0)," ")</f>
        <v>0</v>
      </c>
      <c r="B267">
        <f>IFERROR(HLOOKUP($B$1,'liste CIRCUIT'!$B:$AM,267,0)," ")</f>
        <v>0</v>
      </c>
      <c r="C267">
        <f t="shared" si="8"/>
        <v>0</v>
      </c>
      <c r="D267">
        <f t="shared" si="9"/>
        <v>0</v>
      </c>
    </row>
    <row r="268" spans="1:4" hidden="1" x14ac:dyDescent="0.25">
      <c r="A268">
        <f>IFERROR(HLOOKUP($A$1,'liste CIRCUIT'!$B:$AM,268,0)," ")</f>
        <v>0</v>
      </c>
      <c r="B268">
        <f>IFERROR(HLOOKUP($B$1,'liste CIRCUIT'!$B:$AM,268,0)," ")</f>
        <v>1</v>
      </c>
      <c r="C268">
        <f t="shared" si="8"/>
        <v>1</v>
      </c>
      <c r="D268">
        <f t="shared" si="9"/>
        <v>-1</v>
      </c>
    </row>
    <row r="269" spans="1:4" hidden="1" x14ac:dyDescent="0.25">
      <c r="A269">
        <f>IFERROR(HLOOKUP($A$1,'liste CIRCUIT'!$B:$AM,269,0)," ")</f>
        <v>0</v>
      </c>
      <c r="B269">
        <f>IFERROR(HLOOKUP($B$1,'liste CIRCUIT'!$B:$AM,269,0)," ")</f>
        <v>0</v>
      </c>
      <c r="C269">
        <f t="shared" si="8"/>
        <v>0</v>
      </c>
      <c r="D269">
        <f t="shared" si="9"/>
        <v>0</v>
      </c>
    </row>
    <row r="270" spans="1:4" hidden="1" x14ac:dyDescent="0.25">
      <c r="A270">
        <f>IFERROR(HLOOKUP($A$1,'liste CIRCUIT'!$B:$AM,270,0)," ")</f>
        <v>0</v>
      </c>
      <c r="B270">
        <f>IFERROR(HLOOKUP($B$1,'liste CIRCUIT'!$B:$AM,270,0)," ")</f>
        <v>1</v>
      </c>
      <c r="C270">
        <f t="shared" si="8"/>
        <v>1</v>
      </c>
      <c r="D270">
        <f t="shared" si="9"/>
        <v>-1</v>
      </c>
    </row>
    <row r="271" spans="1:4" hidden="1" x14ac:dyDescent="0.25">
      <c r="A271">
        <f>IFERROR(HLOOKUP($A$1,'liste CIRCUIT'!$B:$AM,271,0)," ")</f>
        <v>0</v>
      </c>
      <c r="B271">
        <f>IFERROR(HLOOKUP($B$1,'liste CIRCUIT'!$B:$AM,271,0)," ")</f>
        <v>0</v>
      </c>
      <c r="C271">
        <f t="shared" si="8"/>
        <v>0</v>
      </c>
      <c r="D271">
        <f t="shared" si="9"/>
        <v>0</v>
      </c>
    </row>
    <row r="272" spans="1:4" hidden="1" x14ac:dyDescent="0.25">
      <c r="A272">
        <f>IFERROR(HLOOKUP($A$1,'liste CIRCUIT'!$B:$AM,272,0)," ")</f>
        <v>0</v>
      </c>
      <c r="B272">
        <f>IFERROR(HLOOKUP($B$1,'liste CIRCUIT'!$B:$AM,272,0)," ")</f>
        <v>0</v>
      </c>
      <c r="C272">
        <f t="shared" si="8"/>
        <v>0</v>
      </c>
      <c r="D272">
        <f t="shared" si="9"/>
        <v>0</v>
      </c>
    </row>
    <row r="273" spans="1:4" hidden="1" x14ac:dyDescent="0.25">
      <c r="A273">
        <f>IFERROR(HLOOKUP($A$1,'liste CIRCUIT'!$B:$AM,273,0)," ")</f>
        <v>1</v>
      </c>
      <c r="B273">
        <f>IFERROR(HLOOKUP($B$1,'liste CIRCUIT'!$B:$AM,273,0)," ")</f>
        <v>1</v>
      </c>
      <c r="C273">
        <f t="shared" si="8"/>
        <v>2</v>
      </c>
      <c r="D273">
        <f t="shared" si="9"/>
        <v>0</v>
      </c>
    </row>
    <row r="274" spans="1:4" hidden="1" x14ac:dyDescent="0.25">
      <c r="A274">
        <f>IFERROR(HLOOKUP($A$1,'liste CIRCUIT'!$B:$AM,274,0)," ")</f>
        <v>1</v>
      </c>
      <c r="B274">
        <f>IFERROR(HLOOKUP($B$1,'liste CIRCUIT'!$B:$AM,274,0)," ")</f>
        <v>1</v>
      </c>
      <c r="C274">
        <f t="shared" si="8"/>
        <v>2</v>
      </c>
      <c r="D274">
        <f t="shared" si="9"/>
        <v>0</v>
      </c>
    </row>
    <row r="275" spans="1:4" hidden="1" x14ac:dyDescent="0.25">
      <c r="A275">
        <f>IFERROR(HLOOKUP($A$1,'liste CIRCUIT'!$B:$AM,275,0)," ")</f>
        <v>1</v>
      </c>
      <c r="B275">
        <f>IFERROR(HLOOKUP($B$1,'liste CIRCUIT'!$B:$AM,275,0)," ")</f>
        <v>1</v>
      </c>
      <c r="C275">
        <f t="shared" si="8"/>
        <v>2</v>
      </c>
      <c r="D275">
        <f t="shared" si="9"/>
        <v>0</v>
      </c>
    </row>
    <row r="276" spans="1:4" hidden="1" x14ac:dyDescent="0.25">
      <c r="A276">
        <f>IFERROR(HLOOKUP($A$1,'liste CIRCUIT'!$B:$AM,276,0)," ")</f>
        <v>1</v>
      </c>
      <c r="B276">
        <f>IFERROR(HLOOKUP($B$1,'liste CIRCUIT'!$B:$AM,276,0)," ")</f>
        <v>1</v>
      </c>
      <c r="C276">
        <f t="shared" si="8"/>
        <v>2</v>
      </c>
      <c r="D276">
        <f t="shared" si="9"/>
        <v>0</v>
      </c>
    </row>
    <row r="277" spans="1:4" hidden="1" x14ac:dyDescent="0.25">
      <c r="A277">
        <f>IFERROR(HLOOKUP($A$1,'liste CIRCUIT'!$B:$AM,277,0)," ")</f>
        <v>0</v>
      </c>
      <c r="B277">
        <f>IFERROR(HLOOKUP($B$1,'liste CIRCUIT'!$B:$AM,277,0)," ")</f>
        <v>0</v>
      </c>
      <c r="C277">
        <f t="shared" si="8"/>
        <v>0</v>
      </c>
      <c r="D277">
        <f t="shared" si="9"/>
        <v>0</v>
      </c>
    </row>
    <row r="278" spans="1:4" hidden="1" x14ac:dyDescent="0.25">
      <c r="A278">
        <f>IFERROR(HLOOKUP($A$1,'liste CIRCUIT'!$B:$AM,278,0)," ")</f>
        <v>0</v>
      </c>
      <c r="B278">
        <f>IFERROR(HLOOKUP($B$1,'liste CIRCUIT'!$B:$AM,278,0)," ")</f>
        <v>0</v>
      </c>
      <c r="C278">
        <f t="shared" si="8"/>
        <v>0</v>
      </c>
      <c r="D278">
        <f t="shared" si="9"/>
        <v>0</v>
      </c>
    </row>
    <row r="279" spans="1:4" hidden="1" x14ac:dyDescent="0.25">
      <c r="A279">
        <f>IFERROR(HLOOKUP($A$1,'liste CIRCUIT'!$B:$AM,279,0)," ")</f>
        <v>0</v>
      </c>
      <c r="B279">
        <f>IFERROR(HLOOKUP($B$1,'liste CIRCUIT'!$B:$AM,279,0)," ")</f>
        <v>0</v>
      </c>
      <c r="C279">
        <f t="shared" si="8"/>
        <v>0</v>
      </c>
      <c r="D279">
        <f t="shared" si="9"/>
        <v>0</v>
      </c>
    </row>
    <row r="280" spans="1:4" hidden="1" x14ac:dyDescent="0.25">
      <c r="A280">
        <f>IFERROR(HLOOKUP($A$1,'liste CIRCUIT'!$B:$AM,280,0)," ")</f>
        <v>0</v>
      </c>
      <c r="B280">
        <f>IFERROR(HLOOKUP($B$1,'liste CIRCUIT'!$B:$AM,280,0)," ")</f>
        <v>0</v>
      </c>
      <c r="C280">
        <f t="shared" si="8"/>
        <v>0</v>
      </c>
      <c r="D280">
        <f t="shared" si="9"/>
        <v>0</v>
      </c>
    </row>
    <row r="281" spans="1:4" hidden="1" x14ac:dyDescent="0.25">
      <c r="A281">
        <f>IFERROR(HLOOKUP($A$1,'liste CIRCUIT'!$B:$AM,281,0)," ")</f>
        <v>0</v>
      </c>
      <c r="B281">
        <f>IFERROR(HLOOKUP($B$1,'liste CIRCUIT'!$B:$AM,281,0)," ")</f>
        <v>0</v>
      </c>
      <c r="C281">
        <f t="shared" si="8"/>
        <v>0</v>
      </c>
      <c r="D281">
        <f t="shared" si="9"/>
        <v>0</v>
      </c>
    </row>
    <row r="282" spans="1:4" hidden="1" x14ac:dyDescent="0.25">
      <c r="A282">
        <f>IFERROR(HLOOKUP($A$1,'liste CIRCUIT'!$B:$AM,282,0)," ")</f>
        <v>1</v>
      </c>
      <c r="B282">
        <f>IFERROR(HLOOKUP($B$1,'liste CIRCUIT'!$B:$AM,282,0)," ")</f>
        <v>1</v>
      </c>
      <c r="C282">
        <f t="shared" si="8"/>
        <v>2</v>
      </c>
      <c r="D282">
        <f t="shared" si="9"/>
        <v>0</v>
      </c>
    </row>
    <row r="283" spans="1:4" hidden="1" x14ac:dyDescent="0.25">
      <c r="A283">
        <f>IFERROR(HLOOKUP($A$1,'liste CIRCUIT'!$B:$AM,283,0)," ")</f>
        <v>0</v>
      </c>
      <c r="B283">
        <f>IFERROR(HLOOKUP($B$1,'liste CIRCUIT'!$B:$AM,283,0)," ")</f>
        <v>0</v>
      </c>
      <c r="C283">
        <f t="shared" si="8"/>
        <v>0</v>
      </c>
      <c r="D283">
        <f t="shared" si="9"/>
        <v>0</v>
      </c>
    </row>
    <row r="284" spans="1:4" hidden="1" x14ac:dyDescent="0.25">
      <c r="A284">
        <f>IFERROR(HLOOKUP($A$1,'liste CIRCUIT'!$B:$AM,284,0)," ")</f>
        <v>0</v>
      </c>
      <c r="B284">
        <f>IFERROR(HLOOKUP($B$1,'liste CIRCUIT'!$B:$AM,284,0)," ")</f>
        <v>0</v>
      </c>
      <c r="C284">
        <f t="shared" si="8"/>
        <v>0</v>
      </c>
      <c r="D284">
        <f t="shared" si="9"/>
        <v>0</v>
      </c>
    </row>
    <row r="285" spans="1:4" hidden="1" x14ac:dyDescent="0.25">
      <c r="A285">
        <f>IFERROR(HLOOKUP($A$1,'liste CIRCUIT'!$B:$AM,285,0)," ")</f>
        <v>0</v>
      </c>
      <c r="B285">
        <f>IFERROR(HLOOKUP($B$1,'liste CIRCUIT'!$B:$AM,285,0)," ")</f>
        <v>0</v>
      </c>
      <c r="C285">
        <f t="shared" si="8"/>
        <v>0</v>
      </c>
      <c r="D285">
        <f t="shared" si="9"/>
        <v>0</v>
      </c>
    </row>
    <row r="286" spans="1:4" hidden="1" x14ac:dyDescent="0.25">
      <c r="A286">
        <f>IFERROR(HLOOKUP($A$1,'liste CIRCUIT'!$B:$AM,286,0)," ")</f>
        <v>0</v>
      </c>
      <c r="B286">
        <f>IFERROR(HLOOKUP($B$1,'liste CIRCUIT'!$B:$AM,286,0)," ")</f>
        <v>0</v>
      </c>
      <c r="C286">
        <f t="shared" si="8"/>
        <v>0</v>
      </c>
      <c r="D286">
        <f t="shared" si="9"/>
        <v>0</v>
      </c>
    </row>
    <row r="287" spans="1:4" hidden="1" x14ac:dyDescent="0.25">
      <c r="A287">
        <f>IFERROR(HLOOKUP($A$1,'liste CIRCUIT'!$B:$AM,287,0)," ")</f>
        <v>1</v>
      </c>
      <c r="B287">
        <f>IFERROR(HLOOKUP($B$1,'liste CIRCUIT'!$B:$AM,287,0)," ")</f>
        <v>1</v>
      </c>
      <c r="C287">
        <f t="shared" si="8"/>
        <v>2</v>
      </c>
      <c r="D287">
        <f t="shared" si="9"/>
        <v>0</v>
      </c>
    </row>
    <row r="288" spans="1:4" hidden="1" x14ac:dyDescent="0.25">
      <c r="A288">
        <f>IFERROR(HLOOKUP($A$1,'liste CIRCUIT'!$B:$AM,288,0)," ")</f>
        <v>0</v>
      </c>
      <c r="B288">
        <f>IFERROR(HLOOKUP($B$1,'liste CIRCUIT'!$B:$AM,288,0)," ")</f>
        <v>0</v>
      </c>
      <c r="C288">
        <f t="shared" si="8"/>
        <v>0</v>
      </c>
      <c r="D288">
        <f t="shared" si="9"/>
        <v>0</v>
      </c>
    </row>
    <row r="289" spans="1:4" hidden="1" x14ac:dyDescent="0.25">
      <c r="A289">
        <f>IFERROR(HLOOKUP($A$1,'liste CIRCUIT'!$B:$AM,289,0)," ")</f>
        <v>1</v>
      </c>
      <c r="B289">
        <f>IFERROR(HLOOKUP($B$1,'liste CIRCUIT'!$B:$AM,289,0)," ")</f>
        <v>1</v>
      </c>
      <c r="C289">
        <f t="shared" si="8"/>
        <v>2</v>
      </c>
      <c r="D289">
        <f t="shared" si="9"/>
        <v>0</v>
      </c>
    </row>
    <row r="290" spans="1:4" hidden="1" x14ac:dyDescent="0.25">
      <c r="A290">
        <f>IFERROR(HLOOKUP($A$1,'liste CIRCUIT'!$B:$AM,290,0)," ")</f>
        <v>0</v>
      </c>
      <c r="B290">
        <f>IFERROR(HLOOKUP($B$1,'liste CIRCUIT'!$B:$AM,290,0)," ")</f>
        <v>0</v>
      </c>
      <c r="C290">
        <f t="shared" si="8"/>
        <v>0</v>
      </c>
      <c r="D290">
        <f t="shared" si="9"/>
        <v>0</v>
      </c>
    </row>
    <row r="291" spans="1:4" hidden="1" x14ac:dyDescent="0.25">
      <c r="A291">
        <f>IFERROR(HLOOKUP($A$1,'liste CIRCUIT'!$B:$AM,291,0)," ")</f>
        <v>0</v>
      </c>
      <c r="B291">
        <f>IFERROR(HLOOKUP($B$1,'liste CIRCUIT'!$B:$AM,291,0)," ")</f>
        <v>0</v>
      </c>
      <c r="C291">
        <f t="shared" si="8"/>
        <v>0</v>
      </c>
      <c r="D291">
        <f t="shared" si="9"/>
        <v>0</v>
      </c>
    </row>
    <row r="292" spans="1:4" hidden="1" x14ac:dyDescent="0.25">
      <c r="A292">
        <f>IFERROR(HLOOKUP($A$1,'liste CIRCUIT'!$B:$AM,292,0)," ")</f>
        <v>0</v>
      </c>
      <c r="B292">
        <f>IFERROR(HLOOKUP($B$1,'liste CIRCUIT'!$B:$AM,292,0)," ")</f>
        <v>0</v>
      </c>
      <c r="C292">
        <f t="shared" si="8"/>
        <v>0</v>
      </c>
      <c r="D292">
        <f t="shared" si="9"/>
        <v>0</v>
      </c>
    </row>
    <row r="293" spans="1:4" hidden="1" x14ac:dyDescent="0.25">
      <c r="A293">
        <f>IFERROR(HLOOKUP($A$1,'liste CIRCUIT'!$B:$AM,293,0)," ")</f>
        <v>1</v>
      </c>
      <c r="B293">
        <f>IFERROR(HLOOKUP($B$1,'liste CIRCUIT'!$B:$AM,293,0)," ")</f>
        <v>1</v>
      </c>
      <c r="C293">
        <f t="shared" si="8"/>
        <v>2</v>
      </c>
      <c r="D293">
        <f t="shared" si="9"/>
        <v>0</v>
      </c>
    </row>
    <row r="294" spans="1:4" hidden="1" x14ac:dyDescent="0.25">
      <c r="A294">
        <f>IFERROR(HLOOKUP($A$1,'liste CIRCUIT'!$B:$AM,294,0)," ")</f>
        <v>0</v>
      </c>
      <c r="B294">
        <f>IFERROR(HLOOKUP($B$1,'liste CIRCUIT'!$B:$AM,294,0)," ")</f>
        <v>0</v>
      </c>
      <c r="C294">
        <f t="shared" si="8"/>
        <v>0</v>
      </c>
      <c r="D294">
        <f t="shared" si="9"/>
        <v>0</v>
      </c>
    </row>
    <row r="295" spans="1:4" hidden="1" x14ac:dyDescent="0.25">
      <c r="A295">
        <f>IFERROR(HLOOKUP($A$1,'liste CIRCUIT'!$B:$AM,295,0)," ")</f>
        <v>0</v>
      </c>
      <c r="B295">
        <f>IFERROR(HLOOKUP($B$1,'liste CIRCUIT'!$B:$AM,295,0)," ")</f>
        <v>0</v>
      </c>
      <c r="C295">
        <f t="shared" si="8"/>
        <v>0</v>
      </c>
      <c r="D295">
        <f t="shared" si="9"/>
        <v>0</v>
      </c>
    </row>
    <row r="296" spans="1:4" hidden="1" x14ac:dyDescent="0.25">
      <c r="A296">
        <f>IFERROR(HLOOKUP($A$1,'liste CIRCUIT'!$B:$AM,296,0)," ")</f>
        <v>0</v>
      </c>
      <c r="B296">
        <f>IFERROR(HLOOKUP($B$1,'liste CIRCUIT'!$B:$AM,296,0)," ")</f>
        <v>0</v>
      </c>
      <c r="C296">
        <f t="shared" si="8"/>
        <v>0</v>
      </c>
      <c r="D296">
        <f t="shared" si="9"/>
        <v>0</v>
      </c>
    </row>
    <row r="297" spans="1:4" hidden="1" x14ac:dyDescent="0.25">
      <c r="A297">
        <f>IFERROR(HLOOKUP($A$1,'liste CIRCUIT'!$B:$AM,297,0)," ")</f>
        <v>1</v>
      </c>
      <c r="B297">
        <f>IFERROR(HLOOKUP($B$1,'liste CIRCUIT'!$B:$AM,297,0)," ")</f>
        <v>1</v>
      </c>
      <c r="C297">
        <f t="shared" si="8"/>
        <v>2</v>
      </c>
      <c r="D297">
        <f t="shared" si="9"/>
        <v>0</v>
      </c>
    </row>
    <row r="298" spans="1:4" hidden="1" x14ac:dyDescent="0.25">
      <c r="A298">
        <f>IFERROR(HLOOKUP($A$1,'liste CIRCUIT'!$B:$AM,298,0)," ")</f>
        <v>0</v>
      </c>
      <c r="B298">
        <f>IFERROR(HLOOKUP($B$1,'liste CIRCUIT'!$B:$AM,298,0)," ")</f>
        <v>0</v>
      </c>
      <c r="C298">
        <f t="shared" si="8"/>
        <v>0</v>
      </c>
      <c r="D298">
        <f t="shared" si="9"/>
        <v>0</v>
      </c>
    </row>
    <row r="299" spans="1:4" hidden="1" x14ac:dyDescent="0.25">
      <c r="A299">
        <f>IFERROR(HLOOKUP($A$1,'liste CIRCUIT'!$B:$AM,299,0)," ")</f>
        <v>1</v>
      </c>
      <c r="B299">
        <f>IFERROR(HLOOKUP($B$1,'liste CIRCUIT'!$B:$AM,299,0)," ")</f>
        <v>1</v>
      </c>
      <c r="C299">
        <f t="shared" si="8"/>
        <v>2</v>
      </c>
      <c r="D299">
        <f t="shared" si="9"/>
        <v>0</v>
      </c>
    </row>
    <row r="300" spans="1:4" hidden="1" x14ac:dyDescent="0.25">
      <c r="A300">
        <f>IFERROR(HLOOKUP($A$1,'liste CIRCUIT'!$B:$AM,300,0)," ")</f>
        <v>0</v>
      </c>
      <c r="B300">
        <f>IFERROR(HLOOKUP($B$1,'liste CIRCUIT'!$B:$AM,300,0)," ")</f>
        <v>0</v>
      </c>
      <c r="C300">
        <f t="shared" si="8"/>
        <v>0</v>
      </c>
      <c r="D300">
        <f t="shared" si="9"/>
        <v>0</v>
      </c>
    </row>
    <row r="301" spans="1:4" hidden="1" x14ac:dyDescent="0.25">
      <c r="A301">
        <f>IFERROR(HLOOKUP($A$1,'liste CIRCUIT'!$B:$AM,301,0)," ")</f>
        <v>1</v>
      </c>
      <c r="B301">
        <f>IFERROR(HLOOKUP($B$1,'liste CIRCUIT'!$B:$AM,301,0)," ")</f>
        <v>1</v>
      </c>
      <c r="C301">
        <f t="shared" si="8"/>
        <v>2</v>
      </c>
      <c r="D301">
        <f t="shared" si="9"/>
        <v>0</v>
      </c>
    </row>
    <row r="302" spans="1:4" hidden="1" x14ac:dyDescent="0.25">
      <c r="A302">
        <f>IFERROR(HLOOKUP($A$1,'liste CIRCUIT'!$B:$AM,302,0)," ")</f>
        <v>0</v>
      </c>
      <c r="B302">
        <f>IFERROR(HLOOKUP($B$1,'liste CIRCUIT'!$B:$AM,302,0)," ")</f>
        <v>0</v>
      </c>
      <c r="C302">
        <f t="shared" si="8"/>
        <v>0</v>
      </c>
      <c r="D302">
        <f t="shared" si="9"/>
        <v>0</v>
      </c>
    </row>
    <row r="303" spans="1:4" hidden="1" x14ac:dyDescent="0.25">
      <c r="A303">
        <f>IFERROR(HLOOKUP($A$1,'liste CIRCUIT'!$B:$AM,303,0)," ")</f>
        <v>0</v>
      </c>
      <c r="B303">
        <f>IFERROR(HLOOKUP($B$1,'liste CIRCUIT'!$B:$AM,303,0)," ")</f>
        <v>0</v>
      </c>
      <c r="C303">
        <f t="shared" si="8"/>
        <v>0</v>
      </c>
      <c r="D303">
        <f t="shared" si="9"/>
        <v>0</v>
      </c>
    </row>
    <row r="304" spans="1:4" hidden="1" x14ac:dyDescent="0.25">
      <c r="A304">
        <f>IFERROR(HLOOKUP($A$1,'liste CIRCUIT'!$B:$AM,304,0)," ")</f>
        <v>0</v>
      </c>
      <c r="B304">
        <f>IFERROR(HLOOKUP($B$1,'liste CIRCUIT'!$B:$AM,304,0)," ")</f>
        <v>0</v>
      </c>
      <c r="C304">
        <f t="shared" si="8"/>
        <v>0</v>
      </c>
      <c r="D304">
        <f t="shared" si="9"/>
        <v>0</v>
      </c>
    </row>
    <row r="305" spans="1:4" hidden="1" x14ac:dyDescent="0.25">
      <c r="A305">
        <f>IFERROR(HLOOKUP($A$1,'liste CIRCUIT'!$B:$AM,305,0)," ")</f>
        <v>1</v>
      </c>
      <c r="B305">
        <f>IFERROR(HLOOKUP($B$1,'liste CIRCUIT'!$B:$AM,305,0)," ")</f>
        <v>1</v>
      </c>
      <c r="C305">
        <f t="shared" si="8"/>
        <v>2</v>
      </c>
      <c r="D305">
        <f t="shared" si="9"/>
        <v>0</v>
      </c>
    </row>
    <row r="306" spans="1:4" hidden="1" x14ac:dyDescent="0.25">
      <c r="A306">
        <f>IFERROR(HLOOKUP($A$1,'liste CIRCUIT'!$B:$AM,306,0)," ")</f>
        <v>0</v>
      </c>
      <c r="B306">
        <f>IFERROR(HLOOKUP($B$1,'liste CIRCUIT'!$B:$AM,306,0)," ")</f>
        <v>0</v>
      </c>
      <c r="C306">
        <f t="shared" si="8"/>
        <v>0</v>
      </c>
      <c r="D306">
        <f t="shared" si="9"/>
        <v>0</v>
      </c>
    </row>
    <row r="307" spans="1:4" hidden="1" x14ac:dyDescent="0.25">
      <c r="A307">
        <f>IFERROR(HLOOKUP($A$1,'liste CIRCUIT'!$B:$AM,307,0)," ")</f>
        <v>0</v>
      </c>
      <c r="B307">
        <f>IFERROR(HLOOKUP($B$1,'liste CIRCUIT'!$B:$AM,307,0)," ")</f>
        <v>0</v>
      </c>
      <c r="C307">
        <f t="shared" si="8"/>
        <v>0</v>
      </c>
      <c r="D307">
        <f t="shared" si="9"/>
        <v>0</v>
      </c>
    </row>
    <row r="308" spans="1:4" hidden="1" x14ac:dyDescent="0.25">
      <c r="A308">
        <f>IFERROR(HLOOKUP($A$1,'liste CIRCUIT'!$B:$AM,308,0)," ")</f>
        <v>0</v>
      </c>
      <c r="B308">
        <f>IFERROR(HLOOKUP($B$1,'liste CIRCUIT'!$B:$AM,308,0)," ")</f>
        <v>0</v>
      </c>
      <c r="C308">
        <f t="shared" si="8"/>
        <v>0</v>
      </c>
      <c r="D308">
        <f t="shared" si="9"/>
        <v>0</v>
      </c>
    </row>
    <row r="309" spans="1:4" hidden="1" x14ac:dyDescent="0.25">
      <c r="A309">
        <f>IFERROR(HLOOKUP($A$1,'liste CIRCUIT'!$B:$AM,309,0)," ")</f>
        <v>1</v>
      </c>
      <c r="B309">
        <f>IFERROR(HLOOKUP($B$1,'liste CIRCUIT'!$B:$AM,309,0)," ")</f>
        <v>1</v>
      </c>
      <c r="C309">
        <f t="shared" si="8"/>
        <v>2</v>
      </c>
      <c r="D309">
        <f t="shared" si="9"/>
        <v>0</v>
      </c>
    </row>
    <row r="310" spans="1:4" hidden="1" x14ac:dyDescent="0.25">
      <c r="A310">
        <f>IFERROR(HLOOKUP($A$1,'liste CIRCUIT'!$B:$AM,310,0)," ")</f>
        <v>0</v>
      </c>
      <c r="B310">
        <f>IFERROR(HLOOKUP($B$1,'liste CIRCUIT'!$B:$AM,310,0)," ")</f>
        <v>0</v>
      </c>
      <c r="C310">
        <f t="shared" si="8"/>
        <v>0</v>
      </c>
      <c r="D310">
        <f t="shared" si="9"/>
        <v>0</v>
      </c>
    </row>
    <row r="311" spans="1:4" hidden="1" x14ac:dyDescent="0.25">
      <c r="A311">
        <f>IFERROR(HLOOKUP($A$1,'liste CIRCUIT'!$B:$AM,311,0)," ")</f>
        <v>0</v>
      </c>
      <c r="B311">
        <f>IFERROR(HLOOKUP($B$1,'liste CIRCUIT'!$B:$AM,311,0)," ")</f>
        <v>0</v>
      </c>
      <c r="C311">
        <f t="shared" si="8"/>
        <v>0</v>
      </c>
      <c r="D311">
        <f t="shared" si="9"/>
        <v>0</v>
      </c>
    </row>
    <row r="312" spans="1:4" hidden="1" x14ac:dyDescent="0.25">
      <c r="A312">
        <f>IFERROR(HLOOKUP($A$1,'liste CIRCUIT'!$B:$AM,312,0)," ")</f>
        <v>0</v>
      </c>
      <c r="B312">
        <f>IFERROR(HLOOKUP($B$1,'liste CIRCUIT'!$B:$AM,312,0)," ")</f>
        <v>0</v>
      </c>
      <c r="C312">
        <f t="shared" si="8"/>
        <v>0</v>
      </c>
      <c r="D312">
        <f t="shared" si="9"/>
        <v>0</v>
      </c>
    </row>
    <row r="313" spans="1:4" hidden="1" x14ac:dyDescent="0.25">
      <c r="A313">
        <f>IFERROR(HLOOKUP($A$1,'liste CIRCUIT'!$B:$AM,313,0)," ")</f>
        <v>0</v>
      </c>
      <c r="B313">
        <f>IFERROR(HLOOKUP($B$1,'liste CIRCUIT'!$B:$AM,313,0)," ")</f>
        <v>0</v>
      </c>
      <c r="C313">
        <f t="shared" si="8"/>
        <v>0</v>
      </c>
      <c r="D313">
        <f t="shared" si="9"/>
        <v>0</v>
      </c>
    </row>
    <row r="314" spans="1:4" hidden="1" x14ac:dyDescent="0.25">
      <c r="A314">
        <f>IFERROR(HLOOKUP($A$1,'liste CIRCUIT'!$B:$AM,314,0)," ")</f>
        <v>0</v>
      </c>
      <c r="B314">
        <f>IFERROR(HLOOKUP($B$1,'liste CIRCUIT'!$B:$AM,314,0)," ")</f>
        <v>0</v>
      </c>
      <c r="C314">
        <f t="shared" si="8"/>
        <v>0</v>
      </c>
      <c r="D314">
        <f t="shared" si="9"/>
        <v>0</v>
      </c>
    </row>
    <row r="315" spans="1:4" hidden="1" x14ac:dyDescent="0.25">
      <c r="A315">
        <f>IFERROR(HLOOKUP($A$1,'liste CIRCUIT'!$B:$AM,315,0)," ")</f>
        <v>0</v>
      </c>
      <c r="B315">
        <f>IFERROR(HLOOKUP($B$1,'liste CIRCUIT'!$B:$AM,315,0)," ")</f>
        <v>0</v>
      </c>
      <c r="C315">
        <f t="shared" si="8"/>
        <v>0</v>
      </c>
      <c r="D315">
        <f t="shared" si="9"/>
        <v>0</v>
      </c>
    </row>
    <row r="316" spans="1:4" hidden="1" x14ac:dyDescent="0.25">
      <c r="A316">
        <f>IFERROR(HLOOKUP($A$1,'liste CIRCUIT'!$B:$AM,316,0)," ")</f>
        <v>0</v>
      </c>
      <c r="B316">
        <f>IFERROR(HLOOKUP($B$1,'liste CIRCUIT'!$B:$AM,316,0)," ")</f>
        <v>0</v>
      </c>
      <c r="C316">
        <f t="shared" si="8"/>
        <v>0</v>
      </c>
      <c r="D316">
        <f t="shared" si="9"/>
        <v>0</v>
      </c>
    </row>
    <row r="317" spans="1:4" hidden="1" x14ac:dyDescent="0.25">
      <c r="A317">
        <f>IFERROR(HLOOKUP($A$1,'liste CIRCUIT'!$B:$AM,317,0)," ")</f>
        <v>0</v>
      </c>
      <c r="B317">
        <f>IFERROR(HLOOKUP($B$1,'liste CIRCUIT'!$B:$AM,317,0)," ")</f>
        <v>0</v>
      </c>
      <c r="C317">
        <f t="shared" si="8"/>
        <v>0</v>
      </c>
      <c r="D317">
        <f t="shared" si="9"/>
        <v>0</v>
      </c>
    </row>
    <row r="318" spans="1:4" hidden="1" x14ac:dyDescent="0.25">
      <c r="A318">
        <f>IFERROR(HLOOKUP($A$1,'liste CIRCUIT'!$B:$AM,318,0)," ")</f>
        <v>1</v>
      </c>
      <c r="B318">
        <f>IFERROR(HLOOKUP($B$1,'liste CIRCUIT'!$B:$AM,318,0)," ")</f>
        <v>1</v>
      </c>
      <c r="C318">
        <f t="shared" si="8"/>
        <v>2</v>
      </c>
      <c r="D318">
        <f t="shared" si="9"/>
        <v>0</v>
      </c>
    </row>
    <row r="319" spans="1:4" hidden="1" x14ac:dyDescent="0.25">
      <c r="A319">
        <f>IFERROR(HLOOKUP($A$1,'liste CIRCUIT'!$B:$AM,319,0)," ")</f>
        <v>1</v>
      </c>
      <c r="B319">
        <f>IFERROR(HLOOKUP($B$1,'liste CIRCUIT'!$B:$AM,319,0)," ")</f>
        <v>1</v>
      </c>
      <c r="C319">
        <f t="shared" si="8"/>
        <v>2</v>
      </c>
      <c r="D319">
        <f t="shared" si="9"/>
        <v>0</v>
      </c>
    </row>
    <row r="320" spans="1:4" hidden="1" x14ac:dyDescent="0.25">
      <c r="A320">
        <f>IFERROR(HLOOKUP($A$1,'liste CIRCUIT'!$B:$AM,320,0)," ")</f>
        <v>0</v>
      </c>
      <c r="B320">
        <f>IFERROR(HLOOKUP($B$1,'liste CIRCUIT'!$B:$AM,320,0)," ")</f>
        <v>0</v>
      </c>
      <c r="C320">
        <f t="shared" si="8"/>
        <v>0</v>
      </c>
      <c r="D320">
        <f t="shared" si="9"/>
        <v>0</v>
      </c>
    </row>
    <row r="321" spans="1:4" hidden="1" x14ac:dyDescent="0.25">
      <c r="A321">
        <f>IFERROR(HLOOKUP($A$1,'liste CIRCUIT'!$B:$AM,321,0)," ")</f>
        <v>1</v>
      </c>
      <c r="B321">
        <f>IFERROR(HLOOKUP($B$1,'liste CIRCUIT'!$B:$AM,321,0)," ")</f>
        <v>0</v>
      </c>
      <c r="C321">
        <f t="shared" si="8"/>
        <v>1</v>
      </c>
      <c r="D321">
        <f t="shared" si="9"/>
        <v>1</v>
      </c>
    </row>
    <row r="322" spans="1:4" hidden="1" x14ac:dyDescent="0.25">
      <c r="A322">
        <f>IFERROR(HLOOKUP($A$1,'liste CIRCUIT'!$B:$AM,322,0)," ")</f>
        <v>0</v>
      </c>
      <c r="B322">
        <f>IFERROR(HLOOKUP($B$1,'liste CIRCUIT'!$B:$AM,322,0)," ")</f>
        <v>0</v>
      </c>
      <c r="C322">
        <f t="shared" si="8"/>
        <v>0</v>
      </c>
      <c r="D322">
        <f t="shared" si="9"/>
        <v>0</v>
      </c>
    </row>
    <row r="323" spans="1:4" hidden="1" x14ac:dyDescent="0.25">
      <c r="A323">
        <f>IFERROR(HLOOKUP($A$1,'liste CIRCUIT'!$B:$AM,323,0)," ")</f>
        <v>0</v>
      </c>
      <c r="B323">
        <f>IFERROR(HLOOKUP($B$1,'liste CIRCUIT'!$B:$AM,323,0)," ")</f>
        <v>1</v>
      </c>
      <c r="C323">
        <f t="shared" ref="C323:C386" si="10">SUM(A323:B323)</f>
        <v>1</v>
      </c>
      <c r="D323">
        <f t="shared" ref="D323:D386" si="11">A323-B323</f>
        <v>-1</v>
      </c>
    </row>
    <row r="324" spans="1:4" hidden="1" x14ac:dyDescent="0.25">
      <c r="A324">
        <f>IFERROR(HLOOKUP($A$1,'liste CIRCUIT'!$B:$AM,324,0)," ")</f>
        <v>0</v>
      </c>
      <c r="B324">
        <f>IFERROR(HLOOKUP($B$1,'liste CIRCUIT'!$B:$AM,324,0)," ")</f>
        <v>0</v>
      </c>
      <c r="C324">
        <f t="shared" si="10"/>
        <v>0</v>
      </c>
      <c r="D324">
        <f t="shared" si="11"/>
        <v>0</v>
      </c>
    </row>
    <row r="325" spans="1:4" hidden="1" x14ac:dyDescent="0.25">
      <c r="A325">
        <f>IFERROR(HLOOKUP($A$1,'liste CIRCUIT'!$B:$AM,325,0)," ")</f>
        <v>1</v>
      </c>
      <c r="B325">
        <f>IFERROR(HLOOKUP($B$1,'liste CIRCUIT'!$B:$AM,325,0)," ")</f>
        <v>1</v>
      </c>
      <c r="C325">
        <f t="shared" si="10"/>
        <v>2</v>
      </c>
      <c r="D325">
        <f t="shared" si="11"/>
        <v>0</v>
      </c>
    </row>
    <row r="326" spans="1:4" hidden="1" x14ac:dyDescent="0.25">
      <c r="A326">
        <f>IFERROR(HLOOKUP($A$1,'liste CIRCUIT'!$B:$AM,326,0)," ")</f>
        <v>1</v>
      </c>
      <c r="B326">
        <f>IFERROR(HLOOKUP($B$1,'liste CIRCUIT'!$B:$AM,326,0)," ")</f>
        <v>1</v>
      </c>
      <c r="C326">
        <f t="shared" si="10"/>
        <v>2</v>
      </c>
      <c r="D326">
        <f t="shared" si="11"/>
        <v>0</v>
      </c>
    </row>
    <row r="327" spans="1:4" hidden="1" x14ac:dyDescent="0.25">
      <c r="A327">
        <f>IFERROR(HLOOKUP($A$1,'liste CIRCUIT'!$B:$AM,327,0)," ")</f>
        <v>1</v>
      </c>
      <c r="B327">
        <f>IFERROR(HLOOKUP($B$1,'liste CIRCUIT'!$B:$AM,327,0)," ")</f>
        <v>1</v>
      </c>
      <c r="C327">
        <f t="shared" si="10"/>
        <v>2</v>
      </c>
      <c r="D327">
        <f t="shared" si="11"/>
        <v>0</v>
      </c>
    </row>
    <row r="328" spans="1:4" hidden="1" x14ac:dyDescent="0.25">
      <c r="A328">
        <f>IFERROR(HLOOKUP($A$1,'liste CIRCUIT'!$B:$AM,328,0)," ")</f>
        <v>1</v>
      </c>
      <c r="B328">
        <f>IFERROR(HLOOKUP($B$1,'liste CIRCUIT'!$B:$AM,328,0)," ")</f>
        <v>1</v>
      </c>
      <c r="C328">
        <f t="shared" si="10"/>
        <v>2</v>
      </c>
      <c r="D328">
        <f t="shared" si="11"/>
        <v>0</v>
      </c>
    </row>
    <row r="329" spans="1:4" hidden="1" x14ac:dyDescent="0.25">
      <c r="A329">
        <f>IFERROR(HLOOKUP($A$1,'liste CIRCUIT'!$B:$AM,329,0)," ")</f>
        <v>0</v>
      </c>
      <c r="B329">
        <f>IFERROR(HLOOKUP($B$1,'liste CIRCUIT'!$B:$AM,329,0)," ")</f>
        <v>0</v>
      </c>
      <c r="C329">
        <f t="shared" si="10"/>
        <v>0</v>
      </c>
      <c r="D329">
        <f t="shared" si="11"/>
        <v>0</v>
      </c>
    </row>
    <row r="330" spans="1:4" hidden="1" x14ac:dyDescent="0.25">
      <c r="A330">
        <f>IFERROR(HLOOKUP($A$1,'liste CIRCUIT'!$B:$AM,330,0)," ")</f>
        <v>0</v>
      </c>
      <c r="B330">
        <f>IFERROR(HLOOKUP($B$1,'liste CIRCUIT'!$B:$AM,330,0)," ")</f>
        <v>0</v>
      </c>
      <c r="C330">
        <f t="shared" si="10"/>
        <v>0</v>
      </c>
      <c r="D330">
        <f t="shared" si="11"/>
        <v>0</v>
      </c>
    </row>
    <row r="331" spans="1:4" hidden="1" x14ac:dyDescent="0.25">
      <c r="A331">
        <f>IFERROR(HLOOKUP($A$1,'liste CIRCUIT'!$B:$AM,331,0)," ")</f>
        <v>1</v>
      </c>
      <c r="B331">
        <f>IFERROR(HLOOKUP($B$1,'liste CIRCUIT'!$B:$AM,331,0)," ")</f>
        <v>1</v>
      </c>
      <c r="C331">
        <f t="shared" si="10"/>
        <v>2</v>
      </c>
      <c r="D331">
        <f t="shared" si="11"/>
        <v>0</v>
      </c>
    </row>
    <row r="332" spans="1:4" hidden="1" x14ac:dyDescent="0.25">
      <c r="A332">
        <f>IFERROR(HLOOKUP($A$1,'liste CIRCUIT'!$B:$AM,332,0)," ")</f>
        <v>0</v>
      </c>
      <c r="B332">
        <f>IFERROR(HLOOKUP($B$1,'liste CIRCUIT'!$B:$AM,332,0)," ")</f>
        <v>0</v>
      </c>
      <c r="C332">
        <f t="shared" si="10"/>
        <v>0</v>
      </c>
      <c r="D332">
        <f t="shared" si="11"/>
        <v>0</v>
      </c>
    </row>
    <row r="333" spans="1:4" hidden="1" x14ac:dyDescent="0.25">
      <c r="A333">
        <f>IFERROR(HLOOKUP($A$1,'liste CIRCUIT'!$B:$AM,333,0)," ")</f>
        <v>0</v>
      </c>
      <c r="B333">
        <f>IFERROR(HLOOKUP($B$1,'liste CIRCUIT'!$B:$AM,333,0)," ")</f>
        <v>0</v>
      </c>
      <c r="C333">
        <f t="shared" si="10"/>
        <v>0</v>
      </c>
      <c r="D333">
        <f t="shared" si="11"/>
        <v>0</v>
      </c>
    </row>
    <row r="334" spans="1:4" hidden="1" x14ac:dyDescent="0.25">
      <c r="A334">
        <f>IFERROR(HLOOKUP($A$1,'liste CIRCUIT'!$B:$AM,334,0)," ")</f>
        <v>0</v>
      </c>
      <c r="B334">
        <f>IFERROR(HLOOKUP($B$1,'liste CIRCUIT'!$B:$AM,334,0)," ")</f>
        <v>0</v>
      </c>
      <c r="C334">
        <f t="shared" si="10"/>
        <v>0</v>
      </c>
      <c r="D334">
        <f t="shared" si="11"/>
        <v>0</v>
      </c>
    </row>
    <row r="335" spans="1:4" hidden="1" x14ac:dyDescent="0.25">
      <c r="A335">
        <f>IFERROR(HLOOKUP($A$1,'liste CIRCUIT'!$B:$AM,335,0)," ")</f>
        <v>1</v>
      </c>
      <c r="B335">
        <f>IFERROR(HLOOKUP($B$1,'liste CIRCUIT'!$B:$AM,335,0)," ")</f>
        <v>1</v>
      </c>
      <c r="C335">
        <f t="shared" si="10"/>
        <v>2</v>
      </c>
      <c r="D335">
        <f t="shared" si="11"/>
        <v>0</v>
      </c>
    </row>
    <row r="336" spans="1:4" hidden="1" x14ac:dyDescent="0.25">
      <c r="A336">
        <f>IFERROR(HLOOKUP($A$1,'liste CIRCUIT'!$B:$AM,336,0)," ")</f>
        <v>0</v>
      </c>
      <c r="B336">
        <f>IFERROR(HLOOKUP($B$1,'liste CIRCUIT'!$B:$AM,336,0)," ")</f>
        <v>0</v>
      </c>
      <c r="C336">
        <f t="shared" si="10"/>
        <v>0</v>
      </c>
      <c r="D336">
        <f t="shared" si="11"/>
        <v>0</v>
      </c>
    </row>
    <row r="337" spans="1:4" hidden="1" x14ac:dyDescent="0.25">
      <c r="A337">
        <f>IFERROR(HLOOKUP($A$1,'liste CIRCUIT'!$B:$AM,337,0)," ")</f>
        <v>0</v>
      </c>
      <c r="B337">
        <f>IFERROR(HLOOKUP($B$1,'liste CIRCUIT'!$B:$AM,337,0)," ")</f>
        <v>0</v>
      </c>
      <c r="C337">
        <f t="shared" si="10"/>
        <v>0</v>
      </c>
      <c r="D337">
        <f t="shared" si="11"/>
        <v>0</v>
      </c>
    </row>
    <row r="338" spans="1:4" hidden="1" x14ac:dyDescent="0.25">
      <c r="A338">
        <f>IFERROR(HLOOKUP($A$1,'liste CIRCUIT'!$B:$AM,338,0)," ")</f>
        <v>1</v>
      </c>
      <c r="B338">
        <f>IFERROR(HLOOKUP($B$1,'liste CIRCUIT'!$B:$AM,338,0)," ")</f>
        <v>0</v>
      </c>
      <c r="C338">
        <f t="shared" si="10"/>
        <v>1</v>
      </c>
      <c r="D338">
        <f t="shared" si="11"/>
        <v>1</v>
      </c>
    </row>
    <row r="339" spans="1:4" hidden="1" x14ac:dyDescent="0.25">
      <c r="A339">
        <f>IFERROR(HLOOKUP($A$1,'liste CIRCUIT'!$B:$AM,339,0)," ")</f>
        <v>0</v>
      </c>
      <c r="B339">
        <f>IFERROR(HLOOKUP($B$1,'liste CIRCUIT'!$B:$AM,339,0)," ")</f>
        <v>0</v>
      </c>
      <c r="C339">
        <f t="shared" si="10"/>
        <v>0</v>
      </c>
      <c r="D339">
        <f t="shared" si="11"/>
        <v>0</v>
      </c>
    </row>
    <row r="340" spans="1:4" hidden="1" x14ac:dyDescent="0.25">
      <c r="A340">
        <f>IFERROR(HLOOKUP($A$1,'liste CIRCUIT'!$B:$AM,340,0)," ")</f>
        <v>0</v>
      </c>
      <c r="B340">
        <f>IFERROR(HLOOKUP($B$1,'liste CIRCUIT'!$B:$AM,340,0)," ")</f>
        <v>0</v>
      </c>
      <c r="C340">
        <f t="shared" si="10"/>
        <v>0</v>
      </c>
      <c r="D340">
        <f t="shared" si="11"/>
        <v>0</v>
      </c>
    </row>
    <row r="341" spans="1:4" hidden="1" x14ac:dyDescent="0.25">
      <c r="A341">
        <f>IFERROR(HLOOKUP($A$1,'liste CIRCUIT'!$B:$AM,341,0)," ")</f>
        <v>0</v>
      </c>
      <c r="B341">
        <f>IFERROR(HLOOKUP($B$1,'liste CIRCUIT'!$B:$AM,341,0)," ")</f>
        <v>0</v>
      </c>
      <c r="C341">
        <f t="shared" si="10"/>
        <v>0</v>
      </c>
      <c r="D341">
        <f t="shared" si="11"/>
        <v>0</v>
      </c>
    </row>
    <row r="342" spans="1:4" hidden="1" x14ac:dyDescent="0.25">
      <c r="A342">
        <f>IFERROR(HLOOKUP($A$1,'liste CIRCUIT'!$B:$AM,342,0)," ")</f>
        <v>0</v>
      </c>
      <c r="B342">
        <f>IFERROR(HLOOKUP($B$1,'liste CIRCUIT'!$B:$AM,342,0)," ")</f>
        <v>1</v>
      </c>
      <c r="C342">
        <f t="shared" si="10"/>
        <v>1</v>
      </c>
      <c r="D342">
        <f t="shared" si="11"/>
        <v>-1</v>
      </c>
    </row>
    <row r="343" spans="1:4" hidden="1" x14ac:dyDescent="0.25">
      <c r="A343">
        <f>IFERROR(HLOOKUP($A$1,'liste CIRCUIT'!$B:$AM,343,0)," ")</f>
        <v>0</v>
      </c>
      <c r="B343">
        <f>IFERROR(HLOOKUP($B$1,'liste CIRCUIT'!$B:$AM,343,0)," ")</f>
        <v>1</v>
      </c>
      <c r="C343">
        <f t="shared" si="10"/>
        <v>1</v>
      </c>
      <c r="D343">
        <f t="shared" si="11"/>
        <v>-1</v>
      </c>
    </row>
    <row r="344" spans="1:4" hidden="1" x14ac:dyDescent="0.25">
      <c r="A344">
        <f>IFERROR(HLOOKUP($A$1,'liste CIRCUIT'!$B:$AM,344,0)," ")</f>
        <v>0</v>
      </c>
      <c r="B344">
        <f>IFERROR(HLOOKUP($B$1,'liste CIRCUIT'!$B:$AM,344,0)," ")</f>
        <v>0</v>
      </c>
      <c r="C344">
        <f t="shared" si="10"/>
        <v>0</v>
      </c>
      <c r="D344">
        <f t="shared" si="11"/>
        <v>0</v>
      </c>
    </row>
    <row r="345" spans="1:4" hidden="1" x14ac:dyDescent="0.25">
      <c r="A345">
        <f>IFERROR(HLOOKUP($A$1,'liste CIRCUIT'!$B:$AM,345,0)," ")</f>
        <v>0</v>
      </c>
      <c r="B345">
        <f>IFERROR(HLOOKUP($B$1,'liste CIRCUIT'!$B:$AM,345,0)," ")</f>
        <v>0</v>
      </c>
      <c r="C345">
        <f t="shared" si="10"/>
        <v>0</v>
      </c>
      <c r="D345">
        <f t="shared" si="11"/>
        <v>0</v>
      </c>
    </row>
    <row r="346" spans="1:4" hidden="1" x14ac:dyDescent="0.25">
      <c r="A346">
        <f>IFERROR(HLOOKUP($A$1,'liste CIRCUIT'!$B:$AM,346,0)," ")</f>
        <v>1</v>
      </c>
      <c r="B346">
        <f>IFERROR(HLOOKUP($B$1,'liste CIRCUIT'!$B:$AM,346,0)," ")</f>
        <v>1</v>
      </c>
      <c r="C346">
        <f t="shared" si="10"/>
        <v>2</v>
      </c>
      <c r="D346">
        <f t="shared" si="11"/>
        <v>0</v>
      </c>
    </row>
    <row r="347" spans="1:4" hidden="1" x14ac:dyDescent="0.25">
      <c r="A347">
        <f>IFERROR(HLOOKUP($A$1,'liste CIRCUIT'!$B:$AM,347,0)," ")</f>
        <v>0</v>
      </c>
      <c r="B347">
        <f>IFERROR(HLOOKUP($B$1,'liste CIRCUIT'!$B:$AM,347,0)," ")</f>
        <v>0</v>
      </c>
      <c r="C347">
        <f t="shared" si="10"/>
        <v>0</v>
      </c>
      <c r="D347">
        <f t="shared" si="11"/>
        <v>0</v>
      </c>
    </row>
    <row r="348" spans="1:4" hidden="1" x14ac:dyDescent="0.25">
      <c r="A348">
        <f>IFERROR(HLOOKUP($A$1,'liste CIRCUIT'!$B:$AM,348,0)," ")</f>
        <v>0</v>
      </c>
      <c r="B348">
        <f>IFERROR(HLOOKUP($B$1,'liste CIRCUIT'!$B:$AM,348,0)," ")</f>
        <v>0</v>
      </c>
      <c r="C348">
        <f t="shared" si="10"/>
        <v>0</v>
      </c>
      <c r="D348">
        <f t="shared" si="11"/>
        <v>0</v>
      </c>
    </row>
    <row r="349" spans="1:4" hidden="1" x14ac:dyDescent="0.25">
      <c r="A349">
        <f>IFERROR(HLOOKUP($A$1,'liste CIRCUIT'!$B:$AM,349,0)," ")</f>
        <v>0</v>
      </c>
      <c r="B349">
        <f>IFERROR(HLOOKUP($B$1,'liste CIRCUIT'!$B:$AM,349,0)," ")</f>
        <v>0</v>
      </c>
      <c r="C349">
        <f t="shared" si="10"/>
        <v>0</v>
      </c>
      <c r="D349">
        <f t="shared" si="11"/>
        <v>0</v>
      </c>
    </row>
    <row r="350" spans="1:4" hidden="1" x14ac:dyDescent="0.25">
      <c r="A350">
        <f>IFERROR(HLOOKUP($A$1,'liste CIRCUIT'!$B:$AM,350,0)," ")</f>
        <v>0</v>
      </c>
      <c r="B350">
        <f>IFERROR(HLOOKUP($B$1,'liste CIRCUIT'!$B:$AM,350,0)," ")</f>
        <v>0</v>
      </c>
      <c r="C350">
        <f t="shared" si="10"/>
        <v>0</v>
      </c>
      <c r="D350">
        <f t="shared" si="11"/>
        <v>0</v>
      </c>
    </row>
    <row r="351" spans="1:4" hidden="1" x14ac:dyDescent="0.25">
      <c r="A351">
        <f>IFERROR(HLOOKUP($A$1,'liste CIRCUIT'!$B:$AM,351,0)," ")</f>
        <v>0</v>
      </c>
      <c r="B351">
        <f>IFERROR(HLOOKUP($B$1,'liste CIRCUIT'!$B:$AM,351,0)," ")</f>
        <v>0</v>
      </c>
      <c r="C351">
        <f t="shared" si="10"/>
        <v>0</v>
      </c>
      <c r="D351">
        <f t="shared" si="11"/>
        <v>0</v>
      </c>
    </row>
    <row r="352" spans="1:4" hidden="1" x14ac:dyDescent="0.25">
      <c r="A352">
        <f>IFERROR(HLOOKUP($A$1,'liste CIRCUIT'!$B:$AM,352,0)," ")</f>
        <v>1</v>
      </c>
      <c r="B352">
        <f>IFERROR(HLOOKUP($B$1,'liste CIRCUIT'!$B:$AM,352,0)," ")</f>
        <v>1</v>
      </c>
      <c r="C352">
        <f t="shared" si="10"/>
        <v>2</v>
      </c>
      <c r="D352">
        <f t="shared" si="11"/>
        <v>0</v>
      </c>
    </row>
    <row r="353" spans="1:4" hidden="1" x14ac:dyDescent="0.25">
      <c r="A353">
        <f>IFERROR(HLOOKUP($A$1,'liste CIRCUIT'!$B:$AM,353,0)," ")</f>
        <v>0</v>
      </c>
      <c r="B353">
        <f>IFERROR(HLOOKUP($B$1,'liste CIRCUIT'!$B:$AM,353,0)," ")</f>
        <v>0</v>
      </c>
      <c r="C353">
        <f t="shared" si="10"/>
        <v>0</v>
      </c>
      <c r="D353">
        <f t="shared" si="11"/>
        <v>0</v>
      </c>
    </row>
    <row r="354" spans="1:4" hidden="1" x14ac:dyDescent="0.25">
      <c r="A354">
        <f>IFERROR(HLOOKUP($A$1,'liste CIRCUIT'!$B:$AM,354,0)," ")</f>
        <v>0</v>
      </c>
      <c r="B354">
        <f>IFERROR(HLOOKUP($B$1,'liste CIRCUIT'!$B:$AM,354,0)," ")</f>
        <v>0</v>
      </c>
      <c r="C354">
        <f t="shared" si="10"/>
        <v>0</v>
      </c>
      <c r="D354">
        <f t="shared" si="11"/>
        <v>0</v>
      </c>
    </row>
    <row r="355" spans="1:4" hidden="1" x14ac:dyDescent="0.25">
      <c r="A355">
        <f>IFERROR(HLOOKUP($A$1,'liste CIRCUIT'!$B:$AM,355,0)," ")</f>
        <v>0</v>
      </c>
      <c r="B355">
        <f>IFERROR(HLOOKUP($B$1,'liste CIRCUIT'!$B:$AM,355,0)," ")</f>
        <v>0</v>
      </c>
      <c r="C355">
        <f t="shared" si="10"/>
        <v>0</v>
      </c>
      <c r="D355">
        <f t="shared" si="11"/>
        <v>0</v>
      </c>
    </row>
    <row r="356" spans="1:4" hidden="1" x14ac:dyDescent="0.25">
      <c r="A356">
        <f>IFERROR(HLOOKUP($A$1,'liste CIRCUIT'!$B:$AM,356,0)," ")</f>
        <v>0</v>
      </c>
      <c r="B356">
        <f>IFERROR(HLOOKUP($B$1,'liste CIRCUIT'!$B:$AM,356,0)," ")</f>
        <v>0</v>
      </c>
      <c r="C356">
        <f t="shared" si="10"/>
        <v>0</v>
      </c>
      <c r="D356">
        <f t="shared" si="11"/>
        <v>0</v>
      </c>
    </row>
    <row r="357" spans="1:4" hidden="1" x14ac:dyDescent="0.25">
      <c r="A357">
        <f>IFERROR(HLOOKUP($A$1,'liste CIRCUIT'!$B:$AM,357,0)," ")</f>
        <v>0</v>
      </c>
      <c r="B357">
        <f>IFERROR(HLOOKUP($B$1,'liste CIRCUIT'!$B:$AM,357,0)," ")</f>
        <v>0</v>
      </c>
      <c r="C357">
        <f t="shared" si="10"/>
        <v>0</v>
      </c>
      <c r="D357">
        <f t="shared" si="11"/>
        <v>0</v>
      </c>
    </row>
    <row r="358" spans="1:4" hidden="1" x14ac:dyDescent="0.25">
      <c r="A358">
        <f>IFERROR(HLOOKUP($A$1,'liste CIRCUIT'!$B:$AM,358,0)," ")</f>
        <v>0</v>
      </c>
      <c r="B358">
        <f>IFERROR(HLOOKUP($B$1,'liste CIRCUIT'!$B:$AM,358,0)," ")</f>
        <v>0</v>
      </c>
      <c r="C358">
        <f t="shared" si="10"/>
        <v>0</v>
      </c>
      <c r="D358">
        <f t="shared" si="11"/>
        <v>0</v>
      </c>
    </row>
    <row r="359" spans="1:4" hidden="1" x14ac:dyDescent="0.25">
      <c r="A359">
        <f>IFERROR(HLOOKUP($A$1,'liste CIRCUIT'!$B:$AM,359,0)," ")</f>
        <v>0</v>
      </c>
      <c r="B359">
        <f>IFERROR(HLOOKUP($B$1,'liste CIRCUIT'!$B:$AM,359,0)," ")</f>
        <v>0</v>
      </c>
      <c r="C359">
        <f t="shared" si="10"/>
        <v>0</v>
      </c>
      <c r="D359">
        <f t="shared" si="11"/>
        <v>0</v>
      </c>
    </row>
    <row r="360" spans="1:4" hidden="1" x14ac:dyDescent="0.25">
      <c r="A360">
        <f>IFERROR(HLOOKUP($A$1,'liste CIRCUIT'!$B:$AM,360,0)," ")</f>
        <v>0</v>
      </c>
      <c r="B360">
        <f>IFERROR(HLOOKUP($B$1,'liste CIRCUIT'!$B:$AM,360,0)," ")</f>
        <v>0</v>
      </c>
      <c r="C360">
        <f t="shared" si="10"/>
        <v>0</v>
      </c>
      <c r="D360">
        <f t="shared" si="11"/>
        <v>0</v>
      </c>
    </row>
    <row r="361" spans="1:4" hidden="1" x14ac:dyDescent="0.25">
      <c r="A361">
        <f>IFERROR(HLOOKUP($A$1,'liste CIRCUIT'!$B:$AM,361,0)," ")</f>
        <v>0</v>
      </c>
      <c r="B361">
        <f>IFERROR(HLOOKUP($B$1,'liste CIRCUIT'!$B:$AM,361,0)," ")</f>
        <v>0</v>
      </c>
      <c r="C361">
        <f t="shared" si="10"/>
        <v>0</v>
      </c>
      <c r="D361">
        <f t="shared" si="11"/>
        <v>0</v>
      </c>
    </row>
    <row r="362" spans="1:4" hidden="1" x14ac:dyDescent="0.25">
      <c r="A362">
        <f>IFERROR(HLOOKUP($A$1,'liste CIRCUIT'!$B:$AM,362,0)," ")</f>
        <v>0</v>
      </c>
      <c r="B362">
        <f>IFERROR(HLOOKUP($B$1,'liste CIRCUIT'!$B:$AM,362,0)," ")</f>
        <v>0</v>
      </c>
      <c r="C362">
        <f t="shared" si="10"/>
        <v>0</v>
      </c>
      <c r="D362">
        <f t="shared" si="11"/>
        <v>0</v>
      </c>
    </row>
    <row r="363" spans="1:4" hidden="1" x14ac:dyDescent="0.25">
      <c r="A363">
        <f>IFERROR(HLOOKUP($A$1,'liste CIRCUIT'!$B:$AM,363,0)," ")</f>
        <v>0</v>
      </c>
      <c r="B363">
        <f>IFERROR(HLOOKUP($B$1,'liste CIRCUIT'!$B:$AM,363,0)," ")</f>
        <v>1</v>
      </c>
      <c r="C363">
        <f t="shared" si="10"/>
        <v>1</v>
      </c>
      <c r="D363">
        <f t="shared" si="11"/>
        <v>-1</v>
      </c>
    </row>
    <row r="364" spans="1:4" hidden="1" x14ac:dyDescent="0.25">
      <c r="A364">
        <f>IFERROR(HLOOKUP($A$1,'liste CIRCUIT'!$B:$AM,364,0)," ")</f>
        <v>0</v>
      </c>
      <c r="B364">
        <f>IFERROR(HLOOKUP($B$1,'liste CIRCUIT'!$B:$AM,364,0)," ")</f>
        <v>0</v>
      </c>
      <c r="C364">
        <f t="shared" si="10"/>
        <v>0</v>
      </c>
      <c r="D364">
        <f t="shared" si="11"/>
        <v>0</v>
      </c>
    </row>
    <row r="365" spans="1:4" hidden="1" x14ac:dyDescent="0.25">
      <c r="A365">
        <f>IFERROR(HLOOKUP($A$1,'liste CIRCUIT'!$B:$AM,365,0)," ")</f>
        <v>0</v>
      </c>
      <c r="B365">
        <f>IFERROR(HLOOKUP($B$1,'liste CIRCUIT'!$B:$AM,365,0)," ")</f>
        <v>0</v>
      </c>
      <c r="C365">
        <f t="shared" si="10"/>
        <v>0</v>
      </c>
      <c r="D365">
        <f t="shared" si="11"/>
        <v>0</v>
      </c>
    </row>
    <row r="366" spans="1:4" hidden="1" x14ac:dyDescent="0.25">
      <c r="A366">
        <f>IFERROR(HLOOKUP($A$1,'liste CIRCUIT'!$B:$AM,366,0)," ")</f>
        <v>0</v>
      </c>
      <c r="B366">
        <f>IFERROR(HLOOKUP($B$1,'liste CIRCUIT'!$B:$AM,366,0)," ")</f>
        <v>0</v>
      </c>
      <c r="C366">
        <f t="shared" si="10"/>
        <v>0</v>
      </c>
      <c r="D366">
        <f t="shared" si="11"/>
        <v>0</v>
      </c>
    </row>
    <row r="367" spans="1:4" hidden="1" x14ac:dyDescent="0.25">
      <c r="A367">
        <f>IFERROR(HLOOKUP($A$1,'liste CIRCUIT'!$B:$AM,367,0)," ")</f>
        <v>0</v>
      </c>
      <c r="B367">
        <f>IFERROR(HLOOKUP($B$1,'liste CIRCUIT'!$B:$AM,367,0)," ")</f>
        <v>0</v>
      </c>
      <c r="C367">
        <f t="shared" si="10"/>
        <v>0</v>
      </c>
      <c r="D367">
        <f t="shared" si="11"/>
        <v>0</v>
      </c>
    </row>
    <row r="368" spans="1:4" hidden="1" x14ac:dyDescent="0.25">
      <c r="A368">
        <f>IFERROR(HLOOKUP($A$1,'liste CIRCUIT'!$B:$AM,368,0)," ")</f>
        <v>0</v>
      </c>
      <c r="B368">
        <f>IFERROR(HLOOKUP($B$1,'liste CIRCUIT'!$B:$AM,368,0)," ")</f>
        <v>0</v>
      </c>
      <c r="C368">
        <f t="shared" si="10"/>
        <v>0</v>
      </c>
      <c r="D368">
        <f t="shared" si="11"/>
        <v>0</v>
      </c>
    </row>
    <row r="369" spans="1:4" hidden="1" x14ac:dyDescent="0.25">
      <c r="A369">
        <f>IFERROR(HLOOKUP($A$1,'liste CIRCUIT'!$B:$AM,369,0)," ")</f>
        <v>1</v>
      </c>
      <c r="B369">
        <f>IFERROR(HLOOKUP($B$1,'liste CIRCUIT'!$B:$AM,369,0)," ")</f>
        <v>0</v>
      </c>
      <c r="C369">
        <f t="shared" si="10"/>
        <v>1</v>
      </c>
      <c r="D369">
        <f t="shared" si="11"/>
        <v>1</v>
      </c>
    </row>
    <row r="370" spans="1:4" hidden="1" x14ac:dyDescent="0.25">
      <c r="A370">
        <f>IFERROR(HLOOKUP($A$1,'liste CIRCUIT'!$B:$AM,370,0)," ")</f>
        <v>0</v>
      </c>
      <c r="B370">
        <f>IFERROR(HLOOKUP($B$1,'liste CIRCUIT'!$B:$AM,370,0)," ")</f>
        <v>0</v>
      </c>
      <c r="C370">
        <f t="shared" si="10"/>
        <v>0</v>
      </c>
      <c r="D370">
        <f t="shared" si="11"/>
        <v>0</v>
      </c>
    </row>
    <row r="371" spans="1:4" hidden="1" x14ac:dyDescent="0.25">
      <c r="A371">
        <f>IFERROR(HLOOKUP($A$1,'liste CIRCUIT'!$B:$AM,371,0)," ")</f>
        <v>0</v>
      </c>
      <c r="B371">
        <f>IFERROR(HLOOKUP($B$1,'liste CIRCUIT'!$B:$AM,371,0)," ")</f>
        <v>0</v>
      </c>
      <c r="C371">
        <f t="shared" si="10"/>
        <v>0</v>
      </c>
      <c r="D371">
        <f t="shared" si="11"/>
        <v>0</v>
      </c>
    </row>
    <row r="372" spans="1:4" hidden="1" x14ac:dyDescent="0.25">
      <c r="A372">
        <f>IFERROR(HLOOKUP($A$1,'liste CIRCUIT'!$B:$AM,372,0)," ")</f>
        <v>0</v>
      </c>
      <c r="B372">
        <f>IFERROR(HLOOKUP($B$1,'liste CIRCUIT'!$B:$AM,372,0)," ")</f>
        <v>0</v>
      </c>
      <c r="C372">
        <f t="shared" si="10"/>
        <v>0</v>
      </c>
      <c r="D372">
        <f t="shared" si="11"/>
        <v>0</v>
      </c>
    </row>
    <row r="373" spans="1:4" hidden="1" x14ac:dyDescent="0.25">
      <c r="A373">
        <f>IFERROR(HLOOKUP($A$1,'liste CIRCUIT'!$B:$AM,373,0)," ")</f>
        <v>0</v>
      </c>
      <c r="B373">
        <f>IFERROR(HLOOKUP($B$1,'liste CIRCUIT'!$B:$AM,373,0)," ")</f>
        <v>0</v>
      </c>
      <c r="C373">
        <f t="shared" si="10"/>
        <v>0</v>
      </c>
      <c r="D373">
        <f t="shared" si="11"/>
        <v>0</v>
      </c>
    </row>
    <row r="374" spans="1:4" hidden="1" x14ac:dyDescent="0.25">
      <c r="A374">
        <f>IFERROR(HLOOKUP($A$1,'liste CIRCUIT'!$B:$AM,374,0)," ")</f>
        <v>0</v>
      </c>
      <c r="B374">
        <f>IFERROR(HLOOKUP($B$1,'liste CIRCUIT'!$B:$AM,374,0)," ")</f>
        <v>0</v>
      </c>
      <c r="C374">
        <f t="shared" si="10"/>
        <v>0</v>
      </c>
      <c r="D374">
        <f t="shared" si="11"/>
        <v>0</v>
      </c>
    </row>
    <row r="375" spans="1:4" hidden="1" x14ac:dyDescent="0.25">
      <c r="A375">
        <f>IFERROR(HLOOKUP($A$1,'liste CIRCUIT'!$B:$AM,375,0)," ")</f>
        <v>0</v>
      </c>
      <c r="B375">
        <f>IFERROR(HLOOKUP($B$1,'liste CIRCUIT'!$B:$AM,375,0)," ")</f>
        <v>0</v>
      </c>
      <c r="C375">
        <f t="shared" si="10"/>
        <v>0</v>
      </c>
      <c r="D375">
        <f t="shared" si="11"/>
        <v>0</v>
      </c>
    </row>
    <row r="376" spans="1:4" hidden="1" x14ac:dyDescent="0.25">
      <c r="A376">
        <f>IFERROR(HLOOKUP($A$1,'liste CIRCUIT'!$B:$AM,376,0)," ")</f>
        <v>0</v>
      </c>
      <c r="B376">
        <f>IFERROR(HLOOKUP($B$1,'liste CIRCUIT'!$B:$AM,376,0)," ")</f>
        <v>0</v>
      </c>
      <c r="C376">
        <f t="shared" si="10"/>
        <v>0</v>
      </c>
      <c r="D376">
        <f t="shared" si="11"/>
        <v>0</v>
      </c>
    </row>
    <row r="377" spans="1:4" hidden="1" x14ac:dyDescent="0.25">
      <c r="A377">
        <f>IFERROR(HLOOKUP($A$1,'liste CIRCUIT'!$B:$AM,377,0)," ")</f>
        <v>0</v>
      </c>
      <c r="B377">
        <f>IFERROR(HLOOKUP($B$1,'liste CIRCUIT'!$B:$AM,377,0)," ")</f>
        <v>0</v>
      </c>
      <c r="C377">
        <f t="shared" si="10"/>
        <v>0</v>
      </c>
      <c r="D377">
        <f t="shared" si="11"/>
        <v>0</v>
      </c>
    </row>
    <row r="378" spans="1:4" hidden="1" x14ac:dyDescent="0.25">
      <c r="A378">
        <f>IFERROR(HLOOKUP($A$1,'liste CIRCUIT'!$B:$AM,378,0)," ")</f>
        <v>0</v>
      </c>
      <c r="B378">
        <f>IFERROR(HLOOKUP($B$1,'liste CIRCUIT'!$B:$AM,378,0)," ")</f>
        <v>0</v>
      </c>
      <c r="C378">
        <f t="shared" si="10"/>
        <v>0</v>
      </c>
      <c r="D378">
        <f t="shared" si="11"/>
        <v>0</v>
      </c>
    </row>
    <row r="379" spans="1:4" hidden="1" x14ac:dyDescent="0.25">
      <c r="A379">
        <f>IFERROR(HLOOKUP($A$1,'liste CIRCUIT'!$B:$AM,379,0)," ")</f>
        <v>0</v>
      </c>
      <c r="B379">
        <f>IFERROR(HLOOKUP($B$1,'liste CIRCUIT'!$B:$AM,379,0)," ")</f>
        <v>0</v>
      </c>
      <c r="C379">
        <f t="shared" si="10"/>
        <v>0</v>
      </c>
      <c r="D379">
        <f t="shared" si="11"/>
        <v>0</v>
      </c>
    </row>
    <row r="380" spans="1:4" hidden="1" x14ac:dyDescent="0.25">
      <c r="A380">
        <f>IFERROR(HLOOKUP($A$1,'liste CIRCUIT'!$B:$AM,380,0)," ")</f>
        <v>0</v>
      </c>
      <c r="B380">
        <f>IFERROR(HLOOKUP($B$1,'liste CIRCUIT'!$B:$AM,380,0)," ")</f>
        <v>0</v>
      </c>
      <c r="C380">
        <f t="shared" si="10"/>
        <v>0</v>
      </c>
      <c r="D380">
        <f t="shared" si="11"/>
        <v>0</v>
      </c>
    </row>
    <row r="381" spans="1:4" hidden="1" x14ac:dyDescent="0.25">
      <c r="A381">
        <f>IFERROR(HLOOKUP($A$1,'liste CIRCUIT'!$B:$AM,381,0)," ")</f>
        <v>0</v>
      </c>
      <c r="B381">
        <f>IFERROR(HLOOKUP($B$1,'liste CIRCUIT'!$B:$AM,381,0)," ")</f>
        <v>0</v>
      </c>
      <c r="C381">
        <f t="shared" si="10"/>
        <v>0</v>
      </c>
      <c r="D381">
        <f t="shared" si="11"/>
        <v>0</v>
      </c>
    </row>
    <row r="382" spans="1:4" hidden="1" x14ac:dyDescent="0.25">
      <c r="A382">
        <f>IFERROR(HLOOKUP($A$1,'liste CIRCUIT'!$B:$AM,382,0)," ")</f>
        <v>0</v>
      </c>
      <c r="B382">
        <f>IFERROR(HLOOKUP($B$1,'liste CIRCUIT'!$B:$AM,382,0)," ")</f>
        <v>0</v>
      </c>
      <c r="C382">
        <f t="shared" si="10"/>
        <v>0</v>
      </c>
      <c r="D382">
        <f t="shared" si="11"/>
        <v>0</v>
      </c>
    </row>
    <row r="383" spans="1:4" hidden="1" x14ac:dyDescent="0.25">
      <c r="A383">
        <f>IFERROR(HLOOKUP($A$1,'liste CIRCUIT'!$B:$AM,383,0)," ")</f>
        <v>0</v>
      </c>
      <c r="B383">
        <f>IFERROR(HLOOKUP($B$1,'liste CIRCUIT'!$B:$AM,383,0)," ")</f>
        <v>0</v>
      </c>
      <c r="C383">
        <f t="shared" si="10"/>
        <v>0</v>
      </c>
      <c r="D383">
        <f t="shared" si="11"/>
        <v>0</v>
      </c>
    </row>
    <row r="384" spans="1:4" hidden="1" x14ac:dyDescent="0.25">
      <c r="A384">
        <f>IFERROR(HLOOKUP($A$1,'liste CIRCUIT'!$B:$AM,384,0)," ")</f>
        <v>0</v>
      </c>
      <c r="B384">
        <f>IFERROR(HLOOKUP($B$1,'liste CIRCUIT'!$B:$AM,384,0)," ")</f>
        <v>0</v>
      </c>
      <c r="C384">
        <f t="shared" si="10"/>
        <v>0</v>
      </c>
      <c r="D384">
        <f t="shared" si="11"/>
        <v>0</v>
      </c>
    </row>
    <row r="385" spans="1:4" hidden="1" x14ac:dyDescent="0.25">
      <c r="A385">
        <f>IFERROR(HLOOKUP($A$1,'liste CIRCUIT'!$B:$AM,385,0)," ")</f>
        <v>0</v>
      </c>
      <c r="B385">
        <f>IFERROR(HLOOKUP($B$1,'liste CIRCUIT'!$B:$AM,385,0)," ")</f>
        <v>0</v>
      </c>
      <c r="C385">
        <f t="shared" si="10"/>
        <v>0</v>
      </c>
      <c r="D385">
        <f t="shared" si="11"/>
        <v>0</v>
      </c>
    </row>
    <row r="386" spans="1:4" hidden="1" x14ac:dyDescent="0.25">
      <c r="A386">
        <f>IFERROR(HLOOKUP($A$1,'liste CIRCUIT'!$B:$AM,386,0)," ")</f>
        <v>0</v>
      </c>
      <c r="B386">
        <f>IFERROR(HLOOKUP($B$1,'liste CIRCUIT'!$B:$AM,386,0)," ")</f>
        <v>0</v>
      </c>
      <c r="C386">
        <f t="shared" si="10"/>
        <v>0</v>
      </c>
      <c r="D386">
        <f t="shared" si="11"/>
        <v>0</v>
      </c>
    </row>
    <row r="387" spans="1:4" hidden="1" x14ac:dyDescent="0.25">
      <c r="A387">
        <f>IFERROR(HLOOKUP($A$1,'liste CIRCUIT'!$B:$AM,387,0)," ")</f>
        <v>0</v>
      </c>
      <c r="B387">
        <f>IFERROR(HLOOKUP($B$1,'liste CIRCUIT'!$B:$AM,387,0)," ")</f>
        <v>0</v>
      </c>
      <c r="C387">
        <f t="shared" ref="C387:C450" si="12">SUM(A387:B387)</f>
        <v>0</v>
      </c>
      <c r="D387">
        <f t="shared" ref="D387:D450" si="13">A387-B387</f>
        <v>0</v>
      </c>
    </row>
    <row r="388" spans="1:4" hidden="1" x14ac:dyDescent="0.25">
      <c r="A388">
        <f>IFERROR(HLOOKUP($A$1,'liste CIRCUIT'!$B:$AM,388,0)," ")</f>
        <v>0</v>
      </c>
      <c r="B388">
        <f>IFERROR(HLOOKUP($B$1,'liste CIRCUIT'!$B:$AM,388,0)," ")</f>
        <v>0</v>
      </c>
      <c r="C388">
        <f t="shared" si="12"/>
        <v>0</v>
      </c>
      <c r="D388">
        <f t="shared" si="13"/>
        <v>0</v>
      </c>
    </row>
    <row r="389" spans="1:4" hidden="1" x14ac:dyDescent="0.25">
      <c r="A389">
        <f>IFERROR(HLOOKUP($A$1,'liste CIRCUIT'!$B:$AM,389,0)," ")</f>
        <v>0</v>
      </c>
      <c r="B389">
        <f>IFERROR(HLOOKUP($B$1,'liste CIRCUIT'!$B:$AM,389,0)," ")</f>
        <v>1</v>
      </c>
      <c r="C389">
        <f t="shared" si="12"/>
        <v>1</v>
      </c>
      <c r="D389">
        <f t="shared" si="13"/>
        <v>-1</v>
      </c>
    </row>
    <row r="390" spans="1:4" hidden="1" x14ac:dyDescent="0.25">
      <c r="A390">
        <f>IFERROR(HLOOKUP($A$1,'liste CIRCUIT'!$B:$AM,390,0)," ")</f>
        <v>0</v>
      </c>
      <c r="B390">
        <f>IFERROR(HLOOKUP($B$1,'liste CIRCUIT'!$B:$AM,390,0)," ")</f>
        <v>1</v>
      </c>
      <c r="C390">
        <f t="shared" si="12"/>
        <v>1</v>
      </c>
      <c r="D390">
        <f t="shared" si="13"/>
        <v>-1</v>
      </c>
    </row>
    <row r="391" spans="1:4" hidden="1" x14ac:dyDescent="0.25">
      <c r="A391">
        <f>IFERROR(HLOOKUP($A$1,'liste CIRCUIT'!$B:$AM,391,0)," ")</f>
        <v>0</v>
      </c>
      <c r="B391">
        <f>IFERROR(HLOOKUP($B$1,'liste CIRCUIT'!$B:$AM,391,0)," ")</f>
        <v>0</v>
      </c>
      <c r="C391">
        <f t="shared" si="12"/>
        <v>0</v>
      </c>
      <c r="D391">
        <f t="shared" si="13"/>
        <v>0</v>
      </c>
    </row>
    <row r="392" spans="1:4" hidden="1" x14ac:dyDescent="0.25">
      <c r="A392">
        <f>IFERROR(HLOOKUP($A$1,'liste CIRCUIT'!$B:$AM,392,0)," ")</f>
        <v>0</v>
      </c>
      <c r="B392">
        <f>IFERROR(HLOOKUP($B$1,'liste CIRCUIT'!$B:$AM,392,0)," ")</f>
        <v>0</v>
      </c>
      <c r="C392">
        <f t="shared" si="12"/>
        <v>0</v>
      </c>
      <c r="D392">
        <f t="shared" si="13"/>
        <v>0</v>
      </c>
    </row>
    <row r="393" spans="1:4" hidden="1" x14ac:dyDescent="0.25">
      <c r="A393">
        <f>IFERROR(HLOOKUP($A$1,'liste CIRCUIT'!$B:$AM,393,0)," ")</f>
        <v>0</v>
      </c>
      <c r="B393">
        <f>IFERROR(HLOOKUP($B$1,'liste CIRCUIT'!$B:$AM,393,0)," ")</f>
        <v>0</v>
      </c>
      <c r="C393">
        <f t="shared" si="12"/>
        <v>0</v>
      </c>
      <c r="D393">
        <f t="shared" si="13"/>
        <v>0</v>
      </c>
    </row>
    <row r="394" spans="1:4" hidden="1" x14ac:dyDescent="0.25">
      <c r="A394">
        <f>IFERROR(HLOOKUP($A$1,'liste CIRCUIT'!$B:$AM,394,0)," ")</f>
        <v>0</v>
      </c>
      <c r="B394">
        <f>IFERROR(HLOOKUP($B$1,'liste CIRCUIT'!$B:$AM,394,0)," ")</f>
        <v>0</v>
      </c>
      <c r="C394">
        <f t="shared" si="12"/>
        <v>0</v>
      </c>
      <c r="D394">
        <f t="shared" si="13"/>
        <v>0</v>
      </c>
    </row>
    <row r="395" spans="1:4" hidden="1" x14ac:dyDescent="0.25">
      <c r="A395">
        <f>IFERROR(HLOOKUP($A$1,'liste CIRCUIT'!$B:$AM,395,0)," ")</f>
        <v>0</v>
      </c>
      <c r="B395">
        <f>IFERROR(HLOOKUP($B$1,'liste CIRCUIT'!$B:$AM,395,0)," ")</f>
        <v>1</v>
      </c>
      <c r="C395">
        <f t="shared" si="12"/>
        <v>1</v>
      </c>
      <c r="D395">
        <f t="shared" si="13"/>
        <v>-1</v>
      </c>
    </row>
    <row r="396" spans="1:4" hidden="1" x14ac:dyDescent="0.25">
      <c r="A396">
        <f>IFERROR(HLOOKUP($A$1,'liste CIRCUIT'!$B:$AM,396,0)," ")</f>
        <v>0</v>
      </c>
      <c r="B396">
        <f>IFERROR(HLOOKUP($B$1,'liste CIRCUIT'!$B:$AM,396,0)," ")</f>
        <v>0</v>
      </c>
      <c r="C396">
        <f t="shared" si="12"/>
        <v>0</v>
      </c>
      <c r="D396">
        <f t="shared" si="13"/>
        <v>0</v>
      </c>
    </row>
    <row r="397" spans="1:4" hidden="1" x14ac:dyDescent="0.25">
      <c r="A397">
        <f>IFERROR(HLOOKUP($A$1,'liste CIRCUIT'!$B:$AM,397,0)," ")</f>
        <v>0</v>
      </c>
      <c r="B397">
        <f>IFERROR(HLOOKUP($B$1,'liste CIRCUIT'!$B:$AM,397,0)," ")</f>
        <v>1</v>
      </c>
      <c r="C397">
        <f t="shared" si="12"/>
        <v>1</v>
      </c>
      <c r="D397">
        <f t="shared" si="13"/>
        <v>-1</v>
      </c>
    </row>
    <row r="398" spans="1:4" hidden="1" x14ac:dyDescent="0.25">
      <c r="A398">
        <f>IFERROR(HLOOKUP($A$1,'liste CIRCUIT'!$B:$AM,398,0)," ")</f>
        <v>0</v>
      </c>
      <c r="B398">
        <f>IFERROR(HLOOKUP($B$1,'liste CIRCUIT'!$B:$AM,398,0)," ")</f>
        <v>0</v>
      </c>
      <c r="C398">
        <f t="shared" si="12"/>
        <v>0</v>
      </c>
      <c r="D398">
        <f t="shared" si="13"/>
        <v>0</v>
      </c>
    </row>
    <row r="399" spans="1:4" hidden="1" x14ac:dyDescent="0.25">
      <c r="A399">
        <f>IFERROR(HLOOKUP($A$1,'liste CIRCUIT'!$B:$AM,399,0)," ")</f>
        <v>0</v>
      </c>
      <c r="B399">
        <f>IFERROR(HLOOKUP($B$1,'liste CIRCUIT'!$B:$AM,399,0)," ")</f>
        <v>0</v>
      </c>
      <c r="C399">
        <f t="shared" si="12"/>
        <v>0</v>
      </c>
      <c r="D399">
        <f t="shared" si="13"/>
        <v>0</v>
      </c>
    </row>
    <row r="400" spans="1:4" hidden="1" x14ac:dyDescent="0.25">
      <c r="A400">
        <f>IFERROR(HLOOKUP($A$1,'liste CIRCUIT'!$B:$AM,400,0)," ")</f>
        <v>0</v>
      </c>
      <c r="B400">
        <f>IFERROR(HLOOKUP($B$1,'liste CIRCUIT'!$B:$AM,400,0)," ")</f>
        <v>0</v>
      </c>
      <c r="C400">
        <f t="shared" si="12"/>
        <v>0</v>
      </c>
      <c r="D400">
        <f t="shared" si="13"/>
        <v>0</v>
      </c>
    </row>
    <row r="401" spans="1:4" hidden="1" x14ac:dyDescent="0.25">
      <c r="A401">
        <f>IFERROR(HLOOKUP($A$1,'liste CIRCUIT'!$B:$AM,401,0)," ")</f>
        <v>0</v>
      </c>
      <c r="B401">
        <f>IFERROR(HLOOKUP($B$1,'liste CIRCUIT'!$B:$AM,401,0)," ")</f>
        <v>0</v>
      </c>
      <c r="C401">
        <f t="shared" si="12"/>
        <v>0</v>
      </c>
      <c r="D401">
        <f t="shared" si="13"/>
        <v>0</v>
      </c>
    </row>
    <row r="402" spans="1:4" hidden="1" x14ac:dyDescent="0.25">
      <c r="A402">
        <f>IFERROR(HLOOKUP($A$1,'liste CIRCUIT'!$B:$AM,402,0)," ")</f>
        <v>0</v>
      </c>
      <c r="B402">
        <f>IFERROR(HLOOKUP($B$1,'liste CIRCUIT'!$B:$AM,402,0)," ")</f>
        <v>0</v>
      </c>
      <c r="C402">
        <f t="shared" si="12"/>
        <v>0</v>
      </c>
      <c r="D402">
        <f t="shared" si="13"/>
        <v>0</v>
      </c>
    </row>
    <row r="403" spans="1:4" hidden="1" x14ac:dyDescent="0.25">
      <c r="A403">
        <f>IFERROR(HLOOKUP($A$1,'liste CIRCUIT'!$B:$AM,403,0)," ")</f>
        <v>0</v>
      </c>
      <c r="B403">
        <f>IFERROR(HLOOKUP($B$1,'liste CIRCUIT'!$B:$AM,403,0)," ")</f>
        <v>0</v>
      </c>
      <c r="C403">
        <f t="shared" si="12"/>
        <v>0</v>
      </c>
      <c r="D403">
        <f t="shared" si="13"/>
        <v>0</v>
      </c>
    </row>
    <row r="404" spans="1:4" hidden="1" x14ac:dyDescent="0.25">
      <c r="A404">
        <f>IFERROR(HLOOKUP($A$1,'liste CIRCUIT'!$B:$AM,404,0)," ")</f>
        <v>0</v>
      </c>
      <c r="B404">
        <f>IFERROR(HLOOKUP($B$1,'liste CIRCUIT'!$B:$AM,404,0)," ")</f>
        <v>0</v>
      </c>
      <c r="C404">
        <f t="shared" si="12"/>
        <v>0</v>
      </c>
      <c r="D404">
        <f t="shared" si="13"/>
        <v>0</v>
      </c>
    </row>
    <row r="405" spans="1:4" hidden="1" x14ac:dyDescent="0.25">
      <c r="A405">
        <f>IFERROR(HLOOKUP($A$1,'liste CIRCUIT'!$B:$AM,405,0)," ")</f>
        <v>0</v>
      </c>
      <c r="B405">
        <f>IFERROR(HLOOKUP($B$1,'liste CIRCUIT'!$B:$AM,405,0)," ")</f>
        <v>0</v>
      </c>
      <c r="C405">
        <f t="shared" si="12"/>
        <v>0</v>
      </c>
      <c r="D405">
        <f t="shared" si="13"/>
        <v>0</v>
      </c>
    </row>
    <row r="406" spans="1:4" hidden="1" x14ac:dyDescent="0.25">
      <c r="A406">
        <f>IFERROR(HLOOKUP($A$1,'liste CIRCUIT'!$B:$AM,406,0)," ")</f>
        <v>0</v>
      </c>
      <c r="B406">
        <f>IFERROR(HLOOKUP($B$1,'liste CIRCUIT'!$B:$AM,406,0)," ")</f>
        <v>0</v>
      </c>
      <c r="C406">
        <f t="shared" si="12"/>
        <v>0</v>
      </c>
      <c r="D406">
        <f t="shared" si="13"/>
        <v>0</v>
      </c>
    </row>
    <row r="407" spans="1:4" hidden="1" x14ac:dyDescent="0.25">
      <c r="A407">
        <f>IFERROR(HLOOKUP($A$1,'liste CIRCUIT'!$B:$AM,407,0)," ")</f>
        <v>0</v>
      </c>
      <c r="B407">
        <f>IFERROR(HLOOKUP($B$1,'liste CIRCUIT'!$B:$AM,407,0)," ")</f>
        <v>1</v>
      </c>
      <c r="C407">
        <f t="shared" si="12"/>
        <v>1</v>
      </c>
      <c r="D407">
        <f t="shared" si="13"/>
        <v>-1</v>
      </c>
    </row>
    <row r="408" spans="1:4" hidden="1" x14ac:dyDescent="0.25">
      <c r="A408">
        <f>IFERROR(HLOOKUP($A$1,'liste CIRCUIT'!$B:$AM,408,0)," ")</f>
        <v>0</v>
      </c>
      <c r="B408">
        <f>IFERROR(HLOOKUP($B$1,'liste CIRCUIT'!$B:$AM,408,0)," ")</f>
        <v>0</v>
      </c>
      <c r="C408">
        <f t="shared" si="12"/>
        <v>0</v>
      </c>
      <c r="D408">
        <f t="shared" si="13"/>
        <v>0</v>
      </c>
    </row>
    <row r="409" spans="1:4" hidden="1" x14ac:dyDescent="0.25">
      <c r="A409">
        <f>IFERROR(HLOOKUP($A$1,'liste CIRCUIT'!$B:$AM,409,0)," ")</f>
        <v>0</v>
      </c>
      <c r="B409">
        <f>IFERROR(HLOOKUP($B$1,'liste CIRCUIT'!$B:$AM,409,0)," ")</f>
        <v>1</v>
      </c>
      <c r="C409">
        <f t="shared" si="12"/>
        <v>1</v>
      </c>
      <c r="D409">
        <f t="shared" si="13"/>
        <v>-1</v>
      </c>
    </row>
    <row r="410" spans="1:4" hidden="1" x14ac:dyDescent="0.25">
      <c r="A410">
        <f>IFERROR(HLOOKUP($A$1,'liste CIRCUIT'!$B:$AM,410,0)," ")</f>
        <v>0</v>
      </c>
      <c r="B410">
        <f>IFERROR(HLOOKUP($B$1,'liste CIRCUIT'!$B:$AM,410,0)," ")</f>
        <v>0</v>
      </c>
      <c r="C410">
        <f t="shared" si="12"/>
        <v>0</v>
      </c>
      <c r="D410">
        <f t="shared" si="13"/>
        <v>0</v>
      </c>
    </row>
    <row r="411" spans="1:4" hidden="1" x14ac:dyDescent="0.25">
      <c r="A411">
        <f>IFERROR(HLOOKUP($A$1,'liste CIRCUIT'!$B:$AM,411,0)," ")</f>
        <v>0</v>
      </c>
      <c r="B411">
        <f>IFERROR(HLOOKUP($B$1,'liste CIRCUIT'!$B:$AM,411,0)," ")</f>
        <v>0</v>
      </c>
      <c r="C411">
        <f t="shared" si="12"/>
        <v>0</v>
      </c>
      <c r="D411">
        <f t="shared" si="13"/>
        <v>0</v>
      </c>
    </row>
    <row r="412" spans="1:4" hidden="1" x14ac:dyDescent="0.25">
      <c r="A412">
        <f>IFERROR(HLOOKUP($A$1,'liste CIRCUIT'!$B:$AM,412,0)," ")</f>
        <v>1</v>
      </c>
      <c r="B412">
        <f>IFERROR(HLOOKUP($B$1,'liste CIRCUIT'!$B:$AM,412,0)," ")</f>
        <v>0</v>
      </c>
      <c r="C412">
        <f t="shared" si="12"/>
        <v>1</v>
      </c>
      <c r="D412">
        <f t="shared" si="13"/>
        <v>1</v>
      </c>
    </row>
    <row r="413" spans="1:4" hidden="1" x14ac:dyDescent="0.25">
      <c r="A413">
        <f>IFERROR(HLOOKUP($A$1,'liste CIRCUIT'!$B:$AM,413,0)," ")</f>
        <v>0</v>
      </c>
      <c r="B413">
        <f>IFERROR(HLOOKUP($B$1,'liste CIRCUIT'!$B:$AM,413,0)," ")</f>
        <v>0</v>
      </c>
      <c r="C413">
        <f t="shared" si="12"/>
        <v>0</v>
      </c>
      <c r="D413">
        <f t="shared" si="13"/>
        <v>0</v>
      </c>
    </row>
    <row r="414" spans="1:4" hidden="1" x14ac:dyDescent="0.25">
      <c r="A414">
        <f>IFERROR(HLOOKUP($A$1,'liste CIRCUIT'!$B:$AM,414,0)," ")</f>
        <v>0</v>
      </c>
      <c r="B414">
        <f>IFERROR(HLOOKUP($B$1,'liste CIRCUIT'!$B:$AM,414,0)," ")</f>
        <v>0</v>
      </c>
      <c r="C414">
        <f t="shared" si="12"/>
        <v>0</v>
      </c>
      <c r="D414">
        <f t="shared" si="13"/>
        <v>0</v>
      </c>
    </row>
    <row r="415" spans="1:4" hidden="1" x14ac:dyDescent="0.25">
      <c r="A415">
        <f>IFERROR(HLOOKUP($A$1,'liste CIRCUIT'!$B:$AM,415,0)," ")</f>
        <v>0</v>
      </c>
      <c r="B415">
        <f>IFERROR(HLOOKUP($B$1,'liste CIRCUIT'!$B:$AM,415,0)," ")</f>
        <v>0</v>
      </c>
      <c r="C415">
        <f t="shared" si="12"/>
        <v>0</v>
      </c>
      <c r="D415">
        <f t="shared" si="13"/>
        <v>0</v>
      </c>
    </row>
    <row r="416" spans="1:4" hidden="1" x14ac:dyDescent="0.25">
      <c r="A416">
        <f>IFERROR(HLOOKUP($A$1,'liste CIRCUIT'!$B:$AM,416,0)," ")</f>
        <v>0</v>
      </c>
      <c r="B416">
        <f>IFERROR(HLOOKUP($B$1,'liste CIRCUIT'!$B:$AM,416,0)," ")</f>
        <v>1</v>
      </c>
      <c r="C416">
        <f t="shared" si="12"/>
        <v>1</v>
      </c>
      <c r="D416">
        <f t="shared" si="13"/>
        <v>-1</v>
      </c>
    </row>
    <row r="417" spans="1:4" hidden="1" x14ac:dyDescent="0.25">
      <c r="A417">
        <f>IFERROR(HLOOKUP($A$1,'liste CIRCUIT'!$B:$AM,417,0)," ")</f>
        <v>1</v>
      </c>
      <c r="B417">
        <f>IFERROR(HLOOKUP($B$1,'liste CIRCUIT'!$B:$AM,417,0)," ")</f>
        <v>0</v>
      </c>
      <c r="C417">
        <f t="shared" si="12"/>
        <v>1</v>
      </c>
      <c r="D417">
        <f t="shared" si="13"/>
        <v>1</v>
      </c>
    </row>
    <row r="418" spans="1:4" hidden="1" x14ac:dyDescent="0.25">
      <c r="A418">
        <f>IFERROR(HLOOKUP($A$1,'liste CIRCUIT'!$B:$AM,418,0)," ")</f>
        <v>0</v>
      </c>
      <c r="B418">
        <f>IFERROR(HLOOKUP($B$1,'liste CIRCUIT'!$B:$AM,418,0)," ")</f>
        <v>0</v>
      </c>
      <c r="C418">
        <f t="shared" si="12"/>
        <v>0</v>
      </c>
      <c r="D418">
        <f t="shared" si="13"/>
        <v>0</v>
      </c>
    </row>
    <row r="419" spans="1:4" hidden="1" x14ac:dyDescent="0.25">
      <c r="A419">
        <f>IFERROR(HLOOKUP($A$1,'liste CIRCUIT'!$B:$AM,419,0)," ")</f>
        <v>0</v>
      </c>
      <c r="B419">
        <f>IFERROR(HLOOKUP($B$1,'liste CIRCUIT'!$B:$AM,419,0)," ")</f>
        <v>1</v>
      </c>
      <c r="C419">
        <f t="shared" si="12"/>
        <v>1</v>
      </c>
      <c r="D419">
        <f t="shared" si="13"/>
        <v>-1</v>
      </c>
    </row>
    <row r="420" spans="1:4" hidden="1" x14ac:dyDescent="0.25">
      <c r="A420">
        <f>IFERROR(HLOOKUP($A$1,'liste CIRCUIT'!$B:$AM,420,0)," ")</f>
        <v>1</v>
      </c>
      <c r="B420">
        <f>IFERROR(HLOOKUP($B$1,'liste CIRCUIT'!$B:$AM,420,0)," ")</f>
        <v>0</v>
      </c>
      <c r="C420">
        <f t="shared" si="12"/>
        <v>1</v>
      </c>
      <c r="D420">
        <f t="shared" si="13"/>
        <v>1</v>
      </c>
    </row>
    <row r="421" spans="1:4" hidden="1" x14ac:dyDescent="0.25">
      <c r="A421">
        <f>IFERROR(HLOOKUP($A$1,'liste CIRCUIT'!$B:$AM,421,0)," ")</f>
        <v>0</v>
      </c>
      <c r="B421">
        <f>IFERROR(HLOOKUP($B$1,'liste CIRCUIT'!$B:$AM,421,0)," ")</f>
        <v>0</v>
      </c>
      <c r="C421">
        <f t="shared" si="12"/>
        <v>0</v>
      </c>
      <c r="D421">
        <f t="shared" si="13"/>
        <v>0</v>
      </c>
    </row>
    <row r="422" spans="1:4" hidden="1" x14ac:dyDescent="0.25">
      <c r="A422">
        <f>IFERROR(HLOOKUP($A$1,'liste CIRCUIT'!$B:$AM,422,0)," ")</f>
        <v>0</v>
      </c>
      <c r="B422">
        <f>IFERROR(HLOOKUP($B$1,'liste CIRCUIT'!$B:$AM,422,0)," ")</f>
        <v>0</v>
      </c>
      <c r="C422">
        <f t="shared" si="12"/>
        <v>0</v>
      </c>
      <c r="D422">
        <f t="shared" si="13"/>
        <v>0</v>
      </c>
    </row>
    <row r="423" spans="1:4" hidden="1" x14ac:dyDescent="0.25">
      <c r="A423">
        <f>IFERROR(HLOOKUP($A$1,'liste CIRCUIT'!$B:$AM,423,0)," ")</f>
        <v>0</v>
      </c>
      <c r="B423">
        <f>IFERROR(HLOOKUP($B$1,'liste CIRCUIT'!$B:$AM,423,0)," ")</f>
        <v>0</v>
      </c>
      <c r="C423">
        <f t="shared" si="12"/>
        <v>0</v>
      </c>
      <c r="D423">
        <f t="shared" si="13"/>
        <v>0</v>
      </c>
    </row>
    <row r="424" spans="1:4" hidden="1" x14ac:dyDescent="0.25">
      <c r="A424">
        <f>IFERROR(HLOOKUP($A$1,'liste CIRCUIT'!$B:$AM,424,0)," ")</f>
        <v>0</v>
      </c>
      <c r="B424">
        <f>IFERROR(HLOOKUP($B$1,'liste CIRCUIT'!$B:$AM,424,0)," ")</f>
        <v>0</v>
      </c>
      <c r="C424">
        <f t="shared" si="12"/>
        <v>0</v>
      </c>
      <c r="D424">
        <f t="shared" si="13"/>
        <v>0</v>
      </c>
    </row>
    <row r="425" spans="1:4" hidden="1" x14ac:dyDescent="0.25">
      <c r="A425">
        <f>IFERROR(HLOOKUP($A$1,'liste CIRCUIT'!$B:$AM,425,0)," ")</f>
        <v>0</v>
      </c>
      <c r="B425">
        <f>IFERROR(HLOOKUP($B$1,'liste CIRCUIT'!$B:$AM,425,0)," ")</f>
        <v>0</v>
      </c>
      <c r="C425">
        <f t="shared" si="12"/>
        <v>0</v>
      </c>
      <c r="D425">
        <f t="shared" si="13"/>
        <v>0</v>
      </c>
    </row>
    <row r="426" spans="1:4" hidden="1" x14ac:dyDescent="0.25">
      <c r="A426">
        <f>IFERROR(HLOOKUP($A$1,'liste CIRCUIT'!$B:$AM,426,0)," ")</f>
        <v>0</v>
      </c>
      <c r="B426">
        <f>IFERROR(HLOOKUP($B$1,'liste CIRCUIT'!$B:$AM,426,0)," ")</f>
        <v>0</v>
      </c>
      <c r="C426">
        <f t="shared" si="12"/>
        <v>0</v>
      </c>
      <c r="D426">
        <f t="shared" si="13"/>
        <v>0</v>
      </c>
    </row>
    <row r="427" spans="1:4" hidden="1" x14ac:dyDescent="0.25">
      <c r="A427">
        <f>IFERROR(HLOOKUP($A$1,'liste CIRCUIT'!$B:$AM,427,0)," ")</f>
        <v>0</v>
      </c>
      <c r="B427">
        <f>IFERROR(HLOOKUP($B$1,'liste CIRCUIT'!$B:$AM,427,0)," ")</f>
        <v>0</v>
      </c>
      <c r="C427">
        <f t="shared" si="12"/>
        <v>0</v>
      </c>
      <c r="D427">
        <f t="shared" si="13"/>
        <v>0</v>
      </c>
    </row>
    <row r="428" spans="1:4" hidden="1" x14ac:dyDescent="0.25">
      <c r="A428">
        <f>IFERROR(HLOOKUP($A$1,'liste CIRCUIT'!$B:$AM,428,0)," ")</f>
        <v>0</v>
      </c>
      <c r="B428">
        <f>IFERROR(HLOOKUP($B$1,'liste CIRCUIT'!$B:$AM,428,0)," ")</f>
        <v>0</v>
      </c>
      <c r="C428">
        <f t="shared" si="12"/>
        <v>0</v>
      </c>
      <c r="D428">
        <f t="shared" si="13"/>
        <v>0</v>
      </c>
    </row>
    <row r="429" spans="1:4" hidden="1" x14ac:dyDescent="0.25">
      <c r="A429">
        <f>IFERROR(HLOOKUP($A$1,'liste CIRCUIT'!$B:$AM,429,0)," ")</f>
        <v>0</v>
      </c>
      <c r="B429">
        <f>IFERROR(HLOOKUP($B$1,'liste CIRCUIT'!$B:$AM,429,0)," ")</f>
        <v>0</v>
      </c>
      <c r="C429">
        <f t="shared" si="12"/>
        <v>0</v>
      </c>
      <c r="D429">
        <f t="shared" si="13"/>
        <v>0</v>
      </c>
    </row>
    <row r="430" spans="1:4" hidden="1" x14ac:dyDescent="0.25">
      <c r="A430">
        <f>IFERROR(HLOOKUP($A$1,'liste CIRCUIT'!$B:$AM,430,0)," ")</f>
        <v>0</v>
      </c>
      <c r="B430">
        <f>IFERROR(HLOOKUP($B$1,'liste CIRCUIT'!$B:$AM,430,0)," ")</f>
        <v>0</v>
      </c>
      <c r="C430">
        <f t="shared" si="12"/>
        <v>0</v>
      </c>
      <c r="D430">
        <f t="shared" si="13"/>
        <v>0</v>
      </c>
    </row>
    <row r="431" spans="1:4" hidden="1" x14ac:dyDescent="0.25">
      <c r="A431">
        <f>IFERROR(HLOOKUP($A$1,'liste CIRCUIT'!$B:$AM,431,0)," ")</f>
        <v>0</v>
      </c>
      <c r="B431">
        <f>IFERROR(HLOOKUP($B$1,'liste CIRCUIT'!$B:$AM,431,0)," ")</f>
        <v>1</v>
      </c>
      <c r="C431">
        <f t="shared" si="12"/>
        <v>1</v>
      </c>
      <c r="D431">
        <f t="shared" si="13"/>
        <v>-1</v>
      </c>
    </row>
    <row r="432" spans="1:4" hidden="1" x14ac:dyDescent="0.25">
      <c r="A432">
        <f>IFERROR(HLOOKUP($A$1,'liste CIRCUIT'!$B:$AM,432,0)," ")</f>
        <v>0</v>
      </c>
      <c r="B432">
        <f>IFERROR(HLOOKUP($B$1,'liste CIRCUIT'!$B:$AM,432,0)," ")</f>
        <v>0</v>
      </c>
      <c r="C432">
        <f t="shared" si="12"/>
        <v>0</v>
      </c>
      <c r="D432">
        <f t="shared" si="13"/>
        <v>0</v>
      </c>
    </row>
    <row r="433" spans="1:4" hidden="1" x14ac:dyDescent="0.25">
      <c r="A433">
        <f>IFERROR(HLOOKUP($A$1,'liste CIRCUIT'!$B:$AM,433,0)," ")</f>
        <v>0</v>
      </c>
      <c r="B433">
        <f>IFERROR(HLOOKUP($B$1,'liste CIRCUIT'!$B:$AM,433,0)," ")</f>
        <v>0</v>
      </c>
      <c r="C433">
        <f t="shared" si="12"/>
        <v>0</v>
      </c>
      <c r="D433">
        <f t="shared" si="13"/>
        <v>0</v>
      </c>
    </row>
    <row r="434" spans="1:4" hidden="1" x14ac:dyDescent="0.25">
      <c r="A434">
        <f>IFERROR(HLOOKUP($A$1,'liste CIRCUIT'!$B:$AM,434,0)," ")</f>
        <v>0</v>
      </c>
      <c r="B434">
        <f>IFERROR(HLOOKUP($B$1,'liste CIRCUIT'!$B:$AM,434,0)," ")</f>
        <v>0</v>
      </c>
      <c r="C434">
        <f t="shared" si="12"/>
        <v>0</v>
      </c>
      <c r="D434">
        <f t="shared" si="13"/>
        <v>0</v>
      </c>
    </row>
    <row r="435" spans="1:4" hidden="1" x14ac:dyDescent="0.25">
      <c r="A435">
        <f>IFERROR(HLOOKUP($A$1,'liste CIRCUIT'!$B:$AM,435,0)," ")</f>
        <v>0</v>
      </c>
      <c r="B435">
        <f>IFERROR(HLOOKUP($B$1,'liste CIRCUIT'!$B:$AM,435,0)," ")</f>
        <v>0</v>
      </c>
      <c r="C435">
        <f t="shared" si="12"/>
        <v>0</v>
      </c>
      <c r="D435">
        <f t="shared" si="13"/>
        <v>0</v>
      </c>
    </row>
    <row r="436" spans="1:4" hidden="1" x14ac:dyDescent="0.25">
      <c r="A436">
        <f>IFERROR(HLOOKUP($A$1,'liste CIRCUIT'!$B:$AM,436,0)," ")</f>
        <v>0</v>
      </c>
      <c r="B436">
        <f>IFERROR(HLOOKUP($B$1,'liste CIRCUIT'!$B:$AM,436,0)," ")</f>
        <v>0</v>
      </c>
      <c r="C436">
        <f t="shared" si="12"/>
        <v>0</v>
      </c>
      <c r="D436">
        <f t="shared" si="13"/>
        <v>0</v>
      </c>
    </row>
    <row r="437" spans="1:4" hidden="1" x14ac:dyDescent="0.25">
      <c r="A437">
        <f>IFERROR(HLOOKUP($A$1,'liste CIRCUIT'!$B:$AM,437,0)," ")</f>
        <v>1</v>
      </c>
      <c r="B437">
        <f>IFERROR(HLOOKUP($B$1,'liste CIRCUIT'!$B:$AM,437,0)," ")</f>
        <v>0</v>
      </c>
      <c r="C437">
        <f t="shared" si="12"/>
        <v>1</v>
      </c>
      <c r="D437">
        <f t="shared" si="13"/>
        <v>1</v>
      </c>
    </row>
    <row r="438" spans="1:4" hidden="1" x14ac:dyDescent="0.25">
      <c r="A438">
        <f>IFERROR(HLOOKUP($A$1,'liste CIRCUIT'!$B:$AM,438,0)," ")</f>
        <v>0</v>
      </c>
      <c r="B438">
        <f>IFERROR(HLOOKUP($B$1,'liste CIRCUIT'!$B:$AM,438,0)," ")</f>
        <v>0</v>
      </c>
      <c r="C438">
        <f t="shared" si="12"/>
        <v>0</v>
      </c>
      <c r="D438">
        <f t="shared" si="13"/>
        <v>0</v>
      </c>
    </row>
    <row r="439" spans="1:4" hidden="1" x14ac:dyDescent="0.25">
      <c r="A439">
        <f>IFERROR(HLOOKUP($A$1,'liste CIRCUIT'!$B:$AM,439,0)," ")</f>
        <v>0</v>
      </c>
      <c r="B439">
        <f>IFERROR(HLOOKUP($B$1,'liste CIRCUIT'!$B:$AM,439,0)," ")</f>
        <v>0</v>
      </c>
      <c r="C439">
        <f t="shared" si="12"/>
        <v>0</v>
      </c>
      <c r="D439">
        <f t="shared" si="13"/>
        <v>0</v>
      </c>
    </row>
    <row r="440" spans="1:4" hidden="1" x14ac:dyDescent="0.25">
      <c r="A440">
        <f>IFERROR(HLOOKUP($A$1,'liste CIRCUIT'!$B:$AM,440,0)," ")</f>
        <v>0</v>
      </c>
      <c r="B440">
        <f>IFERROR(HLOOKUP($B$1,'liste CIRCUIT'!$B:$AM,440,0)," ")</f>
        <v>0</v>
      </c>
      <c r="C440">
        <f t="shared" si="12"/>
        <v>0</v>
      </c>
      <c r="D440">
        <f t="shared" si="13"/>
        <v>0</v>
      </c>
    </row>
    <row r="441" spans="1:4" hidden="1" x14ac:dyDescent="0.25">
      <c r="A441">
        <f>IFERROR(HLOOKUP($A$1,'liste CIRCUIT'!$B:$AM,441,0)," ")</f>
        <v>0</v>
      </c>
      <c r="B441">
        <f>IFERROR(HLOOKUP($B$1,'liste CIRCUIT'!$B:$AM,441,0)," ")</f>
        <v>0</v>
      </c>
      <c r="C441">
        <f t="shared" si="12"/>
        <v>0</v>
      </c>
      <c r="D441">
        <f t="shared" si="13"/>
        <v>0</v>
      </c>
    </row>
    <row r="442" spans="1:4" hidden="1" x14ac:dyDescent="0.25">
      <c r="A442">
        <f>IFERROR(HLOOKUP($A$1,'liste CIRCUIT'!$B:$AM,442,0)," ")</f>
        <v>0</v>
      </c>
      <c r="B442">
        <f>IFERROR(HLOOKUP($B$1,'liste CIRCUIT'!$B:$AM,442,0)," ")</f>
        <v>0</v>
      </c>
      <c r="C442">
        <f t="shared" si="12"/>
        <v>0</v>
      </c>
      <c r="D442">
        <f t="shared" si="13"/>
        <v>0</v>
      </c>
    </row>
    <row r="443" spans="1:4" hidden="1" x14ac:dyDescent="0.25">
      <c r="A443">
        <f>IFERROR(HLOOKUP($A$1,'liste CIRCUIT'!$B:$AM,443,0)," ")</f>
        <v>0</v>
      </c>
      <c r="B443">
        <f>IFERROR(HLOOKUP($B$1,'liste CIRCUIT'!$B:$AM,443,0)," ")</f>
        <v>0</v>
      </c>
      <c r="C443">
        <f t="shared" si="12"/>
        <v>0</v>
      </c>
      <c r="D443">
        <f t="shared" si="13"/>
        <v>0</v>
      </c>
    </row>
    <row r="444" spans="1:4" hidden="1" x14ac:dyDescent="0.25">
      <c r="A444">
        <f>IFERROR(HLOOKUP($A$1,'liste CIRCUIT'!$B:$AM,444,0)," ")</f>
        <v>1</v>
      </c>
      <c r="B444">
        <f>IFERROR(HLOOKUP($B$1,'liste CIRCUIT'!$B:$AM,444,0)," ")</f>
        <v>1</v>
      </c>
      <c r="C444">
        <f t="shared" si="12"/>
        <v>2</v>
      </c>
      <c r="D444">
        <f t="shared" si="13"/>
        <v>0</v>
      </c>
    </row>
    <row r="445" spans="1:4" hidden="1" x14ac:dyDescent="0.25">
      <c r="A445">
        <f>IFERROR(HLOOKUP($A$1,'liste CIRCUIT'!$B:$AM,445,0)," ")</f>
        <v>0</v>
      </c>
      <c r="B445">
        <f>IFERROR(HLOOKUP($B$1,'liste CIRCUIT'!$B:$AM,445,0)," ")</f>
        <v>0</v>
      </c>
      <c r="C445">
        <f t="shared" si="12"/>
        <v>0</v>
      </c>
      <c r="D445">
        <f t="shared" si="13"/>
        <v>0</v>
      </c>
    </row>
    <row r="446" spans="1:4" hidden="1" x14ac:dyDescent="0.25">
      <c r="A446">
        <f>IFERROR(HLOOKUP($A$1,'liste CIRCUIT'!$B:$AM,446,0)," ")</f>
        <v>0</v>
      </c>
      <c r="B446">
        <f>IFERROR(HLOOKUP($B$1,'liste CIRCUIT'!$B:$AM,446,0)," ")</f>
        <v>0</v>
      </c>
      <c r="C446">
        <f t="shared" si="12"/>
        <v>0</v>
      </c>
      <c r="D446">
        <f t="shared" si="13"/>
        <v>0</v>
      </c>
    </row>
    <row r="447" spans="1:4" hidden="1" x14ac:dyDescent="0.25">
      <c r="A447">
        <f>IFERROR(HLOOKUP($A$1,'liste CIRCUIT'!$B:$AM,447,0)," ")</f>
        <v>0</v>
      </c>
      <c r="B447">
        <f>IFERROR(HLOOKUP($B$1,'liste CIRCUIT'!$B:$AM,447,0)," ")</f>
        <v>0</v>
      </c>
      <c r="C447">
        <f t="shared" si="12"/>
        <v>0</v>
      </c>
      <c r="D447">
        <f t="shared" si="13"/>
        <v>0</v>
      </c>
    </row>
    <row r="448" spans="1:4" hidden="1" x14ac:dyDescent="0.25">
      <c r="A448">
        <f>IFERROR(HLOOKUP($A$1,'liste CIRCUIT'!$B:$AM,448,0)," ")</f>
        <v>1</v>
      </c>
      <c r="B448">
        <f>IFERROR(HLOOKUP($B$1,'liste CIRCUIT'!$B:$AM,448,0)," ")</f>
        <v>1</v>
      </c>
      <c r="C448">
        <f t="shared" si="12"/>
        <v>2</v>
      </c>
      <c r="D448">
        <f t="shared" si="13"/>
        <v>0</v>
      </c>
    </row>
    <row r="449" spans="1:4" hidden="1" x14ac:dyDescent="0.25">
      <c r="A449">
        <f>IFERROR(HLOOKUP($A$1,'liste CIRCUIT'!$B:$AM,449,0)," ")</f>
        <v>0</v>
      </c>
      <c r="B449">
        <f>IFERROR(HLOOKUP($B$1,'liste CIRCUIT'!$B:$AM,449,0)," ")</f>
        <v>0</v>
      </c>
      <c r="C449">
        <f t="shared" si="12"/>
        <v>0</v>
      </c>
      <c r="D449">
        <f t="shared" si="13"/>
        <v>0</v>
      </c>
    </row>
    <row r="450" spans="1:4" hidden="1" x14ac:dyDescent="0.25">
      <c r="A450">
        <f>IFERROR(HLOOKUP($A$1,'liste CIRCUIT'!$B:$AM,450,0)," ")</f>
        <v>0</v>
      </c>
      <c r="B450">
        <f>IFERROR(HLOOKUP($B$1,'liste CIRCUIT'!$B:$AM,450,0)," ")</f>
        <v>0</v>
      </c>
      <c r="C450">
        <f t="shared" si="12"/>
        <v>0</v>
      </c>
      <c r="D450">
        <f t="shared" si="13"/>
        <v>0</v>
      </c>
    </row>
    <row r="451" spans="1:4" hidden="1" x14ac:dyDescent="0.25">
      <c r="A451">
        <f>IFERROR(HLOOKUP($A$1,'liste CIRCUIT'!$B:$AM,451,0)," ")</f>
        <v>0</v>
      </c>
      <c r="B451">
        <f>IFERROR(HLOOKUP($B$1,'liste CIRCUIT'!$B:$AM,451,0)," ")</f>
        <v>0</v>
      </c>
      <c r="C451">
        <f t="shared" ref="C451:C514" si="14">SUM(A451:B451)</f>
        <v>0</v>
      </c>
      <c r="D451">
        <f t="shared" ref="D451:D514" si="15">A451-B451</f>
        <v>0</v>
      </c>
    </row>
    <row r="452" spans="1:4" hidden="1" x14ac:dyDescent="0.25">
      <c r="A452">
        <f>IFERROR(HLOOKUP($A$1,'liste CIRCUIT'!$B:$AM,452,0)," ")</f>
        <v>1</v>
      </c>
      <c r="B452">
        <f>IFERROR(HLOOKUP($B$1,'liste CIRCUIT'!$B:$AM,452,0)," ")</f>
        <v>1</v>
      </c>
      <c r="C452">
        <f t="shared" si="14"/>
        <v>2</v>
      </c>
      <c r="D452">
        <f t="shared" si="15"/>
        <v>0</v>
      </c>
    </row>
    <row r="453" spans="1:4" hidden="1" x14ac:dyDescent="0.25">
      <c r="A453">
        <f>IFERROR(HLOOKUP($A$1,'liste CIRCUIT'!$B:$AM,453,0)," ")</f>
        <v>1</v>
      </c>
      <c r="B453">
        <f>IFERROR(HLOOKUP($B$1,'liste CIRCUIT'!$B:$AM,453,0)," ")</f>
        <v>1</v>
      </c>
      <c r="C453">
        <f t="shared" si="14"/>
        <v>2</v>
      </c>
      <c r="D453">
        <f t="shared" si="15"/>
        <v>0</v>
      </c>
    </row>
    <row r="454" spans="1:4" hidden="1" x14ac:dyDescent="0.25">
      <c r="A454">
        <f>IFERROR(HLOOKUP($A$1,'liste CIRCUIT'!$B:$AM,454,0)," ")</f>
        <v>1</v>
      </c>
      <c r="B454">
        <f>IFERROR(HLOOKUP($B$1,'liste CIRCUIT'!$B:$AM,454,0)," ")</f>
        <v>1</v>
      </c>
      <c r="C454">
        <f t="shared" si="14"/>
        <v>2</v>
      </c>
      <c r="D454">
        <f t="shared" si="15"/>
        <v>0</v>
      </c>
    </row>
    <row r="455" spans="1:4" hidden="1" x14ac:dyDescent="0.25">
      <c r="A455">
        <f>IFERROR(HLOOKUP($A$1,'liste CIRCUIT'!$B:$AM,455,0)," ")</f>
        <v>0</v>
      </c>
      <c r="B455">
        <f>IFERROR(HLOOKUP($B$1,'liste CIRCUIT'!$B:$AM,455,0)," ")</f>
        <v>0</v>
      </c>
      <c r="C455">
        <f t="shared" si="14"/>
        <v>0</v>
      </c>
      <c r="D455">
        <f t="shared" si="15"/>
        <v>0</v>
      </c>
    </row>
    <row r="456" spans="1:4" hidden="1" x14ac:dyDescent="0.25">
      <c r="A456">
        <f>IFERROR(HLOOKUP($A$1,'liste CIRCUIT'!$B:$AM,456,0)," ")</f>
        <v>0</v>
      </c>
      <c r="B456">
        <f>IFERROR(HLOOKUP($B$1,'liste CIRCUIT'!$B:$AM,456,0)," ")</f>
        <v>0</v>
      </c>
      <c r="C456">
        <f t="shared" si="14"/>
        <v>0</v>
      </c>
      <c r="D456">
        <f t="shared" si="15"/>
        <v>0</v>
      </c>
    </row>
    <row r="457" spans="1:4" hidden="1" x14ac:dyDescent="0.25">
      <c r="A457">
        <f>IFERROR(HLOOKUP($A$1,'liste CIRCUIT'!$B:$AM,457,0)," ")</f>
        <v>0</v>
      </c>
      <c r="B457">
        <f>IFERROR(HLOOKUP($B$1,'liste CIRCUIT'!$B:$AM,457,0)," ")</f>
        <v>0</v>
      </c>
      <c r="C457">
        <f t="shared" si="14"/>
        <v>0</v>
      </c>
      <c r="D457">
        <f t="shared" si="15"/>
        <v>0</v>
      </c>
    </row>
    <row r="458" spans="1:4" hidden="1" x14ac:dyDescent="0.25">
      <c r="A458">
        <f>IFERROR(HLOOKUP($A$1,'liste CIRCUIT'!$B:$AM,458,0)," ")</f>
        <v>0</v>
      </c>
      <c r="B458">
        <f>IFERROR(HLOOKUP($B$1,'liste CIRCUIT'!$B:$AM,458,0)," ")</f>
        <v>0</v>
      </c>
      <c r="C458">
        <f t="shared" si="14"/>
        <v>0</v>
      </c>
      <c r="D458">
        <f t="shared" si="15"/>
        <v>0</v>
      </c>
    </row>
    <row r="459" spans="1:4" hidden="1" x14ac:dyDescent="0.25">
      <c r="A459">
        <f>IFERROR(HLOOKUP($A$1,'liste CIRCUIT'!$B:$AM,459,0)," ")</f>
        <v>0</v>
      </c>
      <c r="B459">
        <f>IFERROR(HLOOKUP($B$1,'liste CIRCUIT'!$B:$AM,459,0)," ")</f>
        <v>0</v>
      </c>
      <c r="C459">
        <f t="shared" si="14"/>
        <v>0</v>
      </c>
      <c r="D459">
        <f t="shared" si="15"/>
        <v>0</v>
      </c>
    </row>
    <row r="460" spans="1:4" hidden="1" x14ac:dyDescent="0.25">
      <c r="A460">
        <f>IFERROR(HLOOKUP($A$1,'liste CIRCUIT'!$B:$AM,460,0)," ")</f>
        <v>0</v>
      </c>
      <c r="B460">
        <f>IFERROR(HLOOKUP($B$1,'liste CIRCUIT'!$B:$AM,460,0)," ")</f>
        <v>0</v>
      </c>
      <c r="C460">
        <f t="shared" si="14"/>
        <v>0</v>
      </c>
      <c r="D460">
        <f t="shared" si="15"/>
        <v>0</v>
      </c>
    </row>
    <row r="461" spans="1:4" hidden="1" x14ac:dyDescent="0.25">
      <c r="A461">
        <f>IFERROR(HLOOKUP($A$1,'liste CIRCUIT'!$B:$AM,461,0)," ")</f>
        <v>0</v>
      </c>
      <c r="B461">
        <f>IFERROR(HLOOKUP($B$1,'liste CIRCUIT'!$B:$AM,461,0)," ")</f>
        <v>0</v>
      </c>
      <c r="C461">
        <f t="shared" si="14"/>
        <v>0</v>
      </c>
      <c r="D461">
        <f t="shared" si="15"/>
        <v>0</v>
      </c>
    </row>
    <row r="462" spans="1:4" hidden="1" x14ac:dyDescent="0.25">
      <c r="A462">
        <f>IFERROR(HLOOKUP($A$1,'liste CIRCUIT'!$B:$AM,462,0)," ")</f>
        <v>0</v>
      </c>
      <c r="B462">
        <f>IFERROR(HLOOKUP($B$1,'liste CIRCUIT'!$B:$AM,462,0)," ")</f>
        <v>1</v>
      </c>
      <c r="C462">
        <f t="shared" si="14"/>
        <v>1</v>
      </c>
      <c r="D462">
        <f t="shared" si="15"/>
        <v>-1</v>
      </c>
    </row>
    <row r="463" spans="1:4" hidden="1" x14ac:dyDescent="0.25">
      <c r="A463">
        <f>IFERROR(HLOOKUP($A$1,'liste CIRCUIT'!$B:$AM,463,0)," ")</f>
        <v>0</v>
      </c>
      <c r="B463">
        <f>IFERROR(HLOOKUP($B$1,'liste CIRCUIT'!$B:$AM,463,0)," ")</f>
        <v>0</v>
      </c>
      <c r="C463">
        <f t="shared" si="14"/>
        <v>0</v>
      </c>
      <c r="D463">
        <f t="shared" si="15"/>
        <v>0</v>
      </c>
    </row>
    <row r="464" spans="1:4" hidden="1" x14ac:dyDescent="0.25">
      <c r="A464">
        <f>IFERROR(HLOOKUP($A$1,'liste CIRCUIT'!$B:$AM,464,0)," ")</f>
        <v>0</v>
      </c>
      <c r="B464">
        <f>IFERROR(HLOOKUP($B$1,'liste CIRCUIT'!$B:$AM,464,0)," ")</f>
        <v>0</v>
      </c>
      <c r="C464">
        <f t="shared" si="14"/>
        <v>0</v>
      </c>
      <c r="D464">
        <f t="shared" si="15"/>
        <v>0</v>
      </c>
    </row>
    <row r="465" spans="1:4" hidden="1" x14ac:dyDescent="0.25">
      <c r="A465">
        <f>IFERROR(HLOOKUP($A$1,'liste CIRCUIT'!$B:$AM,465,0)," ")</f>
        <v>0</v>
      </c>
      <c r="B465">
        <f>IFERROR(HLOOKUP($B$1,'liste CIRCUIT'!$B:$AM,465,0)," ")</f>
        <v>0</v>
      </c>
      <c r="C465">
        <f t="shared" si="14"/>
        <v>0</v>
      </c>
      <c r="D465">
        <f t="shared" si="15"/>
        <v>0</v>
      </c>
    </row>
    <row r="466" spans="1:4" hidden="1" x14ac:dyDescent="0.25">
      <c r="A466">
        <f>IFERROR(HLOOKUP($A$1,'liste CIRCUIT'!$B:$AM,466,0)," ")</f>
        <v>0</v>
      </c>
      <c r="B466">
        <f>IFERROR(HLOOKUP($B$1,'liste CIRCUIT'!$B:$AM,466,0)," ")</f>
        <v>0</v>
      </c>
      <c r="C466">
        <f t="shared" si="14"/>
        <v>0</v>
      </c>
      <c r="D466">
        <f t="shared" si="15"/>
        <v>0</v>
      </c>
    </row>
    <row r="467" spans="1:4" hidden="1" x14ac:dyDescent="0.25">
      <c r="A467">
        <f>IFERROR(HLOOKUP($A$1,'liste CIRCUIT'!$B:$AM,467,0)," ")</f>
        <v>0</v>
      </c>
      <c r="B467">
        <f>IFERROR(HLOOKUP($B$1,'liste CIRCUIT'!$B:$AM,467,0)," ")</f>
        <v>0</v>
      </c>
      <c r="C467">
        <f t="shared" si="14"/>
        <v>0</v>
      </c>
      <c r="D467">
        <f t="shared" si="15"/>
        <v>0</v>
      </c>
    </row>
    <row r="468" spans="1:4" hidden="1" x14ac:dyDescent="0.25">
      <c r="A468">
        <f>IFERROR(HLOOKUP($A$1,'liste CIRCUIT'!$B:$AM,468,0)," ")</f>
        <v>0</v>
      </c>
      <c r="B468">
        <f>IFERROR(HLOOKUP($B$1,'liste CIRCUIT'!$B:$AM,468,0)," ")</f>
        <v>1</v>
      </c>
      <c r="C468">
        <f t="shared" si="14"/>
        <v>1</v>
      </c>
      <c r="D468">
        <f t="shared" si="15"/>
        <v>-1</v>
      </c>
    </row>
    <row r="469" spans="1:4" hidden="1" x14ac:dyDescent="0.25">
      <c r="A469">
        <f>IFERROR(HLOOKUP($A$1,'liste CIRCUIT'!$B:$AM,469,0)," ")</f>
        <v>0</v>
      </c>
      <c r="B469">
        <f>IFERROR(HLOOKUP($B$1,'liste CIRCUIT'!$B:$AM,469,0)," ")</f>
        <v>0</v>
      </c>
      <c r="C469">
        <f t="shared" si="14"/>
        <v>0</v>
      </c>
      <c r="D469">
        <f t="shared" si="15"/>
        <v>0</v>
      </c>
    </row>
    <row r="470" spans="1:4" hidden="1" x14ac:dyDescent="0.25">
      <c r="A470">
        <f>IFERROR(HLOOKUP($A$1,'liste CIRCUIT'!$B:$AM,470,0)," ")</f>
        <v>0</v>
      </c>
      <c r="B470">
        <f>IFERROR(HLOOKUP($B$1,'liste CIRCUIT'!$B:$AM,470,0)," ")</f>
        <v>0</v>
      </c>
      <c r="C470">
        <f t="shared" si="14"/>
        <v>0</v>
      </c>
      <c r="D470">
        <f t="shared" si="15"/>
        <v>0</v>
      </c>
    </row>
    <row r="471" spans="1:4" hidden="1" x14ac:dyDescent="0.25">
      <c r="A471">
        <f>IFERROR(HLOOKUP($A$1,'liste CIRCUIT'!$B:$AM,471,0)," ")</f>
        <v>0</v>
      </c>
      <c r="B471">
        <f>IFERROR(HLOOKUP($B$1,'liste CIRCUIT'!$B:$AM,471,0)," ")</f>
        <v>0</v>
      </c>
      <c r="C471">
        <f t="shared" si="14"/>
        <v>0</v>
      </c>
      <c r="D471">
        <f t="shared" si="15"/>
        <v>0</v>
      </c>
    </row>
    <row r="472" spans="1:4" hidden="1" x14ac:dyDescent="0.25">
      <c r="A472">
        <f>IFERROR(HLOOKUP($A$1,'liste CIRCUIT'!$B:$AM,472,0)," ")</f>
        <v>0</v>
      </c>
      <c r="B472">
        <f>IFERROR(HLOOKUP($B$1,'liste CIRCUIT'!$B:$AM,472,0)," ")</f>
        <v>0</v>
      </c>
      <c r="C472">
        <f t="shared" si="14"/>
        <v>0</v>
      </c>
      <c r="D472">
        <f t="shared" si="15"/>
        <v>0</v>
      </c>
    </row>
    <row r="473" spans="1:4" hidden="1" x14ac:dyDescent="0.25">
      <c r="A473">
        <f>IFERROR(HLOOKUP($A$1,'liste CIRCUIT'!$B:$AM,473,0)," ")</f>
        <v>0</v>
      </c>
      <c r="B473">
        <f>IFERROR(HLOOKUP($B$1,'liste CIRCUIT'!$B:$AM,473,0)," ")</f>
        <v>0</v>
      </c>
      <c r="C473">
        <f t="shared" si="14"/>
        <v>0</v>
      </c>
      <c r="D473">
        <f t="shared" si="15"/>
        <v>0</v>
      </c>
    </row>
    <row r="474" spans="1:4" hidden="1" x14ac:dyDescent="0.25">
      <c r="A474">
        <f>IFERROR(HLOOKUP($A$1,'liste CIRCUIT'!$B:$AM,474,0)," ")</f>
        <v>0</v>
      </c>
      <c r="B474">
        <f>IFERROR(HLOOKUP($B$1,'liste CIRCUIT'!$B:$AM,474,0)," ")</f>
        <v>0</v>
      </c>
      <c r="C474">
        <f t="shared" si="14"/>
        <v>0</v>
      </c>
      <c r="D474">
        <f t="shared" si="15"/>
        <v>0</v>
      </c>
    </row>
    <row r="475" spans="1:4" hidden="1" x14ac:dyDescent="0.25">
      <c r="A475">
        <f>IFERROR(HLOOKUP($A$1,'liste CIRCUIT'!$B:$AM,475,0)," ")</f>
        <v>0</v>
      </c>
      <c r="B475">
        <f>IFERROR(HLOOKUP($B$1,'liste CIRCUIT'!$B:$AM,475,0)," ")</f>
        <v>0</v>
      </c>
      <c r="C475">
        <f t="shared" si="14"/>
        <v>0</v>
      </c>
      <c r="D475">
        <f t="shared" si="15"/>
        <v>0</v>
      </c>
    </row>
    <row r="476" spans="1:4" hidden="1" x14ac:dyDescent="0.25">
      <c r="A476">
        <f>IFERROR(HLOOKUP($A$1,'liste CIRCUIT'!$B:$AM,476,0)," ")</f>
        <v>0</v>
      </c>
      <c r="B476">
        <f>IFERROR(HLOOKUP($B$1,'liste CIRCUIT'!$B:$AM,476,0)," ")</f>
        <v>0</v>
      </c>
      <c r="C476">
        <f t="shared" si="14"/>
        <v>0</v>
      </c>
      <c r="D476">
        <f t="shared" si="15"/>
        <v>0</v>
      </c>
    </row>
    <row r="477" spans="1:4" hidden="1" x14ac:dyDescent="0.25">
      <c r="A477">
        <f>IFERROR(HLOOKUP($A$1,'liste CIRCUIT'!$B:$AM,477,0)," ")</f>
        <v>0</v>
      </c>
      <c r="B477">
        <f>IFERROR(HLOOKUP($B$1,'liste CIRCUIT'!$B:$AM,477,0)," ")</f>
        <v>1</v>
      </c>
      <c r="C477">
        <f t="shared" si="14"/>
        <v>1</v>
      </c>
      <c r="D477">
        <f t="shared" si="15"/>
        <v>-1</v>
      </c>
    </row>
    <row r="478" spans="1:4" hidden="1" x14ac:dyDescent="0.25">
      <c r="A478">
        <f>IFERROR(HLOOKUP($A$1,'liste CIRCUIT'!$B:$AM,478,0)," ")</f>
        <v>0</v>
      </c>
      <c r="B478">
        <f>IFERROR(HLOOKUP($B$1,'liste CIRCUIT'!$B:$AM,478,0)," ")</f>
        <v>1</v>
      </c>
      <c r="C478">
        <f t="shared" si="14"/>
        <v>1</v>
      </c>
      <c r="D478">
        <f t="shared" si="15"/>
        <v>-1</v>
      </c>
    </row>
    <row r="479" spans="1:4" hidden="1" x14ac:dyDescent="0.25">
      <c r="A479">
        <f>IFERROR(HLOOKUP($A$1,'liste CIRCUIT'!$B:$AM,479,0)," ")</f>
        <v>1</v>
      </c>
      <c r="B479">
        <f>IFERROR(HLOOKUP($B$1,'liste CIRCUIT'!$B:$AM,479,0)," ")</f>
        <v>1</v>
      </c>
      <c r="C479">
        <f t="shared" si="14"/>
        <v>2</v>
      </c>
      <c r="D479">
        <f t="shared" si="15"/>
        <v>0</v>
      </c>
    </row>
    <row r="480" spans="1:4" hidden="1" x14ac:dyDescent="0.25">
      <c r="A480">
        <f>IFERROR(HLOOKUP($A$1,'liste CIRCUIT'!$B:$AM,480,0)," ")</f>
        <v>1</v>
      </c>
      <c r="B480">
        <f>IFERROR(HLOOKUP($B$1,'liste CIRCUIT'!$B:$AM,480,0)," ")</f>
        <v>1</v>
      </c>
      <c r="C480">
        <f t="shared" si="14"/>
        <v>2</v>
      </c>
      <c r="D480">
        <f t="shared" si="15"/>
        <v>0</v>
      </c>
    </row>
    <row r="481" spans="1:4" hidden="1" x14ac:dyDescent="0.25">
      <c r="A481">
        <f>IFERROR(HLOOKUP($A$1,'liste CIRCUIT'!$B:$AM,481,0)," ")</f>
        <v>0</v>
      </c>
      <c r="B481">
        <f>IFERROR(HLOOKUP($B$1,'liste CIRCUIT'!$B:$AM,481,0)," ")</f>
        <v>0</v>
      </c>
      <c r="C481">
        <f t="shared" si="14"/>
        <v>0</v>
      </c>
      <c r="D481">
        <f t="shared" si="15"/>
        <v>0</v>
      </c>
    </row>
    <row r="482" spans="1:4" hidden="1" x14ac:dyDescent="0.25">
      <c r="A482">
        <f>IFERROR(HLOOKUP($A$1,'liste CIRCUIT'!$B:$AM,482,0)," ")</f>
        <v>0</v>
      </c>
      <c r="B482">
        <f>IFERROR(HLOOKUP($B$1,'liste CIRCUIT'!$B:$AM,482,0)," ")</f>
        <v>0</v>
      </c>
      <c r="C482">
        <f t="shared" si="14"/>
        <v>0</v>
      </c>
      <c r="D482">
        <f t="shared" si="15"/>
        <v>0</v>
      </c>
    </row>
    <row r="483" spans="1:4" hidden="1" x14ac:dyDescent="0.25">
      <c r="A483">
        <f>IFERROR(HLOOKUP($A$1,'liste CIRCUIT'!$B:$AM,483,0)," ")</f>
        <v>1</v>
      </c>
      <c r="B483">
        <f>IFERROR(HLOOKUP($B$1,'liste CIRCUIT'!$B:$AM,483,0)," ")</f>
        <v>0</v>
      </c>
      <c r="C483">
        <f t="shared" si="14"/>
        <v>1</v>
      </c>
      <c r="D483">
        <f t="shared" si="15"/>
        <v>1</v>
      </c>
    </row>
    <row r="484" spans="1:4" hidden="1" x14ac:dyDescent="0.25">
      <c r="A484">
        <f>IFERROR(HLOOKUP($A$1,'liste CIRCUIT'!$B:$AM,484,0)," ")</f>
        <v>0</v>
      </c>
      <c r="B484">
        <f>IFERROR(HLOOKUP($B$1,'liste CIRCUIT'!$B:$AM,484,0)," ")</f>
        <v>0</v>
      </c>
      <c r="C484">
        <f t="shared" si="14"/>
        <v>0</v>
      </c>
      <c r="D484">
        <f t="shared" si="15"/>
        <v>0</v>
      </c>
    </row>
    <row r="485" spans="1:4" hidden="1" x14ac:dyDescent="0.25">
      <c r="A485">
        <f>IFERROR(HLOOKUP($A$1,'liste CIRCUIT'!$B:$AM,485,0)," ")</f>
        <v>0</v>
      </c>
      <c r="B485">
        <f>IFERROR(HLOOKUP($B$1,'liste CIRCUIT'!$B:$AM,485,0)," ")</f>
        <v>0</v>
      </c>
      <c r="C485">
        <f t="shared" si="14"/>
        <v>0</v>
      </c>
      <c r="D485">
        <f t="shared" si="15"/>
        <v>0</v>
      </c>
    </row>
    <row r="486" spans="1:4" hidden="1" x14ac:dyDescent="0.25">
      <c r="A486">
        <f>IFERROR(HLOOKUP($A$1,'liste CIRCUIT'!$B:$AM,486,0)," ")</f>
        <v>0</v>
      </c>
      <c r="B486">
        <f>IFERROR(HLOOKUP($B$1,'liste CIRCUIT'!$B:$AM,486,0)," ")</f>
        <v>0</v>
      </c>
      <c r="C486">
        <f t="shared" si="14"/>
        <v>0</v>
      </c>
      <c r="D486">
        <f t="shared" si="15"/>
        <v>0</v>
      </c>
    </row>
    <row r="487" spans="1:4" hidden="1" x14ac:dyDescent="0.25">
      <c r="A487">
        <f>IFERROR(HLOOKUP($A$1,'liste CIRCUIT'!$B:$AM,487,0)," ")</f>
        <v>0</v>
      </c>
      <c r="B487">
        <f>IFERROR(HLOOKUP($B$1,'liste CIRCUIT'!$B:$AM,487,0)," ")</f>
        <v>0</v>
      </c>
      <c r="C487">
        <f t="shared" si="14"/>
        <v>0</v>
      </c>
      <c r="D487">
        <f t="shared" si="15"/>
        <v>0</v>
      </c>
    </row>
    <row r="488" spans="1:4" hidden="1" x14ac:dyDescent="0.25">
      <c r="A488">
        <f>IFERROR(HLOOKUP($A$1,'liste CIRCUIT'!$B:$AM,488,0)," ")</f>
        <v>0</v>
      </c>
      <c r="B488">
        <f>IFERROR(HLOOKUP($B$1,'liste CIRCUIT'!$B:$AM,488,0)," ")</f>
        <v>1</v>
      </c>
      <c r="C488">
        <f t="shared" si="14"/>
        <v>1</v>
      </c>
      <c r="D488">
        <f t="shared" si="15"/>
        <v>-1</v>
      </c>
    </row>
    <row r="489" spans="1:4" hidden="1" x14ac:dyDescent="0.25">
      <c r="A489">
        <f>IFERROR(HLOOKUP($A$1,'liste CIRCUIT'!$B:$AM,489,0)," ")</f>
        <v>0</v>
      </c>
      <c r="B489">
        <f>IFERROR(HLOOKUP($B$1,'liste CIRCUIT'!$B:$AM,489,0)," ")</f>
        <v>0</v>
      </c>
      <c r="C489">
        <f t="shared" si="14"/>
        <v>0</v>
      </c>
      <c r="D489">
        <f t="shared" si="15"/>
        <v>0</v>
      </c>
    </row>
    <row r="490" spans="1:4" hidden="1" x14ac:dyDescent="0.25">
      <c r="A490">
        <f>IFERROR(HLOOKUP($A$1,'liste CIRCUIT'!$B:$AM,490,0)," ")</f>
        <v>0</v>
      </c>
      <c r="B490">
        <f>IFERROR(HLOOKUP($B$1,'liste CIRCUIT'!$B:$AM,490,0)," ")</f>
        <v>0</v>
      </c>
      <c r="C490">
        <f t="shared" si="14"/>
        <v>0</v>
      </c>
      <c r="D490">
        <f t="shared" si="15"/>
        <v>0</v>
      </c>
    </row>
    <row r="491" spans="1:4" hidden="1" x14ac:dyDescent="0.25">
      <c r="A491">
        <f>IFERROR(HLOOKUP($A$1,'liste CIRCUIT'!$B:$AM,491,0)," ")</f>
        <v>0</v>
      </c>
      <c r="B491">
        <f>IFERROR(HLOOKUP($B$1,'liste CIRCUIT'!$B:$AM,491,0)," ")</f>
        <v>0</v>
      </c>
      <c r="C491">
        <f t="shared" si="14"/>
        <v>0</v>
      </c>
      <c r="D491">
        <f t="shared" si="15"/>
        <v>0</v>
      </c>
    </row>
    <row r="492" spans="1:4" hidden="1" x14ac:dyDescent="0.25">
      <c r="A492">
        <f>IFERROR(HLOOKUP($A$1,'liste CIRCUIT'!$B:$AM,492,0)," ")</f>
        <v>0</v>
      </c>
      <c r="B492">
        <f>IFERROR(HLOOKUP($B$1,'liste CIRCUIT'!$B:$AM,492,0)," ")</f>
        <v>0</v>
      </c>
      <c r="C492">
        <f t="shared" si="14"/>
        <v>0</v>
      </c>
      <c r="D492">
        <f t="shared" si="15"/>
        <v>0</v>
      </c>
    </row>
    <row r="493" spans="1:4" hidden="1" x14ac:dyDescent="0.25">
      <c r="A493">
        <f>IFERROR(HLOOKUP($A$1,'liste CIRCUIT'!$B:$AM,493,0)," ")</f>
        <v>0</v>
      </c>
      <c r="B493">
        <f>IFERROR(HLOOKUP($B$1,'liste CIRCUIT'!$B:$AM,493,0)," ")</f>
        <v>0</v>
      </c>
      <c r="C493">
        <f t="shared" si="14"/>
        <v>0</v>
      </c>
      <c r="D493">
        <f t="shared" si="15"/>
        <v>0</v>
      </c>
    </row>
    <row r="494" spans="1:4" hidden="1" x14ac:dyDescent="0.25">
      <c r="A494">
        <f>IFERROR(HLOOKUP($A$1,'liste CIRCUIT'!$B:$AM,494,0)," ")</f>
        <v>1</v>
      </c>
      <c r="B494">
        <f>IFERROR(HLOOKUP($B$1,'liste CIRCUIT'!$B:$AM,494,0)," ")</f>
        <v>0</v>
      </c>
      <c r="C494">
        <f t="shared" si="14"/>
        <v>1</v>
      </c>
      <c r="D494">
        <f t="shared" si="15"/>
        <v>1</v>
      </c>
    </row>
    <row r="495" spans="1:4" hidden="1" x14ac:dyDescent="0.25">
      <c r="A495">
        <f>IFERROR(HLOOKUP($A$1,'liste CIRCUIT'!$B:$AM,495,0)," ")</f>
        <v>0</v>
      </c>
      <c r="B495">
        <f>IFERROR(HLOOKUP($B$1,'liste CIRCUIT'!$B:$AM,495,0)," ")</f>
        <v>0</v>
      </c>
      <c r="C495">
        <f t="shared" si="14"/>
        <v>0</v>
      </c>
      <c r="D495">
        <f t="shared" si="15"/>
        <v>0</v>
      </c>
    </row>
    <row r="496" spans="1:4" hidden="1" x14ac:dyDescent="0.25">
      <c r="A496">
        <f>IFERROR(HLOOKUP($A$1,'liste CIRCUIT'!$B:$AM,496,0)," ")</f>
        <v>0</v>
      </c>
      <c r="B496">
        <f>IFERROR(HLOOKUP($B$1,'liste CIRCUIT'!$B:$AM,496,0)," ")</f>
        <v>0</v>
      </c>
      <c r="C496">
        <f t="shared" si="14"/>
        <v>0</v>
      </c>
      <c r="D496">
        <f t="shared" si="15"/>
        <v>0</v>
      </c>
    </row>
    <row r="497" spans="1:4" hidden="1" x14ac:dyDescent="0.25">
      <c r="A497">
        <f>IFERROR(HLOOKUP($A$1,'liste CIRCUIT'!$B:$AM,497,0)," ")</f>
        <v>0</v>
      </c>
      <c r="B497">
        <f>IFERROR(HLOOKUP($B$1,'liste CIRCUIT'!$B:$AM,497,0)," ")</f>
        <v>0</v>
      </c>
      <c r="C497">
        <f t="shared" si="14"/>
        <v>0</v>
      </c>
      <c r="D497">
        <f t="shared" si="15"/>
        <v>0</v>
      </c>
    </row>
    <row r="498" spans="1:4" hidden="1" x14ac:dyDescent="0.25">
      <c r="A498">
        <f>IFERROR(HLOOKUP($A$1,'liste CIRCUIT'!$B:$AM,498,0)," ")</f>
        <v>0</v>
      </c>
      <c r="B498">
        <f>IFERROR(HLOOKUP($B$1,'liste CIRCUIT'!$B:$AM,498,0)," ")</f>
        <v>0</v>
      </c>
      <c r="C498">
        <f t="shared" si="14"/>
        <v>0</v>
      </c>
      <c r="D498">
        <f t="shared" si="15"/>
        <v>0</v>
      </c>
    </row>
    <row r="499" spans="1:4" hidden="1" x14ac:dyDescent="0.25">
      <c r="A499">
        <f>IFERROR(HLOOKUP($A$1,'liste CIRCUIT'!$B:$AM,499,0)," ")</f>
        <v>0</v>
      </c>
      <c r="B499">
        <f>IFERROR(HLOOKUP($B$1,'liste CIRCUIT'!$B:$AM,499,0)," ")</f>
        <v>1</v>
      </c>
      <c r="C499">
        <f t="shared" si="14"/>
        <v>1</v>
      </c>
      <c r="D499">
        <f t="shared" si="15"/>
        <v>-1</v>
      </c>
    </row>
    <row r="500" spans="1:4" hidden="1" x14ac:dyDescent="0.25">
      <c r="A500">
        <f>IFERROR(HLOOKUP($A$1,'liste CIRCUIT'!$B:$AM,500,0)," ")</f>
        <v>0</v>
      </c>
      <c r="B500">
        <f>IFERROR(HLOOKUP($B$1,'liste CIRCUIT'!$B:$AM,500,0)," ")</f>
        <v>0</v>
      </c>
      <c r="C500">
        <f t="shared" si="14"/>
        <v>0</v>
      </c>
      <c r="D500">
        <f t="shared" si="15"/>
        <v>0</v>
      </c>
    </row>
    <row r="501" spans="1:4" hidden="1" x14ac:dyDescent="0.25">
      <c r="A501">
        <f>IFERROR(HLOOKUP($A$1,'liste CIRCUIT'!$B:$AM,501,0)," ")</f>
        <v>0</v>
      </c>
      <c r="B501">
        <f>IFERROR(HLOOKUP($B$1,'liste CIRCUIT'!$B:$AM,501,0)," ")</f>
        <v>0</v>
      </c>
      <c r="C501">
        <f t="shared" si="14"/>
        <v>0</v>
      </c>
      <c r="D501">
        <f t="shared" si="15"/>
        <v>0</v>
      </c>
    </row>
    <row r="502" spans="1:4" hidden="1" x14ac:dyDescent="0.25">
      <c r="A502">
        <f>IFERROR(HLOOKUP($A$1,'liste CIRCUIT'!$B:$AM,502,0)," ")</f>
        <v>0</v>
      </c>
      <c r="B502">
        <f>IFERROR(HLOOKUP($B$1,'liste CIRCUIT'!$B:$AM,502,0)," ")</f>
        <v>0</v>
      </c>
      <c r="C502">
        <f t="shared" si="14"/>
        <v>0</v>
      </c>
      <c r="D502">
        <f t="shared" si="15"/>
        <v>0</v>
      </c>
    </row>
    <row r="503" spans="1:4" hidden="1" x14ac:dyDescent="0.25">
      <c r="A503">
        <f>IFERROR(HLOOKUP($A$1,'liste CIRCUIT'!$B:$AM,503,0)," ")</f>
        <v>1</v>
      </c>
      <c r="B503">
        <f>IFERROR(HLOOKUP($B$1,'liste CIRCUIT'!$B:$AM,503,0)," ")</f>
        <v>1</v>
      </c>
      <c r="C503">
        <f t="shared" si="14"/>
        <v>2</v>
      </c>
      <c r="D503">
        <f t="shared" si="15"/>
        <v>0</v>
      </c>
    </row>
    <row r="504" spans="1:4" hidden="1" x14ac:dyDescent="0.25">
      <c r="A504">
        <f>IFERROR(HLOOKUP($A$1,'liste CIRCUIT'!$B:$AM,504,0)," ")</f>
        <v>1</v>
      </c>
      <c r="B504">
        <f>IFERROR(HLOOKUP($B$1,'liste CIRCUIT'!$B:$AM,504,0)," ")</f>
        <v>1</v>
      </c>
      <c r="C504">
        <f t="shared" si="14"/>
        <v>2</v>
      </c>
      <c r="D504">
        <f t="shared" si="15"/>
        <v>0</v>
      </c>
    </row>
    <row r="505" spans="1:4" hidden="1" x14ac:dyDescent="0.25">
      <c r="A505">
        <f>IFERROR(HLOOKUP($A$1,'liste CIRCUIT'!$B:$AM,505,0)," ")</f>
        <v>1</v>
      </c>
      <c r="B505">
        <f>IFERROR(HLOOKUP($B$1,'liste CIRCUIT'!$B:$AM,505,0)," ")</f>
        <v>1</v>
      </c>
      <c r="C505">
        <f t="shared" si="14"/>
        <v>2</v>
      </c>
      <c r="D505">
        <f t="shared" si="15"/>
        <v>0</v>
      </c>
    </row>
    <row r="506" spans="1:4" hidden="1" x14ac:dyDescent="0.25">
      <c r="A506">
        <f>IFERROR(HLOOKUP($A$1,'liste CIRCUIT'!$B:$AM,506,0)," ")</f>
        <v>0</v>
      </c>
      <c r="B506">
        <f>IFERROR(HLOOKUP($B$1,'liste CIRCUIT'!$B:$AM,506,0)," ")</f>
        <v>0</v>
      </c>
      <c r="C506">
        <f t="shared" si="14"/>
        <v>0</v>
      </c>
      <c r="D506">
        <f t="shared" si="15"/>
        <v>0</v>
      </c>
    </row>
    <row r="507" spans="1:4" hidden="1" x14ac:dyDescent="0.25">
      <c r="A507">
        <f>IFERROR(HLOOKUP($A$1,'liste CIRCUIT'!$B:$AM,507,0)," ")</f>
        <v>0</v>
      </c>
      <c r="B507">
        <f>IFERROR(HLOOKUP($B$1,'liste CIRCUIT'!$B:$AM,507,0)," ")</f>
        <v>0</v>
      </c>
      <c r="C507">
        <f t="shared" si="14"/>
        <v>0</v>
      </c>
      <c r="D507">
        <f t="shared" si="15"/>
        <v>0</v>
      </c>
    </row>
    <row r="508" spans="1:4" hidden="1" x14ac:dyDescent="0.25">
      <c r="A508">
        <f>IFERROR(HLOOKUP($A$1,'liste CIRCUIT'!$B:$AM,508,0)," ")</f>
        <v>0</v>
      </c>
      <c r="B508">
        <f>IFERROR(HLOOKUP($B$1,'liste CIRCUIT'!$B:$AM,508,0)," ")</f>
        <v>0</v>
      </c>
      <c r="C508">
        <f t="shared" si="14"/>
        <v>0</v>
      </c>
      <c r="D508">
        <f t="shared" si="15"/>
        <v>0</v>
      </c>
    </row>
    <row r="509" spans="1:4" hidden="1" x14ac:dyDescent="0.25">
      <c r="A509">
        <f>IFERROR(HLOOKUP($A$1,'liste CIRCUIT'!$B:$AM,509,0)," ")</f>
        <v>0</v>
      </c>
      <c r="B509">
        <f>IFERROR(HLOOKUP($B$1,'liste CIRCUIT'!$B:$AM,509,0)," ")</f>
        <v>0</v>
      </c>
      <c r="C509">
        <f t="shared" si="14"/>
        <v>0</v>
      </c>
      <c r="D509">
        <f t="shared" si="15"/>
        <v>0</v>
      </c>
    </row>
    <row r="510" spans="1:4" hidden="1" x14ac:dyDescent="0.25">
      <c r="A510">
        <f>IFERROR(HLOOKUP($A$1,'liste CIRCUIT'!$B:$AM,510,0)," ")</f>
        <v>0</v>
      </c>
      <c r="B510">
        <f>IFERROR(HLOOKUP($B$1,'liste CIRCUIT'!$B:$AM,510,0)," ")</f>
        <v>0</v>
      </c>
      <c r="C510">
        <f t="shared" si="14"/>
        <v>0</v>
      </c>
      <c r="D510">
        <f t="shared" si="15"/>
        <v>0</v>
      </c>
    </row>
    <row r="511" spans="1:4" hidden="1" x14ac:dyDescent="0.25">
      <c r="A511">
        <f>IFERROR(HLOOKUP($A$1,'liste CIRCUIT'!$B:$AM,511,0)," ")</f>
        <v>0</v>
      </c>
      <c r="B511">
        <f>IFERROR(HLOOKUP($B$1,'liste CIRCUIT'!$B:$AM,511,0)," ")</f>
        <v>0</v>
      </c>
      <c r="C511">
        <f t="shared" si="14"/>
        <v>0</v>
      </c>
      <c r="D511">
        <f t="shared" si="15"/>
        <v>0</v>
      </c>
    </row>
    <row r="512" spans="1:4" hidden="1" x14ac:dyDescent="0.25">
      <c r="A512">
        <f>IFERROR(HLOOKUP($A$1,'liste CIRCUIT'!$B:$AM,512,0)," ")</f>
        <v>1</v>
      </c>
      <c r="B512">
        <f>IFERROR(HLOOKUP($B$1,'liste CIRCUIT'!$B:$AM,512,0)," ")</f>
        <v>1</v>
      </c>
      <c r="C512">
        <f t="shared" si="14"/>
        <v>2</v>
      </c>
      <c r="D512">
        <f t="shared" si="15"/>
        <v>0</v>
      </c>
    </row>
    <row r="513" spans="1:4" hidden="1" x14ac:dyDescent="0.25">
      <c r="A513">
        <f>IFERROR(HLOOKUP($A$1,'liste CIRCUIT'!$B:$AM,513,0)," ")</f>
        <v>0</v>
      </c>
      <c r="B513">
        <f>IFERROR(HLOOKUP($B$1,'liste CIRCUIT'!$B:$AM,513,0)," ")</f>
        <v>0</v>
      </c>
      <c r="C513">
        <f t="shared" si="14"/>
        <v>0</v>
      </c>
      <c r="D513">
        <f t="shared" si="15"/>
        <v>0</v>
      </c>
    </row>
    <row r="514" spans="1:4" hidden="1" x14ac:dyDescent="0.25">
      <c r="A514">
        <f>IFERROR(HLOOKUP($A$1,'liste CIRCUIT'!$B:$AM,514,0)," ")</f>
        <v>0</v>
      </c>
      <c r="B514">
        <f>IFERROR(HLOOKUP($B$1,'liste CIRCUIT'!$B:$AM,514,0)," ")</f>
        <v>0</v>
      </c>
      <c r="C514">
        <f t="shared" si="14"/>
        <v>0</v>
      </c>
      <c r="D514">
        <f t="shared" si="15"/>
        <v>0</v>
      </c>
    </row>
    <row r="515" spans="1:4" hidden="1" x14ac:dyDescent="0.25">
      <c r="A515">
        <f>IFERROR(HLOOKUP($A$1,'liste CIRCUIT'!$B:$AM,515,0)," ")</f>
        <v>0</v>
      </c>
      <c r="B515">
        <f>IFERROR(HLOOKUP($B$1,'liste CIRCUIT'!$B:$AM,515,0)," ")</f>
        <v>0</v>
      </c>
      <c r="C515">
        <f t="shared" ref="C515:C578" si="16">SUM(A515:B515)</f>
        <v>0</v>
      </c>
      <c r="D515">
        <f t="shared" ref="D515:D578" si="17">A515-B515</f>
        <v>0</v>
      </c>
    </row>
    <row r="516" spans="1:4" hidden="1" x14ac:dyDescent="0.25">
      <c r="A516">
        <f>IFERROR(HLOOKUP($A$1,'liste CIRCUIT'!$B:$AM,516,0)," ")</f>
        <v>0</v>
      </c>
      <c r="B516">
        <f>IFERROR(HLOOKUP($B$1,'liste CIRCUIT'!$B:$AM,516,0)," ")</f>
        <v>0</v>
      </c>
      <c r="C516">
        <f t="shared" si="16"/>
        <v>0</v>
      </c>
      <c r="D516">
        <f t="shared" si="17"/>
        <v>0</v>
      </c>
    </row>
    <row r="517" spans="1:4" hidden="1" x14ac:dyDescent="0.25">
      <c r="A517">
        <f>IFERROR(HLOOKUP($A$1,'liste CIRCUIT'!$B:$AM,517,0)," ")</f>
        <v>0</v>
      </c>
      <c r="B517">
        <f>IFERROR(HLOOKUP($B$1,'liste CIRCUIT'!$B:$AM,517,0)," ")</f>
        <v>0</v>
      </c>
      <c r="C517">
        <f t="shared" si="16"/>
        <v>0</v>
      </c>
      <c r="D517">
        <f t="shared" si="17"/>
        <v>0</v>
      </c>
    </row>
    <row r="518" spans="1:4" hidden="1" x14ac:dyDescent="0.25">
      <c r="A518">
        <f>IFERROR(HLOOKUP($A$1,'liste CIRCUIT'!$B:$AM,518,0)," ")</f>
        <v>1</v>
      </c>
      <c r="B518">
        <f>IFERROR(HLOOKUP($B$1,'liste CIRCUIT'!$B:$AM,518,0)," ")</f>
        <v>0</v>
      </c>
      <c r="C518">
        <f t="shared" si="16"/>
        <v>1</v>
      </c>
      <c r="D518">
        <f t="shared" si="17"/>
        <v>1</v>
      </c>
    </row>
    <row r="519" spans="1:4" hidden="1" x14ac:dyDescent="0.25">
      <c r="A519">
        <f>IFERROR(HLOOKUP($A$1,'liste CIRCUIT'!$B:$AM,519,0)," ")</f>
        <v>0</v>
      </c>
      <c r="B519">
        <f>IFERROR(HLOOKUP($B$1,'liste CIRCUIT'!$B:$AM,519,0)," ")</f>
        <v>0</v>
      </c>
      <c r="C519">
        <f t="shared" si="16"/>
        <v>0</v>
      </c>
      <c r="D519">
        <f t="shared" si="17"/>
        <v>0</v>
      </c>
    </row>
    <row r="520" spans="1:4" hidden="1" x14ac:dyDescent="0.25">
      <c r="A520">
        <f>IFERROR(HLOOKUP($A$1,'liste CIRCUIT'!$B:$AM,520,0)," ")</f>
        <v>0</v>
      </c>
      <c r="B520">
        <f>IFERROR(HLOOKUP($B$1,'liste CIRCUIT'!$B:$AM,520,0)," ")</f>
        <v>0</v>
      </c>
      <c r="C520">
        <f t="shared" si="16"/>
        <v>0</v>
      </c>
      <c r="D520">
        <f t="shared" si="17"/>
        <v>0</v>
      </c>
    </row>
    <row r="521" spans="1:4" hidden="1" x14ac:dyDescent="0.25">
      <c r="A521">
        <f>IFERROR(HLOOKUP($A$1,'liste CIRCUIT'!$B:$AM,521,0)," ")</f>
        <v>0</v>
      </c>
      <c r="B521">
        <f>IFERROR(HLOOKUP($B$1,'liste CIRCUIT'!$B:$AM,521,0)," ")</f>
        <v>0</v>
      </c>
      <c r="C521">
        <f t="shared" si="16"/>
        <v>0</v>
      </c>
      <c r="D521">
        <f t="shared" si="17"/>
        <v>0</v>
      </c>
    </row>
    <row r="522" spans="1:4" hidden="1" x14ac:dyDescent="0.25">
      <c r="A522">
        <f>IFERROR(HLOOKUP($A$1,'liste CIRCUIT'!$B:$AM,522,0)," ")</f>
        <v>0</v>
      </c>
      <c r="B522">
        <f>IFERROR(HLOOKUP($B$1,'liste CIRCUIT'!$B:$AM,522,0)," ")</f>
        <v>0</v>
      </c>
      <c r="C522">
        <f t="shared" si="16"/>
        <v>0</v>
      </c>
      <c r="D522">
        <f t="shared" si="17"/>
        <v>0</v>
      </c>
    </row>
    <row r="523" spans="1:4" hidden="1" x14ac:dyDescent="0.25">
      <c r="A523">
        <f>IFERROR(HLOOKUP($A$1,'liste CIRCUIT'!$B:$AM,523,0)," ")</f>
        <v>0</v>
      </c>
      <c r="B523">
        <f>IFERROR(HLOOKUP($B$1,'liste CIRCUIT'!$B:$AM,523,0)," ")</f>
        <v>1</v>
      </c>
      <c r="C523">
        <f t="shared" si="16"/>
        <v>1</v>
      </c>
      <c r="D523">
        <f t="shared" si="17"/>
        <v>-1</v>
      </c>
    </row>
    <row r="524" spans="1:4" hidden="1" x14ac:dyDescent="0.25">
      <c r="A524">
        <f>IFERROR(HLOOKUP($A$1,'liste CIRCUIT'!$B:$AM,524,0)," ")</f>
        <v>0</v>
      </c>
      <c r="B524">
        <f>IFERROR(HLOOKUP($B$1,'liste CIRCUIT'!$B:$AM,524,0)," ")</f>
        <v>0</v>
      </c>
      <c r="C524">
        <f t="shared" si="16"/>
        <v>0</v>
      </c>
      <c r="D524">
        <f t="shared" si="17"/>
        <v>0</v>
      </c>
    </row>
    <row r="525" spans="1:4" hidden="1" x14ac:dyDescent="0.25">
      <c r="A525">
        <f>IFERROR(HLOOKUP($A$1,'liste CIRCUIT'!$B:$AM,525,0)," ")</f>
        <v>0</v>
      </c>
      <c r="B525">
        <f>IFERROR(HLOOKUP($B$1,'liste CIRCUIT'!$B:$AM,525,0)," ")</f>
        <v>0</v>
      </c>
      <c r="C525">
        <f t="shared" si="16"/>
        <v>0</v>
      </c>
      <c r="D525">
        <f t="shared" si="17"/>
        <v>0</v>
      </c>
    </row>
    <row r="526" spans="1:4" hidden="1" x14ac:dyDescent="0.25">
      <c r="A526">
        <f>IFERROR(HLOOKUP($A$1,'liste CIRCUIT'!$B:$AM,526,0)," ")</f>
        <v>0</v>
      </c>
      <c r="B526">
        <f>IFERROR(HLOOKUP($B$1,'liste CIRCUIT'!$B:$AM,526,0)," ")</f>
        <v>0</v>
      </c>
      <c r="C526">
        <f t="shared" si="16"/>
        <v>0</v>
      </c>
      <c r="D526">
        <f t="shared" si="17"/>
        <v>0</v>
      </c>
    </row>
    <row r="527" spans="1:4" hidden="1" x14ac:dyDescent="0.25">
      <c r="A527">
        <f>IFERROR(HLOOKUP($A$1,'liste CIRCUIT'!$B:$AM,527,0)," ")</f>
        <v>0</v>
      </c>
      <c r="B527">
        <f>IFERROR(HLOOKUP($B$1,'liste CIRCUIT'!$B:$AM,527,0)," ")</f>
        <v>0</v>
      </c>
      <c r="C527">
        <f t="shared" si="16"/>
        <v>0</v>
      </c>
      <c r="D527">
        <f t="shared" si="17"/>
        <v>0</v>
      </c>
    </row>
    <row r="528" spans="1:4" hidden="1" x14ac:dyDescent="0.25">
      <c r="A528">
        <f>IFERROR(HLOOKUP($A$1,'liste CIRCUIT'!$B:$AM,528,0)," ")</f>
        <v>0</v>
      </c>
      <c r="B528">
        <f>IFERROR(HLOOKUP($B$1,'liste CIRCUIT'!$B:$AM,528,0)," ")</f>
        <v>0</v>
      </c>
      <c r="C528">
        <f t="shared" si="16"/>
        <v>0</v>
      </c>
      <c r="D528">
        <f t="shared" si="17"/>
        <v>0</v>
      </c>
    </row>
    <row r="529" spans="1:4" hidden="1" x14ac:dyDescent="0.25">
      <c r="A529">
        <f>IFERROR(HLOOKUP($A$1,'liste CIRCUIT'!$B:$AM,529,0)," ")</f>
        <v>0</v>
      </c>
      <c r="B529">
        <f>IFERROR(HLOOKUP($B$1,'liste CIRCUIT'!$B:$AM,529,0)," ")</f>
        <v>0</v>
      </c>
      <c r="C529">
        <f t="shared" si="16"/>
        <v>0</v>
      </c>
      <c r="D529">
        <f t="shared" si="17"/>
        <v>0</v>
      </c>
    </row>
    <row r="530" spans="1:4" hidden="1" x14ac:dyDescent="0.25">
      <c r="A530">
        <f>IFERROR(HLOOKUP($A$1,'liste CIRCUIT'!$B:$AM,530,0)," ")</f>
        <v>0</v>
      </c>
      <c r="B530">
        <f>IFERROR(HLOOKUP($B$1,'liste CIRCUIT'!$B:$AM,530,0)," ")</f>
        <v>0</v>
      </c>
      <c r="C530">
        <f t="shared" si="16"/>
        <v>0</v>
      </c>
      <c r="D530">
        <f t="shared" si="17"/>
        <v>0</v>
      </c>
    </row>
    <row r="531" spans="1:4" hidden="1" x14ac:dyDescent="0.25">
      <c r="A531">
        <f>IFERROR(HLOOKUP($A$1,'liste CIRCUIT'!$B:$AM,531,0)," ")</f>
        <v>0</v>
      </c>
      <c r="B531">
        <f>IFERROR(HLOOKUP($B$1,'liste CIRCUIT'!$B:$AM,531,0)," ")</f>
        <v>0</v>
      </c>
      <c r="C531">
        <f t="shared" si="16"/>
        <v>0</v>
      </c>
      <c r="D531">
        <f t="shared" si="17"/>
        <v>0</v>
      </c>
    </row>
    <row r="532" spans="1:4" hidden="1" x14ac:dyDescent="0.25">
      <c r="A532">
        <f>IFERROR(HLOOKUP($A$1,'liste CIRCUIT'!$B:$AM,532,0)," ")</f>
        <v>0</v>
      </c>
      <c r="B532">
        <f>IFERROR(HLOOKUP($B$1,'liste CIRCUIT'!$B:$AM,532,0)," ")</f>
        <v>0</v>
      </c>
      <c r="C532">
        <f t="shared" si="16"/>
        <v>0</v>
      </c>
      <c r="D532">
        <f t="shared" si="17"/>
        <v>0</v>
      </c>
    </row>
    <row r="533" spans="1:4" hidden="1" x14ac:dyDescent="0.25">
      <c r="A533">
        <f>IFERROR(HLOOKUP($A$1,'liste CIRCUIT'!$B:$AM,533,0)," ")</f>
        <v>1</v>
      </c>
      <c r="B533">
        <f>IFERROR(HLOOKUP($B$1,'liste CIRCUIT'!$B:$AM,533,0)," ")</f>
        <v>1</v>
      </c>
      <c r="C533">
        <f t="shared" si="16"/>
        <v>2</v>
      </c>
      <c r="D533">
        <f t="shared" si="17"/>
        <v>0</v>
      </c>
    </row>
    <row r="534" spans="1:4" hidden="1" x14ac:dyDescent="0.25">
      <c r="A534">
        <f>IFERROR(HLOOKUP($A$1,'liste CIRCUIT'!$B:$AM,534,0)," ")</f>
        <v>0</v>
      </c>
      <c r="B534">
        <f>IFERROR(HLOOKUP($B$1,'liste CIRCUIT'!$B:$AM,534,0)," ")</f>
        <v>0</v>
      </c>
      <c r="C534">
        <f t="shared" si="16"/>
        <v>0</v>
      </c>
      <c r="D534">
        <f t="shared" si="17"/>
        <v>0</v>
      </c>
    </row>
    <row r="535" spans="1:4" hidden="1" x14ac:dyDescent="0.25">
      <c r="A535">
        <f>IFERROR(HLOOKUP($A$1,'liste CIRCUIT'!$B:$AM,535,0)," ")</f>
        <v>0</v>
      </c>
      <c r="B535">
        <f>IFERROR(HLOOKUP($B$1,'liste CIRCUIT'!$B:$AM,535,0)," ")</f>
        <v>0</v>
      </c>
      <c r="C535">
        <f t="shared" si="16"/>
        <v>0</v>
      </c>
      <c r="D535">
        <f t="shared" si="17"/>
        <v>0</v>
      </c>
    </row>
    <row r="536" spans="1:4" hidden="1" x14ac:dyDescent="0.25">
      <c r="A536">
        <f>IFERROR(HLOOKUP($A$1,'liste CIRCUIT'!$B:$AM,536,0)," ")</f>
        <v>0</v>
      </c>
      <c r="B536">
        <f>IFERROR(HLOOKUP($B$1,'liste CIRCUIT'!$B:$AM,536,0)," ")</f>
        <v>0</v>
      </c>
      <c r="C536">
        <f t="shared" si="16"/>
        <v>0</v>
      </c>
      <c r="D536">
        <f t="shared" si="17"/>
        <v>0</v>
      </c>
    </row>
    <row r="537" spans="1:4" hidden="1" x14ac:dyDescent="0.25">
      <c r="A537">
        <f>IFERROR(HLOOKUP($A$1,'liste CIRCUIT'!$B:$AM,537,0)," ")</f>
        <v>1</v>
      </c>
      <c r="B537">
        <f>IFERROR(HLOOKUP($B$1,'liste CIRCUIT'!$B:$AM,537,0)," ")</f>
        <v>1</v>
      </c>
      <c r="C537">
        <f t="shared" si="16"/>
        <v>2</v>
      </c>
      <c r="D537">
        <f t="shared" si="17"/>
        <v>0</v>
      </c>
    </row>
    <row r="538" spans="1:4" hidden="1" x14ac:dyDescent="0.25">
      <c r="A538">
        <f>IFERROR(HLOOKUP($A$1,'liste CIRCUIT'!$B:$AM,538,0)," ")</f>
        <v>0</v>
      </c>
      <c r="B538">
        <f>IFERROR(HLOOKUP($B$1,'liste CIRCUIT'!$B:$AM,538,0)," ")</f>
        <v>0</v>
      </c>
      <c r="C538">
        <f t="shared" si="16"/>
        <v>0</v>
      </c>
      <c r="D538">
        <f t="shared" si="17"/>
        <v>0</v>
      </c>
    </row>
    <row r="539" spans="1:4" hidden="1" x14ac:dyDescent="0.25">
      <c r="A539">
        <f>IFERROR(HLOOKUP($A$1,'liste CIRCUIT'!$B:$AM,539,0)," ")</f>
        <v>0</v>
      </c>
      <c r="B539">
        <f>IFERROR(HLOOKUP($B$1,'liste CIRCUIT'!$B:$AM,539,0)," ")</f>
        <v>0</v>
      </c>
      <c r="C539">
        <f t="shared" si="16"/>
        <v>0</v>
      </c>
      <c r="D539">
        <f t="shared" si="17"/>
        <v>0</v>
      </c>
    </row>
    <row r="540" spans="1:4" hidden="1" x14ac:dyDescent="0.25">
      <c r="A540">
        <f>IFERROR(HLOOKUP($A$1,'liste CIRCUIT'!$B:$AM,540,0)," ")</f>
        <v>0</v>
      </c>
      <c r="B540">
        <f>IFERROR(HLOOKUP($B$1,'liste CIRCUIT'!$B:$AM,540,0)," ")</f>
        <v>0</v>
      </c>
      <c r="C540">
        <f t="shared" si="16"/>
        <v>0</v>
      </c>
      <c r="D540">
        <f t="shared" si="17"/>
        <v>0</v>
      </c>
    </row>
    <row r="541" spans="1:4" hidden="1" x14ac:dyDescent="0.25">
      <c r="A541">
        <f>IFERROR(HLOOKUP($A$1,'liste CIRCUIT'!$B:$AM,541,0)," ")</f>
        <v>1</v>
      </c>
      <c r="B541">
        <f>IFERROR(HLOOKUP($B$1,'liste CIRCUIT'!$B:$AM,541,0)," ")</f>
        <v>1</v>
      </c>
      <c r="C541">
        <f t="shared" si="16"/>
        <v>2</v>
      </c>
      <c r="D541">
        <f t="shared" si="17"/>
        <v>0</v>
      </c>
    </row>
    <row r="542" spans="1:4" hidden="1" x14ac:dyDescent="0.25">
      <c r="A542">
        <f>IFERROR(HLOOKUP($A$1,'liste CIRCUIT'!$B:$AM,542,0)," ")</f>
        <v>0</v>
      </c>
      <c r="B542">
        <f>IFERROR(HLOOKUP($B$1,'liste CIRCUIT'!$B:$AM,542,0)," ")</f>
        <v>0</v>
      </c>
      <c r="C542">
        <f t="shared" si="16"/>
        <v>0</v>
      </c>
      <c r="D542">
        <f t="shared" si="17"/>
        <v>0</v>
      </c>
    </row>
    <row r="543" spans="1:4" hidden="1" x14ac:dyDescent="0.25">
      <c r="A543">
        <f>IFERROR(HLOOKUP($A$1,'liste CIRCUIT'!$B:$AM,543,0)," ")</f>
        <v>0</v>
      </c>
      <c r="B543">
        <f>IFERROR(HLOOKUP($B$1,'liste CIRCUIT'!$B:$AM,543,0)," ")</f>
        <v>0</v>
      </c>
      <c r="C543">
        <f t="shared" si="16"/>
        <v>0</v>
      </c>
      <c r="D543">
        <f t="shared" si="17"/>
        <v>0</v>
      </c>
    </row>
    <row r="544" spans="1:4" hidden="1" x14ac:dyDescent="0.25">
      <c r="A544">
        <f>IFERROR(HLOOKUP($A$1,'liste CIRCUIT'!$B:$AM,544,0)," ")</f>
        <v>0</v>
      </c>
      <c r="B544">
        <f>IFERROR(HLOOKUP($B$1,'liste CIRCUIT'!$B:$AM,544,0)," ")</f>
        <v>0</v>
      </c>
      <c r="C544">
        <f t="shared" si="16"/>
        <v>0</v>
      </c>
      <c r="D544">
        <f t="shared" si="17"/>
        <v>0</v>
      </c>
    </row>
    <row r="545" spans="1:4" hidden="1" x14ac:dyDescent="0.25">
      <c r="A545">
        <f>IFERROR(HLOOKUP($A$1,'liste CIRCUIT'!$B:$AM,545,0)," ")</f>
        <v>0</v>
      </c>
      <c r="B545">
        <f>IFERROR(HLOOKUP($B$1,'liste CIRCUIT'!$B:$AM,545,0)," ")</f>
        <v>0</v>
      </c>
      <c r="C545">
        <f t="shared" si="16"/>
        <v>0</v>
      </c>
      <c r="D545">
        <f t="shared" si="17"/>
        <v>0</v>
      </c>
    </row>
    <row r="546" spans="1:4" hidden="1" x14ac:dyDescent="0.25">
      <c r="A546">
        <f>IFERROR(HLOOKUP($A$1,'liste CIRCUIT'!$B:$AM,546,0)," ")</f>
        <v>0</v>
      </c>
      <c r="B546">
        <f>IFERROR(HLOOKUP($B$1,'liste CIRCUIT'!$B:$AM,546,0)," ")</f>
        <v>0</v>
      </c>
      <c r="C546">
        <f t="shared" si="16"/>
        <v>0</v>
      </c>
      <c r="D546">
        <f t="shared" si="17"/>
        <v>0</v>
      </c>
    </row>
    <row r="547" spans="1:4" hidden="1" x14ac:dyDescent="0.25">
      <c r="A547">
        <f>IFERROR(HLOOKUP($A$1,'liste CIRCUIT'!$B:$AM,547,0)," ")</f>
        <v>1</v>
      </c>
      <c r="B547">
        <f>IFERROR(HLOOKUP($B$1,'liste CIRCUIT'!$B:$AM,547,0)," ")</f>
        <v>1</v>
      </c>
      <c r="C547">
        <f t="shared" si="16"/>
        <v>2</v>
      </c>
      <c r="D547">
        <f t="shared" si="17"/>
        <v>0</v>
      </c>
    </row>
    <row r="548" spans="1:4" hidden="1" x14ac:dyDescent="0.25">
      <c r="A548">
        <f>IFERROR(HLOOKUP($A$1,'liste CIRCUIT'!$B:$AM,548,0)," ")</f>
        <v>0</v>
      </c>
      <c r="B548">
        <f>IFERROR(HLOOKUP($B$1,'liste CIRCUIT'!$B:$AM,548,0)," ")</f>
        <v>0</v>
      </c>
      <c r="C548">
        <f t="shared" si="16"/>
        <v>0</v>
      </c>
      <c r="D548">
        <f t="shared" si="17"/>
        <v>0</v>
      </c>
    </row>
    <row r="549" spans="1:4" hidden="1" x14ac:dyDescent="0.25">
      <c r="A549">
        <f>IFERROR(HLOOKUP($A$1,'liste CIRCUIT'!$B:$AM,549,0)," ")</f>
        <v>0</v>
      </c>
      <c r="B549">
        <f>IFERROR(HLOOKUP($B$1,'liste CIRCUIT'!$B:$AM,549,0)," ")</f>
        <v>0</v>
      </c>
      <c r="C549">
        <f t="shared" si="16"/>
        <v>0</v>
      </c>
      <c r="D549">
        <f t="shared" si="17"/>
        <v>0</v>
      </c>
    </row>
    <row r="550" spans="1:4" hidden="1" x14ac:dyDescent="0.25">
      <c r="A550">
        <f>IFERROR(HLOOKUP($A$1,'liste CIRCUIT'!$B:$AM,550,0)," ")</f>
        <v>0</v>
      </c>
      <c r="B550">
        <f>IFERROR(HLOOKUP($B$1,'liste CIRCUIT'!$B:$AM,550,0)," ")</f>
        <v>0</v>
      </c>
      <c r="C550">
        <f t="shared" si="16"/>
        <v>0</v>
      </c>
      <c r="D550">
        <f t="shared" si="17"/>
        <v>0</v>
      </c>
    </row>
    <row r="551" spans="1:4" hidden="1" x14ac:dyDescent="0.25">
      <c r="A551">
        <f>IFERROR(HLOOKUP($A$1,'liste CIRCUIT'!$B:$AM,551,0)," ")</f>
        <v>1</v>
      </c>
      <c r="B551">
        <f>IFERROR(HLOOKUP($B$1,'liste CIRCUIT'!$B:$AM,551,0)," ")</f>
        <v>1</v>
      </c>
      <c r="C551">
        <f t="shared" si="16"/>
        <v>2</v>
      </c>
      <c r="D551">
        <f t="shared" si="17"/>
        <v>0</v>
      </c>
    </row>
    <row r="552" spans="1:4" hidden="1" x14ac:dyDescent="0.25">
      <c r="A552">
        <f>IFERROR(HLOOKUP($A$1,'liste CIRCUIT'!$B:$AM,552,0)," ")</f>
        <v>0</v>
      </c>
      <c r="B552">
        <f>IFERROR(HLOOKUP($B$1,'liste CIRCUIT'!$B:$AM,552,0)," ")</f>
        <v>0</v>
      </c>
      <c r="C552">
        <f t="shared" si="16"/>
        <v>0</v>
      </c>
      <c r="D552">
        <f t="shared" si="17"/>
        <v>0</v>
      </c>
    </row>
    <row r="553" spans="1:4" hidden="1" x14ac:dyDescent="0.25">
      <c r="A553">
        <f>IFERROR(HLOOKUP($A$1,'liste CIRCUIT'!$B:$AM,553,0)," ")</f>
        <v>0</v>
      </c>
      <c r="B553">
        <f>IFERROR(HLOOKUP($B$1,'liste CIRCUIT'!$B:$AM,553,0)," ")</f>
        <v>0</v>
      </c>
      <c r="C553">
        <f t="shared" si="16"/>
        <v>0</v>
      </c>
      <c r="D553">
        <f t="shared" si="17"/>
        <v>0</v>
      </c>
    </row>
    <row r="554" spans="1:4" hidden="1" x14ac:dyDescent="0.25">
      <c r="A554">
        <f>IFERROR(HLOOKUP($A$1,'liste CIRCUIT'!$B:$AM,554,0)," ")</f>
        <v>1</v>
      </c>
      <c r="B554">
        <f>IFERROR(HLOOKUP($B$1,'liste CIRCUIT'!$B:$AM,554,0)," ")</f>
        <v>0</v>
      </c>
      <c r="C554">
        <f t="shared" si="16"/>
        <v>1</v>
      </c>
      <c r="D554">
        <f t="shared" si="17"/>
        <v>1</v>
      </c>
    </row>
    <row r="555" spans="1:4" hidden="1" x14ac:dyDescent="0.25">
      <c r="A555">
        <f>IFERROR(HLOOKUP($A$1,'liste CIRCUIT'!$B:$AM,555,0)," ")</f>
        <v>0</v>
      </c>
      <c r="B555">
        <f>IFERROR(HLOOKUP($B$1,'liste CIRCUIT'!$B:$AM,555,0)," ")</f>
        <v>0</v>
      </c>
      <c r="C555">
        <f t="shared" si="16"/>
        <v>0</v>
      </c>
      <c r="D555">
        <f t="shared" si="17"/>
        <v>0</v>
      </c>
    </row>
    <row r="556" spans="1:4" hidden="1" x14ac:dyDescent="0.25">
      <c r="A556">
        <f>IFERROR(HLOOKUP($A$1,'liste CIRCUIT'!$B:$AM,556,0)," ")</f>
        <v>0</v>
      </c>
      <c r="B556">
        <f>IFERROR(HLOOKUP($B$1,'liste CIRCUIT'!$B:$AM,556,0)," ")</f>
        <v>0</v>
      </c>
      <c r="C556">
        <f t="shared" si="16"/>
        <v>0</v>
      </c>
      <c r="D556">
        <f t="shared" si="17"/>
        <v>0</v>
      </c>
    </row>
    <row r="557" spans="1:4" hidden="1" x14ac:dyDescent="0.25">
      <c r="A557">
        <f>IFERROR(HLOOKUP($A$1,'liste CIRCUIT'!$B:$AM,557,0)," ")</f>
        <v>0</v>
      </c>
      <c r="B557">
        <f>IFERROR(HLOOKUP($B$1,'liste CIRCUIT'!$B:$AM,557,0)," ")</f>
        <v>0</v>
      </c>
      <c r="C557">
        <f t="shared" si="16"/>
        <v>0</v>
      </c>
      <c r="D557">
        <f t="shared" si="17"/>
        <v>0</v>
      </c>
    </row>
    <row r="558" spans="1:4" hidden="1" x14ac:dyDescent="0.25">
      <c r="A558">
        <f>IFERROR(HLOOKUP($A$1,'liste CIRCUIT'!$B:$AM,558,0)," ")</f>
        <v>0</v>
      </c>
      <c r="B558">
        <f>IFERROR(HLOOKUP($B$1,'liste CIRCUIT'!$B:$AM,558,0)," ")</f>
        <v>0</v>
      </c>
      <c r="C558">
        <f t="shared" si="16"/>
        <v>0</v>
      </c>
      <c r="D558">
        <f t="shared" si="17"/>
        <v>0</v>
      </c>
    </row>
    <row r="559" spans="1:4" hidden="1" x14ac:dyDescent="0.25">
      <c r="A559">
        <f>IFERROR(HLOOKUP($A$1,'liste CIRCUIT'!$B:$AM,559,0)," ")</f>
        <v>0</v>
      </c>
      <c r="B559">
        <f>IFERROR(HLOOKUP($B$1,'liste CIRCUIT'!$B:$AM,559,0)," ")</f>
        <v>1</v>
      </c>
      <c r="C559">
        <f t="shared" si="16"/>
        <v>1</v>
      </c>
      <c r="D559">
        <f t="shared" si="17"/>
        <v>-1</v>
      </c>
    </row>
    <row r="560" spans="1:4" hidden="1" x14ac:dyDescent="0.25">
      <c r="A560">
        <f>IFERROR(HLOOKUP($A$1,'liste CIRCUIT'!$B:$AM,560,0)," ")</f>
        <v>0</v>
      </c>
      <c r="B560">
        <f>IFERROR(HLOOKUP($B$1,'liste CIRCUIT'!$B:$AM,560,0)," ")</f>
        <v>0</v>
      </c>
      <c r="C560">
        <f t="shared" si="16"/>
        <v>0</v>
      </c>
      <c r="D560">
        <f t="shared" si="17"/>
        <v>0</v>
      </c>
    </row>
    <row r="561" spans="1:4" hidden="1" x14ac:dyDescent="0.25">
      <c r="A561">
        <f>IFERROR(HLOOKUP($A$1,'liste CIRCUIT'!$B:$AM,561,0)," ")</f>
        <v>0</v>
      </c>
      <c r="B561">
        <f>IFERROR(HLOOKUP($B$1,'liste CIRCUIT'!$B:$AM,561,0)," ")</f>
        <v>0</v>
      </c>
      <c r="C561">
        <f t="shared" si="16"/>
        <v>0</v>
      </c>
      <c r="D561">
        <f t="shared" si="17"/>
        <v>0</v>
      </c>
    </row>
    <row r="562" spans="1:4" hidden="1" x14ac:dyDescent="0.25">
      <c r="A562">
        <f>IFERROR(HLOOKUP($A$1,'liste CIRCUIT'!$B:$AM,562,0)," ")</f>
        <v>0</v>
      </c>
      <c r="B562">
        <f>IFERROR(HLOOKUP($B$1,'liste CIRCUIT'!$B:$AM,562,0)," ")</f>
        <v>0</v>
      </c>
      <c r="C562">
        <f t="shared" si="16"/>
        <v>0</v>
      </c>
      <c r="D562">
        <f t="shared" si="17"/>
        <v>0</v>
      </c>
    </row>
    <row r="563" spans="1:4" hidden="1" x14ac:dyDescent="0.25">
      <c r="A563">
        <f>IFERROR(HLOOKUP($A$1,'liste CIRCUIT'!$B:$AM,563,0)," ")</f>
        <v>0</v>
      </c>
      <c r="B563">
        <f>IFERROR(HLOOKUP($B$1,'liste CIRCUIT'!$B:$AM,563,0)," ")</f>
        <v>0</v>
      </c>
      <c r="C563">
        <f t="shared" si="16"/>
        <v>0</v>
      </c>
      <c r="D563">
        <f t="shared" si="17"/>
        <v>0</v>
      </c>
    </row>
    <row r="564" spans="1:4" hidden="1" x14ac:dyDescent="0.25">
      <c r="A564">
        <f>IFERROR(HLOOKUP($A$1,'liste CIRCUIT'!$B:$AM,564,0)," ")</f>
        <v>1</v>
      </c>
      <c r="B564">
        <f>IFERROR(HLOOKUP($B$1,'liste CIRCUIT'!$B:$AM,564,0)," ")</f>
        <v>0</v>
      </c>
      <c r="C564">
        <f t="shared" si="16"/>
        <v>1</v>
      </c>
      <c r="D564">
        <f t="shared" si="17"/>
        <v>1</v>
      </c>
    </row>
    <row r="565" spans="1:4" hidden="1" x14ac:dyDescent="0.25">
      <c r="A565">
        <f>IFERROR(HLOOKUP($A$1,'liste CIRCUIT'!$B:$AM,565,0)," ")</f>
        <v>0</v>
      </c>
      <c r="B565">
        <f>IFERROR(HLOOKUP($B$1,'liste CIRCUIT'!$B:$AM,565,0)," ")</f>
        <v>1</v>
      </c>
      <c r="C565">
        <f t="shared" si="16"/>
        <v>1</v>
      </c>
      <c r="D565">
        <f t="shared" si="17"/>
        <v>-1</v>
      </c>
    </row>
    <row r="566" spans="1:4" hidden="1" x14ac:dyDescent="0.25">
      <c r="A566">
        <f>IFERROR(HLOOKUP($A$1,'liste CIRCUIT'!$B:$AM,566,0)," ")</f>
        <v>0</v>
      </c>
      <c r="B566">
        <f>IFERROR(HLOOKUP($B$1,'liste CIRCUIT'!$B:$AM,566,0)," ")</f>
        <v>0</v>
      </c>
      <c r="C566">
        <f t="shared" si="16"/>
        <v>0</v>
      </c>
      <c r="D566">
        <f t="shared" si="17"/>
        <v>0</v>
      </c>
    </row>
    <row r="567" spans="1:4" hidden="1" x14ac:dyDescent="0.25">
      <c r="A567">
        <f>IFERROR(HLOOKUP($A$1,'liste CIRCUIT'!$B:$AM,567,0)," ")</f>
        <v>0</v>
      </c>
      <c r="B567">
        <f>IFERROR(HLOOKUP($B$1,'liste CIRCUIT'!$B:$AM,567,0)," ")</f>
        <v>0</v>
      </c>
      <c r="C567">
        <f t="shared" si="16"/>
        <v>0</v>
      </c>
      <c r="D567">
        <f t="shared" si="17"/>
        <v>0</v>
      </c>
    </row>
    <row r="568" spans="1:4" hidden="1" x14ac:dyDescent="0.25">
      <c r="A568">
        <f>IFERROR(HLOOKUP($A$1,'liste CIRCUIT'!$B:$AM,568,0)," ")</f>
        <v>0</v>
      </c>
      <c r="B568">
        <f>IFERROR(HLOOKUP($B$1,'liste CIRCUIT'!$B:$AM,568,0)," ")</f>
        <v>0</v>
      </c>
      <c r="C568">
        <f t="shared" si="16"/>
        <v>0</v>
      </c>
      <c r="D568">
        <f t="shared" si="17"/>
        <v>0</v>
      </c>
    </row>
    <row r="569" spans="1:4" hidden="1" x14ac:dyDescent="0.25">
      <c r="A569">
        <f>IFERROR(HLOOKUP($A$1,'liste CIRCUIT'!$B:$AM,569,0)," ")</f>
        <v>0</v>
      </c>
      <c r="B569">
        <f>IFERROR(HLOOKUP($B$1,'liste CIRCUIT'!$B:$AM,569,0)," ")</f>
        <v>0</v>
      </c>
      <c r="C569">
        <f t="shared" si="16"/>
        <v>0</v>
      </c>
      <c r="D569">
        <f t="shared" si="17"/>
        <v>0</v>
      </c>
    </row>
    <row r="570" spans="1:4" hidden="1" x14ac:dyDescent="0.25">
      <c r="A570">
        <f>IFERROR(HLOOKUP($A$1,'liste CIRCUIT'!$B:$AM,570,0)," ")</f>
        <v>0</v>
      </c>
      <c r="B570">
        <f>IFERROR(HLOOKUP($B$1,'liste CIRCUIT'!$B:$AM,570,0)," ")</f>
        <v>0</v>
      </c>
      <c r="C570">
        <f t="shared" si="16"/>
        <v>0</v>
      </c>
      <c r="D570">
        <f t="shared" si="17"/>
        <v>0</v>
      </c>
    </row>
    <row r="571" spans="1:4" hidden="1" x14ac:dyDescent="0.25">
      <c r="A571">
        <f>IFERROR(HLOOKUP($A$1,'liste CIRCUIT'!$B:$AM,571,0)," ")</f>
        <v>0</v>
      </c>
      <c r="B571">
        <f>IFERROR(HLOOKUP($B$1,'liste CIRCUIT'!$B:$AM,571,0)," ")</f>
        <v>0</v>
      </c>
      <c r="C571">
        <f t="shared" si="16"/>
        <v>0</v>
      </c>
      <c r="D571">
        <f t="shared" si="17"/>
        <v>0</v>
      </c>
    </row>
    <row r="572" spans="1:4" hidden="1" x14ac:dyDescent="0.25">
      <c r="A572">
        <f>IFERROR(HLOOKUP($A$1,'liste CIRCUIT'!$B:$AM,572,0)," ")</f>
        <v>0</v>
      </c>
      <c r="B572">
        <f>IFERROR(HLOOKUP($B$1,'liste CIRCUIT'!$B:$AM,572,0)," ")</f>
        <v>0</v>
      </c>
      <c r="C572">
        <f t="shared" si="16"/>
        <v>0</v>
      </c>
      <c r="D572">
        <f t="shared" si="17"/>
        <v>0</v>
      </c>
    </row>
    <row r="573" spans="1:4" hidden="1" x14ac:dyDescent="0.25">
      <c r="A573">
        <f>IFERROR(HLOOKUP($A$1,'liste CIRCUIT'!$B:$AM,573,0)," ")</f>
        <v>0</v>
      </c>
      <c r="B573">
        <f>IFERROR(HLOOKUP($B$1,'liste CIRCUIT'!$B:$AM,573,0)," ")</f>
        <v>0</v>
      </c>
      <c r="C573">
        <f t="shared" si="16"/>
        <v>0</v>
      </c>
      <c r="D573">
        <f t="shared" si="17"/>
        <v>0</v>
      </c>
    </row>
    <row r="574" spans="1:4" hidden="1" x14ac:dyDescent="0.25">
      <c r="A574">
        <f>IFERROR(HLOOKUP($A$1,'liste CIRCUIT'!$B:$AM,574,0)," ")</f>
        <v>0</v>
      </c>
      <c r="B574">
        <f>IFERROR(HLOOKUP($B$1,'liste CIRCUIT'!$B:$AM,574,0)," ")</f>
        <v>0</v>
      </c>
      <c r="C574">
        <f t="shared" si="16"/>
        <v>0</v>
      </c>
      <c r="D574">
        <f t="shared" si="17"/>
        <v>0</v>
      </c>
    </row>
    <row r="575" spans="1:4" hidden="1" x14ac:dyDescent="0.25">
      <c r="A575">
        <f>IFERROR(HLOOKUP($A$1,'liste CIRCUIT'!$B:$AM,575,0)," ")</f>
        <v>0</v>
      </c>
      <c r="B575">
        <f>IFERROR(HLOOKUP($B$1,'liste CIRCUIT'!$B:$AM,575,0)," ")</f>
        <v>0</v>
      </c>
      <c r="C575">
        <f t="shared" si="16"/>
        <v>0</v>
      </c>
      <c r="D575">
        <f t="shared" si="17"/>
        <v>0</v>
      </c>
    </row>
    <row r="576" spans="1:4" hidden="1" x14ac:dyDescent="0.25">
      <c r="A576">
        <f>IFERROR(HLOOKUP($A$1,'liste CIRCUIT'!$B:$AM,576,0)," ")</f>
        <v>0</v>
      </c>
      <c r="B576">
        <f>IFERROR(HLOOKUP($B$1,'liste CIRCUIT'!$B:$AM,576,0)," ")</f>
        <v>0</v>
      </c>
      <c r="C576">
        <f t="shared" si="16"/>
        <v>0</v>
      </c>
      <c r="D576">
        <f t="shared" si="17"/>
        <v>0</v>
      </c>
    </row>
    <row r="577" spans="1:4" hidden="1" x14ac:dyDescent="0.25">
      <c r="A577">
        <f>IFERROR(HLOOKUP($A$1,'liste CIRCUIT'!$B:$AM,577,0)," ")</f>
        <v>0</v>
      </c>
      <c r="B577">
        <f>IFERROR(HLOOKUP($B$1,'liste CIRCUIT'!$B:$AM,577,0)," ")</f>
        <v>0</v>
      </c>
      <c r="C577">
        <f t="shared" si="16"/>
        <v>0</v>
      </c>
      <c r="D577">
        <f t="shared" si="17"/>
        <v>0</v>
      </c>
    </row>
    <row r="578" spans="1:4" hidden="1" x14ac:dyDescent="0.25">
      <c r="A578">
        <f>IFERROR(HLOOKUP($A$1,'liste CIRCUIT'!$B:$AM,578,0)," ")</f>
        <v>0</v>
      </c>
      <c r="B578">
        <f>IFERROR(HLOOKUP($B$1,'liste CIRCUIT'!$B:$AM,578,0)," ")</f>
        <v>0</v>
      </c>
      <c r="C578">
        <f t="shared" si="16"/>
        <v>0</v>
      </c>
      <c r="D578">
        <f t="shared" si="17"/>
        <v>0</v>
      </c>
    </row>
    <row r="579" spans="1:4" hidden="1" x14ac:dyDescent="0.25">
      <c r="A579">
        <f>IFERROR(HLOOKUP($A$1,'liste CIRCUIT'!$B:$AM,579,0)," ")</f>
        <v>1</v>
      </c>
      <c r="B579">
        <f>IFERROR(HLOOKUP($B$1,'liste CIRCUIT'!$B:$AM,579,0)," ")</f>
        <v>1</v>
      </c>
      <c r="C579">
        <f t="shared" ref="C579:C642" si="18">SUM(A579:B579)</f>
        <v>2</v>
      </c>
      <c r="D579">
        <f t="shared" ref="D579:D642" si="19">A579-B579</f>
        <v>0</v>
      </c>
    </row>
    <row r="580" spans="1:4" hidden="1" x14ac:dyDescent="0.25">
      <c r="A580">
        <f>IFERROR(HLOOKUP($A$1,'liste CIRCUIT'!$B:$AM,580,0)," ")</f>
        <v>0</v>
      </c>
      <c r="B580">
        <f>IFERROR(HLOOKUP($B$1,'liste CIRCUIT'!$B:$AM,580,0)," ")</f>
        <v>0</v>
      </c>
      <c r="C580">
        <f t="shared" si="18"/>
        <v>0</v>
      </c>
      <c r="D580">
        <f t="shared" si="19"/>
        <v>0</v>
      </c>
    </row>
    <row r="581" spans="1:4" hidden="1" x14ac:dyDescent="0.25">
      <c r="A581">
        <f>IFERROR(HLOOKUP($A$1,'liste CIRCUIT'!$B:$AM,581,0)," ")</f>
        <v>0</v>
      </c>
      <c r="B581">
        <f>IFERROR(HLOOKUP($B$1,'liste CIRCUIT'!$B:$AM,581,0)," ")</f>
        <v>0</v>
      </c>
      <c r="C581">
        <f t="shared" si="18"/>
        <v>0</v>
      </c>
      <c r="D581">
        <f t="shared" si="19"/>
        <v>0</v>
      </c>
    </row>
    <row r="582" spans="1:4" hidden="1" x14ac:dyDescent="0.25">
      <c r="A582">
        <f>IFERROR(HLOOKUP($A$1,'liste CIRCUIT'!$B:$AM,582,0)," ")</f>
        <v>0</v>
      </c>
      <c r="B582">
        <f>IFERROR(HLOOKUP($B$1,'liste CIRCUIT'!$B:$AM,582,0)," ")</f>
        <v>0</v>
      </c>
      <c r="C582">
        <f t="shared" si="18"/>
        <v>0</v>
      </c>
      <c r="D582">
        <f t="shared" si="19"/>
        <v>0</v>
      </c>
    </row>
    <row r="583" spans="1:4" hidden="1" x14ac:dyDescent="0.25">
      <c r="A583">
        <f>IFERROR(HLOOKUP($A$1,'liste CIRCUIT'!$B:$AM,583,0)," ")</f>
        <v>0</v>
      </c>
      <c r="B583">
        <f>IFERROR(HLOOKUP($B$1,'liste CIRCUIT'!$B:$AM,583,0)," ")</f>
        <v>0</v>
      </c>
      <c r="C583">
        <f t="shared" si="18"/>
        <v>0</v>
      </c>
      <c r="D583">
        <f t="shared" si="19"/>
        <v>0</v>
      </c>
    </row>
    <row r="584" spans="1:4" hidden="1" x14ac:dyDescent="0.25">
      <c r="A584">
        <f>IFERROR(HLOOKUP($A$1,'liste CIRCUIT'!$B:$AM,584,0)," ")</f>
        <v>0</v>
      </c>
      <c r="B584">
        <f>IFERROR(HLOOKUP($B$1,'liste CIRCUIT'!$B:$AM,584,0)," ")</f>
        <v>0</v>
      </c>
      <c r="C584">
        <f t="shared" si="18"/>
        <v>0</v>
      </c>
      <c r="D584">
        <f t="shared" si="19"/>
        <v>0</v>
      </c>
    </row>
    <row r="585" spans="1:4" hidden="1" x14ac:dyDescent="0.25">
      <c r="A585">
        <f>IFERROR(HLOOKUP($A$1,'liste CIRCUIT'!$B:$AM,585,0)," ")</f>
        <v>0</v>
      </c>
      <c r="B585">
        <f>IFERROR(HLOOKUP($B$1,'liste CIRCUIT'!$B:$AM,585,0)," ")</f>
        <v>0</v>
      </c>
      <c r="C585">
        <f t="shared" si="18"/>
        <v>0</v>
      </c>
      <c r="D585">
        <f t="shared" si="19"/>
        <v>0</v>
      </c>
    </row>
    <row r="586" spans="1:4" hidden="1" x14ac:dyDescent="0.25">
      <c r="A586">
        <f>IFERROR(HLOOKUP($A$1,'liste CIRCUIT'!$B:$AM,586,0)," ")</f>
        <v>0</v>
      </c>
      <c r="B586">
        <f>IFERROR(HLOOKUP($B$1,'liste CIRCUIT'!$B:$AM,586,0)," ")</f>
        <v>0</v>
      </c>
      <c r="C586">
        <f t="shared" si="18"/>
        <v>0</v>
      </c>
      <c r="D586">
        <f t="shared" si="19"/>
        <v>0</v>
      </c>
    </row>
    <row r="587" spans="1:4" hidden="1" x14ac:dyDescent="0.25">
      <c r="A587">
        <f>IFERROR(HLOOKUP($A$1,'liste CIRCUIT'!$B:$AM,587,0)," ")</f>
        <v>0</v>
      </c>
      <c r="B587">
        <f>IFERROR(HLOOKUP($B$1,'liste CIRCUIT'!$B:$AM,587,0)," ")</f>
        <v>1</v>
      </c>
      <c r="C587">
        <f t="shared" si="18"/>
        <v>1</v>
      </c>
      <c r="D587">
        <f t="shared" si="19"/>
        <v>-1</v>
      </c>
    </row>
    <row r="588" spans="1:4" hidden="1" x14ac:dyDescent="0.25">
      <c r="A588">
        <f>IFERROR(HLOOKUP($A$1,'liste CIRCUIT'!$B:$AM,588,0)," ")</f>
        <v>0</v>
      </c>
      <c r="B588">
        <f>IFERROR(HLOOKUP($B$1,'liste CIRCUIT'!$B:$AM,588,0)," ")</f>
        <v>0</v>
      </c>
      <c r="C588">
        <f t="shared" si="18"/>
        <v>0</v>
      </c>
      <c r="D588">
        <f t="shared" si="19"/>
        <v>0</v>
      </c>
    </row>
    <row r="589" spans="1:4" hidden="1" x14ac:dyDescent="0.25">
      <c r="A589">
        <f>IFERROR(HLOOKUP($A$1,'liste CIRCUIT'!$B:$AM,589,0)," ")</f>
        <v>0</v>
      </c>
      <c r="B589">
        <f>IFERROR(HLOOKUP($B$1,'liste CIRCUIT'!$B:$AM,589,0)," ")</f>
        <v>0</v>
      </c>
      <c r="C589">
        <f t="shared" si="18"/>
        <v>0</v>
      </c>
      <c r="D589">
        <f t="shared" si="19"/>
        <v>0</v>
      </c>
    </row>
    <row r="590" spans="1:4" hidden="1" x14ac:dyDescent="0.25">
      <c r="A590">
        <f>IFERROR(HLOOKUP($A$1,'liste CIRCUIT'!$B:$AM,590,0)," ")</f>
        <v>0</v>
      </c>
      <c r="B590">
        <f>IFERROR(HLOOKUP($B$1,'liste CIRCUIT'!$B:$AM,590,0)," ")</f>
        <v>0</v>
      </c>
      <c r="C590">
        <f t="shared" si="18"/>
        <v>0</v>
      </c>
      <c r="D590">
        <f t="shared" si="19"/>
        <v>0</v>
      </c>
    </row>
    <row r="591" spans="1:4" hidden="1" x14ac:dyDescent="0.25">
      <c r="A591">
        <f>IFERROR(HLOOKUP($A$1,'liste CIRCUIT'!$B:$AM,591,0)," ")</f>
        <v>0</v>
      </c>
      <c r="B591">
        <f>IFERROR(HLOOKUP($B$1,'liste CIRCUIT'!$B:$AM,591,0)," ")</f>
        <v>0</v>
      </c>
      <c r="C591">
        <f t="shared" si="18"/>
        <v>0</v>
      </c>
      <c r="D591">
        <f t="shared" si="19"/>
        <v>0</v>
      </c>
    </row>
    <row r="592" spans="1:4" hidden="1" x14ac:dyDescent="0.25">
      <c r="A592">
        <f>IFERROR(HLOOKUP($A$1,'liste CIRCUIT'!$B:$AM,592,0)," ")</f>
        <v>0</v>
      </c>
      <c r="B592">
        <f>IFERROR(HLOOKUP($B$1,'liste CIRCUIT'!$B:$AM,592,0)," ")</f>
        <v>0</v>
      </c>
      <c r="C592">
        <f t="shared" si="18"/>
        <v>0</v>
      </c>
      <c r="D592">
        <f t="shared" si="19"/>
        <v>0</v>
      </c>
    </row>
    <row r="593" spans="1:4" hidden="1" x14ac:dyDescent="0.25">
      <c r="A593">
        <f>IFERROR(HLOOKUP($A$1,'liste CIRCUIT'!$B:$AM,593,0)," ")</f>
        <v>1</v>
      </c>
      <c r="B593">
        <f>IFERROR(HLOOKUP($B$1,'liste CIRCUIT'!$B:$AM,593,0)," ")</f>
        <v>0</v>
      </c>
      <c r="C593">
        <f t="shared" si="18"/>
        <v>1</v>
      </c>
      <c r="D593">
        <f t="shared" si="19"/>
        <v>1</v>
      </c>
    </row>
    <row r="594" spans="1:4" hidden="1" x14ac:dyDescent="0.25">
      <c r="A594">
        <f>IFERROR(HLOOKUP($A$1,'liste CIRCUIT'!$B:$AM,594,0)," ")</f>
        <v>0</v>
      </c>
      <c r="B594">
        <f>IFERROR(HLOOKUP($B$1,'liste CIRCUIT'!$B:$AM,594,0)," ")</f>
        <v>0</v>
      </c>
      <c r="C594">
        <f t="shared" si="18"/>
        <v>0</v>
      </c>
      <c r="D594">
        <f t="shared" si="19"/>
        <v>0</v>
      </c>
    </row>
    <row r="595" spans="1:4" hidden="1" x14ac:dyDescent="0.25">
      <c r="A595">
        <f>IFERROR(HLOOKUP($A$1,'liste CIRCUIT'!$B:$AM,595,0)," ")</f>
        <v>0</v>
      </c>
      <c r="B595">
        <f>IFERROR(HLOOKUP($B$1,'liste CIRCUIT'!$B:$AM,595,0)," ")</f>
        <v>0</v>
      </c>
      <c r="C595">
        <f t="shared" si="18"/>
        <v>0</v>
      </c>
      <c r="D595">
        <f t="shared" si="19"/>
        <v>0</v>
      </c>
    </row>
    <row r="596" spans="1:4" hidden="1" x14ac:dyDescent="0.25">
      <c r="A596">
        <f>IFERROR(HLOOKUP($A$1,'liste CIRCUIT'!$B:$AM,596,0)," ")</f>
        <v>0</v>
      </c>
      <c r="B596">
        <f>IFERROR(HLOOKUP($B$1,'liste CIRCUIT'!$B:$AM,596,0)," ")</f>
        <v>0</v>
      </c>
      <c r="C596">
        <f t="shared" si="18"/>
        <v>0</v>
      </c>
      <c r="D596">
        <f t="shared" si="19"/>
        <v>0</v>
      </c>
    </row>
    <row r="597" spans="1:4" hidden="1" x14ac:dyDescent="0.25">
      <c r="A597">
        <f>IFERROR(HLOOKUP($A$1,'liste CIRCUIT'!$B:$AM,597,0)," ")</f>
        <v>0</v>
      </c>
      <c r="B597">
        <f>IFERROR(HLOOKUP($B$1,'liste CIRCUIT'!$B:$AM,597,0)," ")</f>
        <v>0</v>
      </c>
      <c r="C597">
        <f t="shared" si="18"/>
        <v>0</v>
      </c>
      <c r="D597">
        <f t="shared" si="19"/>
        <v>0</v>
      </c>
    </row>
    <row r="598" spans="1:4" hidden="1" x14ac:dyDescent="0.25">
      <c r="A598">
        <f>IFERROR(HLOOKUP($A$1,'liste CIRCUIT'!$B:$AM,598,0)," ")</f>
        <v>0</v>
      </c>
      <c r="B598">
        <f>IFERROR(HLOOKUP($B$1,'liste CIRCUIT'!$B:$AM,598,0)," ")</f>
        <v>0</v>
      </c>
      <c r="C598">
        <f t="shared" si="18"/>
        <v>0</v>
      </c>
      <c r="D598">
        <f t="shared" si="19"/>
        <v>0</v>
      </c>
    </row>
    <row r="599" spans="1:4" hidden="1" x14ac:dyDescent="0.25">
      <c r="A599">
        <f>IFERROR(HLOOKUP($A$1,'liste CIRCUIT'!$B:$AM,599,0)," ")</f>
        <v>0</v>
      </c>
      <c r="B599">
        <f>IFERROR(HLOOKUP($B$1,'liste CIRCUIT'!$B:$AM,599,0)," ")</f>
        <v>0</v>
      </c>
      <c r="C599">
        <f t="shared" si="18"/>
        <v>0</v>
      </c>
      <c r="D599">
        <f t="shared" si="19"/>
        <v>0</v>
      </c>
    </row>
    <row r="600" spans="1:4" hidden="1" x14ac:dyDescent="0.25">
      <c r="A600">
        <f>IFERROR(HLOOKUP($A$1,'liste CIRCUIT'!$B:$AM,600,0)," ")</f>
        <v>0</v>
      </c>
      <c r="B600">
        <f>IFERROR(HLOOKUP($B$1,'liste CIRCUIT'!$B:$AM,600,0)," ")</f>
        <v>0</v>
      </c>
      <c r="C600">
        <f t="shared" si="18"/>
        <v>0</v>
      </c>
      <c r="D600">
        <f t="shared" si="19"/>
        <v>0</v>
      </c>
    </row>
    <row r="601" spans="1:4" hidden="1" x14ac:dyDescent="0.25">
      <c r="A601">
        <f>IFERROR(HLOOKUP($A$1,'liste CIRCUIT'!$B:$AM,601,0)," ")</f>
        <v>0</v>
      </c>
      <c r="B601">
        <f>IFERROR(HLOOKUP($B$1,'liste CIRCUIT'!$B:$AM,601,0)," ")</f>
        <v>0</v>
      </c>
      <c r="C601">
        <f t="shared" si="18"/>
        <v>0</v>
      </c>
      <c r="D601">
        <f t="shared" si="19"/>
        <v>0</v>
      </c>
    </row>
    <row r="602" spans="1:4" hidden="1" x14ac:dyDescent="0.25">
      <c r="A602">
        <f>IFERROR(HLOOKUP($A$1,'liste CIRCUIT'!$B:$AM,602,0)," ")</f>
        <v>1</v>
      </c>
      <c r="B602">
        <f>IFERROR(HLOOKUP($B$1,'liste CIRCUIT'!$B:$AM,602,0)," ")</f>
        <v>0</v>
      </c>
      <c r="C602">
        <f t="shared" si="18"/>
        <v>1</v>
      </c>
      <c r="D602">
        <f t="shared" si="19"/>
        <v>1</v>
      </c>
    </row>
    <row r="603" spans="1:4" hidden="1" x14ac:dyDescent="0.25">
      <c r="A603">
        <f>IFERROR(HLOOKUP($A$1,'liste CIRCUIT'!$B:$AM,603,0)," ")</f>
        <v>0</v>
      </c>
      <c r="B603">
        <f>IFERROR(HLOOKUP($B$1,'liste CIRCUIT'!$B:$AM,603,0)," ")</f>
        <v>0</v>
      </c>
      <c r="C603">
        <f t="shared" si="18"/>
        <v>0</v>
      </c>
      <c r="D603">
        <f t="shared" si="19"/>
        <v>0</v>
      </c>
    </row>
    <row r="604" spans="1:4" hidden="1" x14ac:dyDescent="0.25">
      <c r="A604">
        <f>IFERROR(HLOOKUP($A$1,'liste CIRCUIT'!$B:$AM,604,0)," ")</f>
        <v>0</v>
      </c>
      <c r="B604">
        <f>IFERROR(HLOOKUP($B$1,'liste CIRCUIT'!$B:$AM,604,0)," ")</f>
        <v>0</v>
      </c>
      <c r="C604">
        <f t="shared" si="18"/>
        <v>0</v>
      </c>
      <c r="D604">
        <f t="shared" si="19"/>
        <v>0</v>
      </c>
    </row>
    <row r="605" spans="1:4" hidden="1" x14ac:dyDescent="0.25">
      <c r="A605">
        <f>IFERROR(HLOOKUP($A$1,'liste CIRCUIT'!$B:$AM,605,0)," ")</f>
        <v>0</v>
      </c>
      <c r="B605">
        <f>IFERROR(HLOOKUP($B$1,'liste CIRCUIT'!$B:$AM,605,0)," ")</f>
        <v>0</v>
      </c>
      <c r="C605">
        <f t="shared" si="18"/>
        <v>0</v>
      </c>
      <c r="D605">
        <f t="shared" si="19"/>
        <v>0</v>
      </c>
    </row>
    <row r="606" spans="1:4" hidden="1" x14ac:dyDescent="0.25">
      <c r="A606">
        <f>IFERROR(HLOOKUP($A$1,'liste CIRCUIT'!$B:$AM,606,0)," ")</f>
        <v>0</v>
      </c>
      <c r="B606">
        <f>IFERROR(HLOOKUP($B$1,'liste CIRCUIT'!$B:$AM,606,0)," ")</f>
        <v>0</v>
      </c>
      <c r="C606">
        <f t="shared" si="18"/>
        <v>0</v>
      </c>
      <c r="D606">
        <f t="shared" si="19"/>
        <v>0</v>
      </c>
    </row>
    <row r="607" spans="1:4" hidden="1" x14ac:dyDescent="0.25">
      <c r="A607">
        <f>IFERROR(HLOOKUP($A$1,'liste CIRCUIT'!$B:$AM,607,0)," ")</f>
        <v>0</v>
      </c>
      <c r="B607">
        <f>IFERROR(HLOOKUP($B$1,'liste CIRCUIT'!$B:$AM,607,0)," ")</f>
        <v>1</v>
      </c>
      <c r="C607">
        <f t="shared" si="18"/>
        <v>1</v>
      </c>
      <c r="D607">
        <f t="shared" si="19"/>
        <v>-1</v>
      </c>
    </row>
    <row r="608" spans="1:4" hidden="1" x14ac:dyDescent="0.25">
      <c r="A608">
        <f>IFERROR(HLOOKUP($A$1,'liste CIRCUIT'!$B:$AM,608,0)," ")</f>
        <v>0</v>
      </c>
      <c r="B608">
        <f>IFERROR(HLOOKUP($B$1,'liste CIRCUIT'!$B:$AM,608,0)," ")</f>
        <v>0</v>
      </c>
      <c r="C608">
        <f t="shared" si="18"/>
        <v>0</v>
      </c>
      <c r="D608">
        <f t="shared" si="19"/>
        <v>0</v>
      </c>
    </row>
    <row r="609" spans="1:4" hidden="1" x14ac:dyDescent="0.25">
      <c r="A609">
        <f>IFERROR(HLOOKUP($A$1,'liste CIRCUIT'!$B:$AM,609,0)," ")</f>
        <v>0</v>
      </c>
      <c r="B609">
        <f>IFERROR(HLOOKUP($B$1,'liste CIRCUIT'!$B:$AM,609,0)," ")</f>
        <v>0</v>
      </c>
      <c r="C609">
        <f t="shared" si="18"/>
        <v>0</v>
      </c>
      <c r="D609">
        <f t="shared" si="19"/>
        <v>0</v>
      </c>
    </row>
    <row r="610" spans="1:4" hidden="1" x14ac:dyDescent="0.25">
      <c r="A610">
        <f>IFERROR(HLOOKUP($A$1,'liste CIRCUIT'!$B:$AM,610,0)," ")</f>
        <v>0</v>
      </c>
      <c r="B610">
        <f>IFERROR(HLOOKUP($B$1,'liste CIRCUIT'!$B:$AM,610,0)," ")</f>
        <v>0</v>
      </c>
      <c r="C610">
        <f t="shared" si="18"/>
        <v>0</v>
      </c>
      <c r="D610">
        <f t="shared" si="19"/>
        <v>0</v>
      </c>
    </row>
    <row r="611" spans="1:4" hidden="1" x14ac:dyDescent="0.25">
      <c r="A611">
        <f>IFERROR(HLOOKUP($A$1,'liste CIRCUIT'!$B:$AM,611,0)," ")</f>
        <v>0</v>
      </c>
      <c r="B611">
        <f>IFERROR(HLOOKUP($B$1,'liste CIRCUIT'!$B:$AM,611,0)," ")</f>
        <v>0</v>
      </c>
      <c r="C611">
        <f t="shared" si="18"/>
        <v>0</v>
      </c>
      <c r="D611">
        <f t="shared" si="19"/>
        <v>0</v>
      </c>
    </row>
    <row r="612" spans="1:4" hidden="1" x14ac:dyDescent="0.25">
      <c r="A612">
        <f>IFERROR(HLOOKUP($A$1,'liste CIRCUIT'!$B:$AM,612,0)," ")</f>
        <v>0</v>
      </c>
      <c r="B612">
        <f>IFERROR(HLOOKUP($B$1,'liste CIRCUIT'!$B:$AM,612,0)," ")</f>
        <v>0</v>
      </c>
      <c r="C612">
        <f t="shared" si="18"/>
        <v>0</v>
      </c>
      <c r="D612">
        <f t="shared" si="19"/>
        <v>0</v>
      </c>
    </row>
    <row r="613" spans="1:4" hidden="1" x14ac:dyDescent="0.25">
      <c r="A613">
        <f>IFERROR(HLOOKUP($A$1,'liste CIRCUIT'!$B:$AM,613,0)," ")</f>
        <v>1</v>
      </c>
      <c r="B613">
        <f>IFERROR(HLOOKUP($B$1,'liste CIRCUIT'!$B:$AM,613,0)," ")</f>
        <v>1</v>
      </c>
      <c r="C613">
        <f t="shared" si="18"/>
        <v>2</v>
      </c>
      <c r="D613">
        <f t="shared" si="19"/>
        <v>0</v>
      </c>
    </row>
    <row r="614" spans="1:4" hidden="1" x14ac:dyDescent="0.25">
      <c r="A614">
        <f>IFERROR(HLOOKUP($A$1,'liste CIRCUIT'!$B:$AM,614,0)," ")</f>
        <v>0</v>
      </c>
      <c r="B614">
        <f>IFERROR(HLOOKUP($B$1,'liste CIRCUIT'!$B:$AM,614,0)," ")</f>
        <v>0</v>
      </c>
      <c r="C614">
        <f t="shared" si="18"/>
        <v>0</v>
      </c>
      <c r="D614">
        <f t="shared" si="19"/>
        <v>0</v>
      </c>
    </row>
    <row r="615" spans="1:4" hidden="1" x14ac:dyDescent="0.25">
      <c r="A615">
        <f>IFERROR(HLOOKUP($A$1,'liste CIRCUIT'!$B:$AM,615,0)," ")</f>
        <v>0</v>
      </c>
      <c r="B615">
        <f>IFERROR(HLOOKUP($B$1,'liste CIRCUIT'!$B:$AM,615,0)," ")</f>
        <v>0</v>
      </c>
      <c r="C615">
        <f t="shared" si="18"/>
        <v>0</v>
      </c>
      <c r="D615">
        <f t="shared" si="19"/>
        <v>0</v>
      </c>
    </row>
    <row r="616" spans="1:4" hidden="1" x14ac:dyDescent="0.25">
      <c r="A616">
        <f>IFERROR(HLOOKUP($A$1,'liste CIRCUIT'!$B:$AM,616,0)," ")</f>
        <v>0</v>
      </c>
      <c r="B616">
        <f>IFERROR(HLOOKUP($B$1,'liste CIRCUIT'!$B:$AM,616,0)," ")</f>
        <v>0</v>
      </c>
      <c r="C616">
        <f t="shared" si="18"/>
        <v>0</v>
      </c>
      <c r="D616">
        <f t="shared" si="19"/>
        <v>0</v>
      </c>
    </row>
    <row r="617" spans="1:4" hidden="1" x14ac:dyDescent="0.25">
      <c r="A617">
        <f>IFERROR(HLOOKUP($A$1,'liste CIRCUIT'!$B:$AM,617,0)," ")</f>
        <v>0</v>
      </c>
      <c r="B617">
        <f>IFERROR(HLOOKUP($B$1,'liste CIRCUIT'!$B:$AM,617,0)," ")</f>
        <v>0</v>
      </c>
      <c r="C617">
        <f t="shared" si="18"/>
        <v>0</v>
      </c>
      <c r="D617">
        <f t="shared" si="19"/>
        <v>0</v>
      </c>
    </row>
    <row r="618" spans="1:4" hidden="1" x14ac:dyDescent="0.25">
      <c r="A618">
        <f>IFERROR(HLOOKUP($A$1,'liste CIRCUIT'!$B:$AM,618,0)," ")</f>
        <v>0</v>
      </c>
      <c r="B618">
        <f>IFERROR(HLOOKUP($B$1,'liste CIRCUIT'!$B:$AM,618,0)," ")</f>
        <v>0</v>
      </c>
      <c r="C618">
        <f t="shared" si="18"/>
        <v>0</v>
      </c>
      <c r="D618">
        <f t="shared" si="19"/>
        <v>0</v>
      </c>
    </row>
    <row r="619" spans="1:4" hidden="1" x14ac:dyDescent="0.25">
      <c r="A619">
        <f>IFERROR(HLOOKUP($A$1,'liste CIRCUIT'!$B:$AM,619,0)," ")</f>
        <v>0</v>
      </c>
      <c r="B619">
        <f>IFERROR(HLOOKUP($B$1,'liste CIRCUIT'!$B:$AM,619,0)," ")</f>
        <v>0</v>
      </c>
      <c r="C619">
        <f t="shared" si="18"/>
        <v>0</v>
      </c>
      <c r="D619">
        <f t="shared" si="19"/>
        <v>0</v>
      </c>
    </row>
    <row r="620" spans="1:4" hidden="1" x14ac:dyDescent="0.25">
      <c r="A620">
        <f>IFERROR(HLOOKUP($A$1,'liste CIRCUIT'!$B:$AM,620,0)," ")</f>
        <v>0</v>
      </c>
      <c r="B620">
        <f>IFERROR(HLOOKUP($B$1,'liste CIRCUIT'!$B:$AM,620,0)," ")</f>
        <v>0</v>
      </c>
      <c r="C620">
        <f t="shared" si="18"/>
        <v>0</v>
      </c>
      <c r="D620">
        <f t="shared" si="19"/>
        <v>0</v>
      </c>
    </row>
    <row r="621" spans="1:4" hidden="1" x14ac:dyDescent="0.25">
      <c r="A621">
        <f>IFERROR(HLOOKUP($A$1,'liste CIRCUIT'!$B:$AM,621,0)," ")</f>
        <v>0</v>
      </c>
      <c r="B621">
        <f>IFERROR(HLOOKUP($B$1,'liste CIRCUIT'!$B:$AM,621,0)," ")</f>
        <v>0</v>
      </c>
      <c r="C621">
        <f t="shared" si="18"/>
        <v>0</v>
      </c>
      <c r="D621">
        <f t="shared" si="19"/>
        <v>0</v>
      </c>
    </row>
    <row r="622" spans="1:4" hidden="1" x14ac:dyDescent="0.25">
      <c r="A622">
        <f>IFERROR(HLOOKUP($A$1,'liste CIRCUIT'!$B:$AM,622,0)," ")</f>
        <v>0</v>
      </c>
      <c r="B622">
        <f>IFERROR(HLOOKUP($B$1,'liste CIRCUIT'!$B:$AM,622,0)," ")</f>
        <v>0</v>
      </c>
      <c r="C622">
        <f t="shared" si="18"/>
        <v>0</v>
      </c>
      <c r="D622">
        <f t="shared" si="19"/>
        <v>0</v>
      </c>
    </row>
    <row r="623" spans="1:4" hidden="1" x14ac:dyDescent="0.25">
      <c r="A623">
        <f>IFERROR(HLOOKUP($A$1,'liste CIRCUIT'!$B:$AM,623,0)," ")</f>
        <v>1</v>
      </c>
      <c r="B623">
        <f>IFERROR(HLOOKUP($B$1,'liste CIRCUIT'!$B:$AM,623,0)," ")</f>
        <v>1</v>
      </c>
      <c r="C623">
        <f t="shared" si="18"/>
        <v>2</v>
      </c>
      <c r="D623">
        <f t="shared" si="19"/>
        <v>0</v>
      </c>
    </row>
    <row r="624" spans="1:4" hidden="1" x14ac:dyDescent="0.25">
      <c r="A624">
        <f>IFERROR(HLOOKUP($A$1,'liste CIRCUIT'!$B:$AM,624,0)," ")</f>
        <v>0</v>
      </c>
      <c r="B624">
        <f>IFERROR(HLOOKUP($B$1,'liste CIRCUIT'!$B:$AM,624,0)," ")</f>
        <v>0</v>
      </c>
      <c r="C624">
        <f t="shared" si="18"/>
        <v>0</v>
      </c>
      <c r="D624">
        <f t="shared" si="19"/>
        <v>0</v>
      </c>
    </row>
    <row r="625" spans="1:4" hidden="1" x14ac:dyDescent="0.25">
      <c r="A625">
        <f>IFERROR(HLOOKUP($A$1,'liste CIRCUIT'!$B:$AM,625,0)," ")</f>
        <v>0</v>
      </c>
      <c r="B625">
        <f>IFERROR(HLOOKUP($B$1,'liste CIRCUIT'!$B:$AM,625,0)," ")</f>
        <v>0</v>
      </c>
      <c r="C625">
        <f t="shared" si="18"/>
        <v>0</v>
      </c>
      <c r="D625">
        <f t="shared" si="19"/>
        <v>0</v>
      </c>
    </row>
    <row r="626" spans="1:4" hidden="1" x14ac:dyDescent="0.25">
      <c r="A626">
        <f>IFERROR(HLOOKUP($A$1,'liste CIRCUIT'!$B:$AM,626,0)," ")</f>
        <v>0</v>
      </c>
      <c r="B626">
        <f>IFERROR(HLOOKUP($B$1,'liste CIRCUIT'!$B:$AM,626,0)," ")</f>
        <v>0</v>
      </c>
      <c r="C626">
        <f t="shared" si="18"/>
        <v>0</v>
      </c>
      <c r="D626">
        <f t="shared" si="19"/>
        <v>0</v>
      </c>
    </row>
    <row r="627" spans="1:4" hidden="1" x14ac:dyDescent="0.25">
      <c r="A627">
        <f>IFERROR(HLOOKUP($A$1,'liste CIRCUIT'!$B:$AM,627,0)," ")</f>
        <v>0</v>
      </c>
      <c r="B627">
        <f>IFERROR(HLOOKUP($B$1,'liste CIRCUIT'!$B:$AM,627,0)," ")</f>
        <v>0</v>
      </c>
      <c r="C627">
        <f t="shared" si="18"/>
        <v>0</v>
      </c>
      <c r="D627">
        <f t="shared" si="19"/>
        <v>0</v>
      </c>
    </row>
    <row r="628" spans="1:4" hidden="1" x14ac:dyDescent="0.25">
      <c r="A628">
        <f>IFERROR(HLOOKUP($A$1,'liste CIRCUIT'!$B:$AM,628,0)," ")</f>
        <v>0</v>
      </c>
      <c r="B628">
        <f>IFERROR(HLOOKUP($B$1,'liste CIRCUIT'!$B:$AM,628,0)," ")</f>
        <v>0</v>
      </c>
      <c r="C628">
        <f t="shared" si="18"/>
        <v>0</v>
      </c>
      <c r="D628">
        <f t="shared" si="19"/>
        <v>0</v>
      </c>
    </row>
    <row r="629" spans="1:4" hidden="1" x14ac:dyDescent="0.25">
      <c r="A629">
        <f>IFERROR(HLOOKUP($A$1,'liste CIRCUIT'!$B:$AM,629,0)," ")</f>
        <v>0</v>
      </c>
      <c r="B629">
        <f>IFERROR(HLOOKUP($B$1,'liste CIRCUIT'!$B:$AM,629,0)," ")</f>
        <v>0</v>
      </c>
      <c r="C629">
        <f t="shared" si="18"/>
        <v>0</v>
      </c>
      <c r="D629">
        <f t="shared" si="19"/>
        <v>0</v>
      </c>
    </row>
    <row r="630" spans="1:4" hidden="1" x14ac:dyDescent="0.25">
      <c r="A630">
        <f>IFERROR(HLOOKUP($A$1,'liste CIRCUIT'!$B:$AM,630,0)," ")</f>
        <v>0</v>
      </c>
      <c r="B630">
        <f>IFERROR(HLOOKUP($B$1,'liste CIRCUIT'!$B:$AM,630,0)," ")</f>
        <v>0</v>
      </c>
      <c r="C630">
        <f t="shared" si="18"/>
        <v>0</v>
      </c>
      <c r="D630">
        <f t="shared" si="19"/>
        <v>0</v>
      </c>
    </row>
    <row r="631" spans="1:4" hidden="1" x14ac:dyDescent="0.25">
      <c r="A631">
        <f>IFERROR(HLOOKUP($A$1,'liste CIRCUIT'!$B:$AM,631,0)," ")</f>
        <v>0</v>
      </c>
      <c r="B631">
        <f>IFERROR(HLOOKUP($B$1,'liste CIRCUIT'!$B:$AM,631,0)," ")</f>
        <v>0</v>
      </c>
      <c r="C631">
        <f t="shared" si="18"/>
        <v>0</v>
      </c>
      <c r="D631">
        <f t="shared" si="19"/>
        <v>0</v>
      </c>
    </row>
    <row r="632" spans="1:4" hidden="1" x14ac:dyDescent="0.25">
      <c r="A632">
        <f>IFERROR(HLOOKUP($A$1,'liste CIRCUIT'!$B:$AM,632,0)," ")</f>
        <v>0</v>
      </c>
      <c r="B632">
        <f>IFERROR(HLOOKUP($B$1,'liste CIRCUIT'!$B:$AM,632,0)," ")</f>
        <v>0</v>
      </c>
      <c r="C632">
        <f t="shared" si="18"/>
        <v>0</v>
      </c>
      <c r="D632">
        <f t="shared" si="19"/>
        <v>0</v>
      </c>
    </row>
    <row r="633" spans="1:4" hidden="1" x14ac:dyDescent="0.25">
      <c r="A633">
        <f>IFERROR(HLOOKUP($A$1,'liste CIRCUIT'!$B:$AM,633,0)," ")</f>
        <v>1</v>
      </c>
      <c r="B633">
        <f>IFERROR(HLOOKUP($B$1,'liste CIRCUIT'!$B:$AM,633,0)," ")</f>
        <v>0</v>
      </c>
      <c r="C633">
        <f t="shared" si="18"/>
        <v>1</v>
      </c>
      <c r="D633">
        <f t="shared" si="19"/>
        <v>1</v>
      </c>
    </row>
    <row r="634" spans="1:4" hidden="1" x14ac:dyDescent="0.25">
      <c r="A634">
        <f>IFERROR(HLOOKUP($A$1,'liste CIRCUIT'!$B:$AM,634,0)," ")</f>
        <v>0</v>
      </c>
      <c r="B634">
        <f>IFERROR(HLOOKUP($B$1,'liste CIRCUIT'!$B:$AM,634,0)," ")</f>
        <v>0</v>
      </c>
      <c r="C634">
        <f t="shared" si="18"/>
        <v>0</v>
      </c>
      <c r="D634">
        <f t="shared" si="19"/>
        <v>0</v>
      </c>
    </row>
    <row r="635" spans="1:4" hidden="1" x14ac:dyDescent="0.25">
      <c r="A635">
        <f>IFERROR(HLOOKUP($A$1,'liste CIRCUIT'!$B:$AM,635,0)," ")</f>
        <v>0</v>
      </c>
      <c r="B635">
        <f>IFERROR(HLOOKUP($B$1,'liste CIRCUIT'!$B:$AM,635,0)," ")</f>
        <v>0</v>
      </c>
      <c r="C635">
        <f t="shared" si="18"/>
        <v>0</v>
      </c>
      <c r="D635">
        <f t="shared" si="19"/>
        <v>0</v>
      </c>
    </row>
    <row r="636" spans="1:4" hidden="1" x14ac:dyDescent="0.25">
      <c r="A636">
        <f>IFERROR(HLOOKUP($A$1,'liste CIRCUIT'!$B:$AM,636,0)," ")</f>
        <v>0</v>
      </c>
      <c r="B636">
        <f>IFERROR(HLOOKUP($B$1,'liste CIRCUIT'!$B:$AM,636,0)," ")</f>
        <v>0</v>
      </c>
      <c r="C636">
        <f t="shared" si="18"/>
        <v>0</v>
      </c>
      <c r="D636">
        <f t="shared" si="19"/>
        <v>0</v>
      </c>
    </row>
    <row r="637" spans="1:4" hidden="1" x14ac:dyDescent="0.25">
      <c r="A637">
        <f>IFERROR(HLOOKUP($A$1,'liste CIRCUIT'!$B:$AM,637,0)," ")</f>
        <v>0</v>
      </c>
      <c r="B637">
        <f>IFERROR(HLOOKUP($B$1,'liste CIRCUIT'!$B:$AM,637,0)," ")</f>
        <v>0</v>
      </c>
      <c r="C637">
        <f t="shared" si="18"/>
        <v>0</v>
      </c>
      <c r="D637">
        <f t="shared" si="19"/>
        <v>0</v>
      </c>
    </row>
    <row r="638" spans="1:4" hidden="1" x14ac:dyDescent="0.25">
      <c r="A638">
        <f>IFERROR(HLOOKUP($A$1,'liste CIRCUIT'!$B:$AM,638,0)," ")</f>
        <v>0</v>
      </c>
      <c r="B638">
        <f>IFERROR(HLOOKUP($B$1,'liste CIRCUIT'!$B:$AM,638,0)," ")</f>
        <v>1</v>
      </c>
      <c r="C638">
        <f t="shared" si="18"/>
        <v>1</v>
      </c>
      <c r="D638">
        <f t="shared" si="19"/>
        <v>-1</v>
      </c>
    </row>
    <row r="639" spans="1:4" hidden="1" x14ac:dyDescent="0.25">
      <c r="A639">
        <f>IFERROR(HLOOKUP($A$1,'liste CIRCUIT'!$B:$AM,639,0)," ")</f>
        <v>0</v>
      </c>
      <c r="B639">
        <f>IFERROR(HLOOKUP($B$1,'liste CIRCUIT'!$B:$AM,639,0)," ")</f>
        <v>0</v>
      </c>
      <c r="C639">
        <f t="shared" si="18"/>
        <v>0</v>
      </c>
      <c r="D639">
        <f t="shared" si="19"/>
        <v>0</v>
      </c>
    </row>
    <row r="640" spans="1:4" hidden="1" x14ac:dyDescent="0.25">
      <c r="A640">
        <f>IFERROR(HLOOKUP($A$1,'liste CIRCUIT'!$B:$AM,640,0)," ")</f>
        <v>0</v>
      </c>
      <c r="B640">
        <f>IFERROR(HLOOKUP($B$1,'liste CIRCUIT'!$B:$AM,640,0)," ")</f>
        <v>0</v>
      </c>
      <c r="C640">
        <f t="shared" si="18"/>
        <v>0</v>
      </c>
      <c r="D640">
        <f t="shared" si="19"/>
        <v>0</v>
      </c>
    </row>
    <row r="641" spans="1:4" hidden="1" x14ac:dyDescent="0.25">
      <c r="A641">
        <f>IFERROR(HLOOKUP($A$1,'liste CIRCUIT'!$B:$AM,641,0)," ")</f>
        <v>0</v>
      </c>
      <c r="B641">
        <f>IFERROR(HLOOKUP($B$1,'liste CIRCUIT'!$B:$AM,641,0)," ")</f>
        <v>0</v>
      </c>
      <c r="C641">
        <f t="shared" si="18"/>
        <v>0</v>
      </c>
      <c r="D641">
        <f t="shared" si="19"/>
        <v>0</v>
      </c>
    </row>
    <row r="642" spans="1:4" hidden="1" x14ac:dyDescent="0.25">
      <c r="A642">
        <f>IFERROR(HLOOKUP($A$1,'liste CIRCUIT'!$B:$AM,642,0)," ")</f>
        <v>0</v>
      </c>
      <c r="B642">
        <f>IFERROR(HLOOKUP($B$1,'liste CIRCUIT'!$B:$AM,642,0)," ")</f>
        <v>0</v>
      </c>
      <c r="C642">
        <f t="shared" si="18"/>
        <v>0</v>
      </c>
      <c r="D642">
        <f t="shared" si="19"/>
        <v>0</v>
      </c>
    </row>
    <row r="643" spans="1:4" hidden="1" x14ac:dyDescent="0.25">
      <c r="A643">
        <f>IFERROR(HLOOKUP($A$1,'liste CIRCUIT'!$B:$AM,643,0)," ")</f>
        <v>0</v>
      </c>
      <c r="B643">
        <f>IFERROR(HLOOKUP($B$1,'liste CIRCUIT'!$B:$AM,643,0)," ")</f>
        <v>0</v>
      </c>
      <c r="C643">
        <f t="shared" ref="C643:C706" si="20">SUM(A643:B643)</f>
        <v>0</v>
      </c>
      <c r="D643">
        <f t="shared" ref="D643:D706" si="21">A643-B643</f>
        <v>0</v>
      </c>
    </row>
    <row r="644" spans="1:4" hidden="1" x14ac:dyDescent="0.25">
      <c r="A644">
        <f>IFERROR(HLOOKUP($A$1,'liste CIRCUIT'!$B:$AM,644,0)," ")</f>
        <v>0</v>
      </c>
      <c r="B644">
        <f>IFERROR(HLOOKUP($B$1,'liste CIRCUIT'!$B:$AM,644,0)," ")</f>
        <v>0</v>
      </c>
      <c r="C644">
        <f t="shared" si="20"/>
        <v>0</v>
      </c>
      <c r="D644">
        <f t="shared" si="21"/>
        <v>0</v>
      </c>
    </row>
    <row r="645" spans="1:4" hidden="1" x14ac:dyDescent="0.25">
      <c r="A645">
        <f>IFERROR(HLOOKUP($A$1,'liste CIRCUIT'!$B:$AM,645,0)," ")</f>
        <v>0</v>
      </c>
      <c r="B645">
        <f>IFERROR(HLOOKUP($B$1,'liste CIRCUIT'!$B:$AM,645,0)," ")</f>
        <v>0</v>
      </c>
      <c r="C645">
        <f t="shared" si="20"/>
        <v>0</v>
      </c>
      <c r="D645">
        <f t="shared" si="21"/>
        <v>0</v>
      </c>
    </row>
    <row r="646" spans="1:4" hidden="1" x14ac:dyDescent="0.25">
      <c r="A646">
        <f>IFERROR(HLOOKUP($A$1,'liste CIRCUIT'!$B:$AM,646,0)," ")</f>
        <v>0</v>
      </c>
      <c r="B646">
        <f>IFERROR(HLOOKUP($B$1,'liste CIRCUIT'!$B:$AM,646,0)," ")</f>
        <v>1</v>
      </c>
      <c r="C646">
        <f t="shared" si="20"/>
        <v>1</v>
      </c>
      <c r="D646">
        <f t="shared" si="21"/>
        <v>-1</v>
      </c>
    </row>
    <row r="647" spans="1:4" hidden="1" x14ac:dyDescent="0.25">
      <c r="A647">
        <f>IFERROR(HLOOKUP($A$1,'liste CIRCUIT'!$B:$AM,647,0)," ")</f>
        <v>0</v>
      </c>
      <c r="B647">
        <f>IFERROR(HLOOKUP($B$1,'liste CIRCUIT'!$B:$AM,647,0)," ")</f>
        <v>0</v>
      </c>
      <c r="C647">
        <f t="shared" si="20"/>
        <v>0</v>
      </c>
      <c r="D647">
        <f t="shared" si="21"/>
        <v>0</v>
      </c>
    </row>
    <row r="648" spans="1:4" hidden="1" x14ac:dyDescent="0.25">
      <c r="A648">
        <f>IFERROR(HLOOKUP($A$1,'liste CIRCUIT'!$B:$AM,648,0)," ")</f>
        <v>0</v>
      </c>
      <c r="B648">
        <f>IFERROR(HLOOKUP($B$1,'liste CIRCUIT'!$B:$AM,648,0)," ")</f>
        <v>0</v>
      </c>
      <c r="C648">
        <f t="shared" si="20"/>
        <v>0</v>
      </c>
      <c r="D648">
        <f t="shared" si="21"/>
        <v>0</v>
      </c>
    </row>
    <row r="649" spans="1:4" hidden="1" x14ac:dyDescent="0.25">
      <c r="A649">
        <f>IFERROR(HLOOKUP($A$1,'liste CIRCUIT'!$B:$AM,649,0)," ")</f>
        <v>0</v>
      </c>
      <c r="B649">
        <f>IFERROR(HLOOKUP($B$1,'liste CIRCUIT'!$B:$AM,649,0)," ")</f>
        <v>0</v>
      </c>
      <c r="C649">
        <f t="shared" si="20"/>
        <v>0</v>
      </c>
      <c r="D649">
        <f t="shared" si="21"/>
        <v>0</v>
      </c>
    </row>
    <row r="650" spans="1:4" hidden="1" x14ac:dyDescent="0.25">
      <c r="A650">
        <f>IFERROR(HLOOKUP($A$1,'liste CIRCUIT'!$B:$AM,650,0)," ")</f>
        <v>0</v>
      </c>
      <c r="B650">
        <f>IFERROR(HLOOKUP($B$1,'liste CIRCUIT'!$B:$AM,650,0)," ")</f>
        <v>0</v>
      </c>
      <c r="C650">
        <f t="shared" si="20"/>
        <v>0</v>
      </c>
      <c r="D650">
        <f t="shared" si="21"/>
        <v>0</v>
      </c>
    </row>
    <row r="651" spans="1:4" hidden="1" x14ac:dyDescent="0.25">
      <c r="A651">
        <f>IFERROR(HLOOKUP($A$1,'liste CIRCUIT'!$B:$AM,651,0)," ")</f>
        <v>0</v>
      </c>
      <c r="B651">
        <f>IFERROR(HLOOKUP($B$1,'liste CIRCUIT'!$B:$AM,651,0)," ")</f>
        <v>0</v>
      </c>
      <c r="C651">
        <f t="shared" si="20"/>
        <v>0</v>
      </c>
      <c r="D651">
        <f t="shared" si="21"/>
        <v>0</v>
      </c>
    </row>
    <row r="652" spans="1:4" hidden="1" x14ac:dyDescent="0.25">
      <c r="A652">
        <f>IFERROR(HLOOKUP($A$1,'liste CIRCUIT'!$B:$AM,652,0)," ")</f>
        <v>1</v>
      </c>
      <c r="B652">
        <f>IFERROR(HLOOKUP($B$1,'liste CIRCUIT'!$B:$AM,652,0)," ")</f>
        <v>0</v>
      </c>
      <c r="C652">
        <f t="shared" si="20"/>
        <v>1</v>
      </c>
      <c r="D652">
        <f t="shared" si="21"/>
        <v>1</v>
      </c>
    </row>
    <row r="653" spans="1:4" hidden="1" x14ac:dyDescent="0.25">
      <c r="A653">
        <f>IFERROR(HLOOKUP($A$1,'liste CIRCUIT'!$B:$AM,653,0)," ")</f>
        <v>0</v>
      </c>
      <c r="B653">
        <f>IFERROR(HLOOKUP($B$1,'liste CIRCUIT'!$B:$AM,653,0)," ")</f>
        <v>0</v>
      </c>
      <c r="C653">
        <f t="shared" si="20"/>
        <v>0</v>
      </c>
      <c r="D653">
        <f t="shared" si="21"/>
        <v>0</v>
      </c>
    </row>
    <row r="654" spans="1:4" hidden="1" x14ac:dyDescent="0.25">
      <c r="A654">
        <f>IFERROR(HLOOKUP($A$1,'liste CIRCUIT'!$B:$AM,654,0)," ")</f>
        <v>0</v>
      </c>
      <c r="B654">
        <f>IFERROR(HLOOKUP($B$1,'liste CIRCUIT'!$B:$AM,654,0)," ")</f>
        <v>0</v>
      </c>
      <c r="C654">
        <f t="shared" si="20"/>
        <v>0</v>
      </c>
      <c r="D654">
        <f t="shared" si="21"/>
        <v>0</v>
      </c>
    </row>
    <row r="655" spans="1:4" hidden="1" x14ac:dyDescent="0.25">
      <c r="A655">
        <f>IFERROR(HLOOKUP($A$1,'liste CIRCUIT'!$B:$AM,655,0)," ")</f>
        <v>0</v>
      </c>
      <c r="B655">
        <f>IFERROR(HLOOKUP($B$1,'liste CIRCUIT'!$B:$AM,655,0)," ")</f>
        <v>0</v>
      </c>
      <c r="C655">
        <f t="shared" si="20"/>
        <v>0</v>
      </c>
      <c r="D655">
        <f t="shared" si="21"/>
        <v>0</v>
      </c>
    </row>
    <row r="656" spans="1:4" hidden="1" x14ac:dyDescent="0.25">
      <c r="A656">
        <f>IFERROR(HLOOKUP($A$1,'liste CIRCUIT'!$B:$AM,656,0)," ")</f>
        <v>0</v>
      </c>
      <c r="B656">
        <f>IFERROR(HLOOKUP($B$1,'liste CIRCUIT'!$B:$AM,656,0)," ")</f>
        <v>0</v>
      </c>
      <c r="C656">
        <f t="shared" si="20"/>
        <v>0</v>
      </c>
      <c r="D656">
        <f t="shared" si="21"/>
        <v>0</v>
      </c>
    </row>
    <row r="657" spans="1:4" hidden="1" x14ac:dyDescent="0.25">
      <c r="A657">
        <f>IFERROR(HLOOKUP($A$1,'liste CIRCUIT'!$B:$AM,657,0)," ")</f>
        <v>0</v>
      </c>
      <c r="B657">
        <f>IFERROR(HLOOKUP($B$1,'liste CIRCUIT'!$B:$AM,657,0)," ")</f>
        <v>0</v>
      </c>
      <c r="C657">
        <f t="shared" si="20"/>
        <v>0</v>
      </c>
      <c r="D657">
        <f t="shared" si="21"/>
        <v>0</v>
      </c>
    </row>
    <row r="658" spans="1:4" hidden="1" x14ac:dyDescent="0.25">
      <c r="A658">
        <f>IFERROR(HLOOKUP($A$1,'liste CIRCUIT'!$B:$AM,658,0)," ")</f>
        <v>0</v>
      </c>
      <c r="B658">
        <f>IFERROR(HLOOKUP($B$1,'liste CIRCUIT'!$B:$AM,658,0)," ")</f>
        <v>0</v>
      </c>
      <c r="C658">
        <f t="shared" si="20"/>
        <v>0</v>
      </c>
      <c r="D658">
        <f t="shared" si="21"/>
        <v>0</v>
      </c>
    </row>
    <row r="659" spans="1:4" hidden="1" x14ac:dyDescent="0.25">
      <c r="A659">
        <f>IFERROR(HLOOKUP($A$1,'liste CIRCUIT'!$B:$AM,659,0)," ")</f>
        <v>0</v>
      </c>
      <c r="B659">
        <f>IFERROR(HLOOKUP($B$1,'liste CIRCUIT'!$B:$AM,659,0)," ")</f>
        <v>0</v>
      </c>
      <c r="C659">
        <f t="shared" si="20"/>
        <v>0</v>
      </c>
      <c r="D659">
        <f t="shared" si="21"/>
        <v>0</v>
      </c>
    </row>
    <row r="660" spans="1:4" hidden="1" x14ac:dyDescent="0.25">
      <c r="A660">
        <f>IFERROR(HLOOKUP($A$1,'liste CIRCUIT'!$B:$AM,660,0)," ")</f>
        <v>1</v>
      </c>
      <c r="B660">
        <f>IFERROR(HLOOKUP($B$1,'liste CIRCUIT'!$B:$AM,660,0)," ")</f>
        <v>0</v>
      </c>
      <c r="C660">
        <f t="shared" si="20"/>
        <v>1</v>
      </c>
      <c r="D660">
        <f t="shared" si="21"/>
        <v>1</v>
      </c>
    </row>
    <row r="661" spans="1:4" hidden="1" x14ac:dyDescent="0.25">
      <c r="A661">
        <f>IFERROR(HLOOKUP($A$1,'liste CIRCUIT'!$B:$AM,661,0)," ")</f>
        <v>0</v>
      </c>
      <c r="B661">
        <f>IFERROR(HLOOKUP($B$1,'liste CIRCUIT'!$B:$AM,661,0)," ")</f>
        <v>0</v>
      </c>
      <c r="C661">
        <f t="shared" si="20"/>
        <v>0</v>
      </c>
      <c r="D661">
        <f t="shared" si="21"/>
        <v>0</v>
      </c>
    </row>
    <row r="662" spans="1:4" hidden="1" x14ac:dyDescent="0.25">
      <c r="A662">
        <f>IFERROR(HLOOKUP($A$1,'liste CIRCUIT'!$B:$AM,662,0)," ")</f>
        <v>0</v>
      </c>
      <c r="B662">
        <f>IFERROR(HLOOKUP($B$1,'liste CIRCUIT'!$B:$AM,662,0)," ")</f>
        <v>0</v>
      </c>
      <c r="C662">
        <f t="shared" si="20"/>
        <v>0</v>
      </c>
      <c r="D662">
        <f t="shared" si="21"/>
        <v>0</v>
      </c>
    </row>
    <row r="663" spans="1:4" hidden="1" x14ac:dyDescent="0.25">
      <c r="A663">
        <f>IFERROR(HLOOKUP($A$1,'liste CIRCUIT'!$B:$AM,663,0)," ")</f>
        <v>0</v>
      </c>
      <c r="B663">
        <f>IFERROR(HLOOKUP($B$1,'liste CIRCUIT'!$B:$AM,663,0)," ")</f>
        <v>0</v>
      </c>
      <c r="C663">
        <f t="shared" si="20"/>
        <v>0</v>
      </c>
      <c r="D663">
        <f t="shared" si="21"/>
        <v>0</v>
      </c>
    </row>
    <row r="664" spans="1:4" hidden="1" x14ac:dyDescent="0.25">
      <c r="A664">
        <f>IFERROR(HLOOKUP($A$1,'liste CIRCUIT'!$B:$AM,664,0)," ")</f>
        <v>0</v>
      </c>
      <c r="B664">
        <f>IFERROR(HLOOKUP($B$1,'liste CIRCUIT'!$B:$AM,664,0)," ")</f>
        <v>0</v>
      </c>
      <c r="C664">
        <f t="shared" si="20"/>
        <v>0</v>
      </c>
      <c r="D664">
        <f t="shared" si="21"/>
        <v>0</v>
      </c>
    </row>
    <row r="665" spans="1:4" hidden="1" x14ac:dyDescent="0.25">
      <c r="A665">
        <f>IFERROR(HLOOKUP($A$1,'liste CIRCUIT'!$B:$AM,665,0)," ")</f>
        <v>0</v>
      </c>
      <c r="B665">
        <f>IFERROR(HLOOKUP($B$1,'liste CIRCUIT'!$B:$AM,665,0)," ")</f>
        <v>1</v>
      </c>
      <c r="C665">
        <f t="shared" si="20"/>
        <v>1</v>
      </c>
      <c r="D665">
        <f t="shared" si="21"/>
        <v>-1</v>
      </c>
    </row>
    <row r="666" spans="1:4" hidden="1" x14ac:dyDescent="0.25">
      <c r="A666">
        <f>IFERROR(HLOOKUP($A$1,'liste CIRCUIT'!$B:$AM,666,0)," ")</f>
        <v>0</v>
      </c>
      <c r="B666">
        <f>IFERROR(HLOOKUP($B$1,'liste CIRCUIT'!$B:$AM,666,0)," ")</f>
        <v>0</v>
      </c>
      <c r="C666">
        <f t="shared" si="20"/>
        <v>0</v>
      </c>
      <c r="D666">
        <f t="shared" si="21"/>
        <v>0</v>
      </c>
    </row>
    <row r="667" spans="1:4" hidden="1" x14ac:dyDescent="0.25">
      <c r="A667">
        <f>IFERROR(HLOOKUP($A$1,'liste CIRCUIT'!$B:$AM,667,0)," ")</f>
        <v>0</v>
      </c>
      <c r="B667">
        <f>IFERROR(HLOOKUP($B$1,'liste CIRCUIT'!$B:$AM,667,0)," ")</f>
        <v>0</v>
      </c>
      <c r="C667">
        <f t="shared" si="20"/>
        <v>0</v>
      </c>
      <c r="D667">
        <f t="shared" si="21"/>
        <v>0</v>
      </c>
    </row>
    <row r="668" spans="1:4" hidden="1" x14ac:dyDescent="0.25">
      <c r="A668">
        <f>IFERROR(HLOOKUP($A$1,'liste CIRCUIT'!$B:$AM,668,0)," ")</f>
        <v>0</v>
      </c>
      <c r="B668">
        <f>IFERROR(HLOOKUP($B$1,'liste CIRCUIT'!$B:$AM,668,0)," ")</f>
        <v>0</v>
      </c>
      <c r="C668">
        <f t="shared" si="20"/>
        <v>0</v>
      </c>
      <c r="D668">
        <f t="shared" si="21"/>
        <v>0</v>
      </c>
    </row>
    <row r="669" spans="1:4" hidden="1" x14ac:dyDescent="0.25">
      <c r="A669">
        <f>IFERROR(HLOOKUP($A$1,'liste CIRCUIT'!$B:$AM,669,0)," ")</f>
        <v>1</v>
      </c>
      <c r="B669">
        <f>IFERROR(HLOOKUP($B$1,'liste CIRCUIT'!$B:$AM,669,0)," ")</f>
        <v>1</v>
      </c>
      <c r="C669">
        <f t="shared" si="20"/>
        <v>2</v>
      </c>
      <c r="D669">
        <f t="shared" si="21"/>
        <v>0</v>
      </c>
    </row>
    <row r="670" spans="1:4" hidden="1" x14ac:dyDescent="0.25">
      <c r="A670">
        <f>IFERROR(HLOOKUP($A$1,'liste CIRCUIT'!$B:$AM,670,0)," ")</f>
        <v>1</v>
      </c>
      <c r="B670">
        <f>IFERROR(HLOOKUP($B$1,'liste CIRCUIT'!$B:$AM,670,0)," ")</f>
        <v>1</v>
      </c>
      <c r="C670">
        <f t="shared" si="20"/>
        <v>2</v>
      </c>
      <c r="D670">
        <f t="shared" si="21"/>
        <v>0</v>
      </c>
    </row>
    <row r="671" spans="1:4" hidden="1" x14ac:dyDescent="0.25">
      <c r="A671">
        <f>IFERROR(HLOOKUP($A$1,'liste CIRCUIT'!$B:$AM,671,0)," ")</f>
        <v>1</v>
      </c>
      <c r="B671">
        <f>IFERROR(HLOOKUP($B$1,'liste CIRCUIT'!$B:$AM,671,0)," ")</f>
        <v>1</v>
      </c>
      <c r="C671">
        <f t="shared" si="20"/>
        <v>2</v>
      </c>
      <c r="D671">
        <f t="shared" si="21"/>
        <v>0</v>
      </c>
    </row>
    <row r="672" spans="1:4" hidden="1" x14ac:dyDescent="0.25">
      <c r="A672">
        <f>IFERROR(HLOOKUP($A$1,'liste CIRCUIT'!$B:$AM,672,0)," ")</f>
        <v>1</v>
      </c>
      <c r="B672">
        <f>IFERROR(HLOOKUP($B$1,'liste CIRCUIT'!$B:$AM,672,0)," ")</f>
        <v>1</v>
      </c>
      <c r="C672">
        <f t="shared" si="20"/>
        <v>2</v>
      </c>
      <c r="D672">
        <f t="shared" si="21"/>
        <v>0</v>
      </c>
    </row>
    <row r="673" spans="1:4" hidden="1" x14ac:dyDescent="0.25">
      <c r="A673">
        <f>IFERROR(HLOOKUP($A$1,'liste CIRCUIT'!$B:$AM,673,0)," ")</f>
        <v>1</v>
      </c>
      <c r="B673">
        <f>IFERROR(HLOOKUP($B$1,'liste CIRCUIT'!$B:$AM,673,0)," ")</f>
        <v>1</v>
      </c>
      <c r="C673">
        <f t="shared" si="20"/>
        <v>2</v>
      </c>
      <c r="D673">
        <f t="shared" si="21"/>
        <v>0</v>
      </c>
    </row>
    <row r="674" spans="1:4" hidden="1" x14ac:dyDescent="0.25">
      <c r="A674">
        <f>IFERROR(HLOOKUP($A$1,'liste CIRCUIT'!$B:$AM,674,0)," ")</f>
        <v>1</v>
      </c>
      <c r="B674">
        <f>IFERROR(HLOOKUP($B$1,'liste CIRCUIT'!$B:$AM,674,0)," ")</f>
        <v>1</v>
      </c>
      <c r="C674">
        <f t="shared" si="20"/>
        <v>2</v>
      </c>
      <c r="D674">
        <f t="shared" si="21"/>
        <v>0</v>
      </c>
    </row>
    <row r="675" spans="1:4" hidden="1" x14ac:dyDescent="0.25">
      <c r="A675">
        <f>IFERROR(HLOOKUP($A$1,'liste CIRCUIT'!$B:$AM,675,0)," ")</f>
        <v>1</v>
      </c>
      <c r="B675">
        <f>IFERROR(HLOOKUP($B$1,'liste CIRCUIT'!$B:$AM,675,0)," ")</f>
        <v>1</v>
      </c>
      <c r="C675">
        <f t="shared" si="20"/>
        <v>2</v>
      </c>
      <c r="D675">
        <f t="shared" si="21"/>
        <v>0</v>
      </c>
    </row>
    <row r="676" spans="1:4" hidden="1" x14ac:dyDescent="0.25">
      <c r="A676">
        <f>IFERROR(HLOOKUP($A$1,'liste CIRCUIT'!$B:$AM,676,0)," ")</f>
        <v>1</v>
      </c>
      <c r="B676">
        <f>IFERROR(HLOOKUP($B$1,'liste CIRCUIT'!$B:$AM,676,0)," ")</f>
        <v>1</v>
      </c>
      <c r="C676">
        <f t="shared" si="20"/>
        <v>2</v>
      </c>
      <c r="D676">
        <f t="shared" si="21"/>
        <v>0</v>
      </c>
    </row>
    <row r="677" spans="1:4" hidden="1" x14ac:dyDescent="0.25">
      <c r="A677">
        <f>IFERROR(HLOOKUP($A$1,'liste CIRCUIT'!$B:$AM,677,0)," ")</f>
        <v>0</v>
      </c>
      <c r="B677">
        <f>IFERROR(HLOOKUP($B$1,'liste CIRCUIT'!$B:$AM,677,0)," ")</f>
        <v>0</v>
      </c>
      <c r="C677">
        <f t="shared" si="20"/>
        <v>0</v>
      </c>
      <c r="D677">
        <f t="shared" si="21"/>
        <v>0</v>
      </c>
    </row>
    <row r="678" spans="1:4" hidden="1" x14ac:dyDescent="0.25">
      <c r="A678">
        <f>IFERROR(HLOOKUP($A$1,'liste CIRCUIT'!$B:$AM,678,0)," ")</f>
        <v>0</v>
      </c>
      <c r="B678">
        <f>IFERROR(HLOOKUP($B$1,'liste CIRCUIT'!$B:$AM,678,0)," ")</f>
        <v>0</v>
      </c>
      <c r="C678">
        <f t="shared" si="20"/>
        <v>0</v>
      </c>
      <c r="D678">
        <f t="shared" si="21"/>
        <v>0</v>
      </c>
    </row>
    <row r="679" spans="1:4" hidden="1" x14ac:dyDescent="0.25">
      <c r="A679">
        <f>IFERROR(HLOOKUP($A$1,'liste CIRCUIT'!$B:$AM,679,0)," ")</f>
        <v>1</v>
      </c>
      <c r="B679">
        <f>IFERROR(HLOOKUP($B$1,'liste CIRCUIT'!$B:$AM,679,0)," ")</f>
        <v>1</v>
      </c>
      <c r="C679">
        <f t="shared" si="20"/>
        <v>2</v>
      </c>
      <c r="D679">
        <f t="shared" si="21"/>
        <v>0</v>
      </c>
    </row>
    <row r="680" spans="1:4" hidden="1" x14ac:dyDescent="0.25">
      <c r="A680">
        <f>IFERROR(HLOOKUP($A$1,'liste CIRCUIT'!$B:$AM,680,0)," ")</f>
        <v>0</v>
      </c>
      <c r="B680">
        <f>IFERROR(HLOOKUP($B$1,'liste CIRCUIT'!$B:$AM,680,0)," ")</f>
        <v>0</v>
      </c>
      <c r="C680">
        <f t="shared" si="20"/>
        <v>0</v>
      </c>
      <c r="D680">
        <f t="shared" si="21"/>
        <v>0</v>
      </c>
    </row>
    <row r="681" spans="1:4" hidden="1" x14ac:dyDescent="0.25">
      <c r="A681">
        <f>IFERROR(HLOOKUP($A$1,'liste CIRCUIT'!$B:$AM,681,0)," ")</f>
        <v>0</v>
      </c>
      <c r="B681">
        <f>IFERROR(HLOOKUP($B$1,'liste CIRCUIT'!$B:$AM,681,0)," ")</f>
        <v>0</v>
      </c>
      <c r="C681">
        <f t="shared" si="20"/>
        <v>0</v>
      </c>
      <c r="D681">
        <f t="shared" si="21"/>
        <v>0</v>
      </c>
    </row>
    <row r="682" spans="1:4" hidden="1" x14ac:dyDescent="0.25">
      <c r="A682">
        <f>IFERROR(HLOOKUP($A$1,'liste CIRCUIT'!$B:$AM,682,0)," ")</f>
        <v>0</v>
      </c>
      <c r="B682">
        <f>IFERROR(HLOOKUP($B$1,'liste CIRCUIT'!$B:$AM,682,0)," ")</f>
        <v>0</v>
      </c>
      <c r="C682">
        <f t="shared" si="20"/>
        <v>0</v>
      </c>
      <c r="D682">
        <f t="shared" si="21"/>
        <v>0</v>
      </c>
    </row>
    <row r="683" spans="1:4" hidden="1" x14ac:dyDescent="0.25">
      <c r="A683">
        <f>IFERROR(HLOOKUP($A$1,'liste CIRCUIT'!$B:$AM,683,0)," ")</f>
        <v>0</v>
      </c>
      <c r="B683">
        <f>IFERROR(HLOOKUP($B$1,'liste CIRCUIT'!$B:$AM,683,0)," ")</f>
        <v>0</v>
      </c>
      <c r="C683">
        <f t="shared" si="20"/>
        <v>0</v>
      </c>
      <c r="D683">
        <f t="shared" si="21"/>
        <v>0</v>
      </c>
    </row>
    <row r="684" spans="1:4" hidden="1" x14ac:dyDescent="0.25">
      <c r="A684">
        <f>IFERROR(HLOOKUP($A$1,'liste CIRCUIT'!$B:$AM,684,0)," ")</f>
        <v>0</v>
      </c>
      <c r="B684">
        <f>IFERROR(HLOOKUP($B$1,'liste CIRCUIT'!$B:$AM,684,0)," ")</f>
        <v>0</v>
      </c>
      <c r="C684">
        <f t="shared" si="20"/>
        <v>0</v>
      </c>
      <c r="D684">
        <f t="shared" si="21"/>
        <v>0</v>
      </c>
    </row>
    <row r="685" spans="1:4" hidden="1" x14ac:dyDescent="0.25">
      <c r="A685">
        <f>IFERROR(HLOOKUP($A$1,'liste CIRCUIT'!$B:$AM,685,0)," ")</f>
        <v>0</v>
      </c>
      <c r="B685">
        <f>IFERROR(HLOOKUP($B$1,'liste CIRCUIT'!$B:$AM,685,0)," ")</f>
        <v>0</v>
      </c>
      <c r="C685">
        <f t="shared" si="20"/>
        <v>0</v>
      </c>
      <c r="D685">
        <f t="shared" si="21"/>
        <v>0</v>
      </c>
    </row>
    <row r="686" spans="1:4" hidden="1" x14ac:dyDescent="0.25">
      <c r="A686">
        <f>IFERROR(HLOOKUP($A$1,'liste CIRCUIT'!$B:$AM,686,0)," ")</f>
        <v>0</v>
      </c>
      <c r="B686">
        <f>IFERROR(HLOOKUP($B$1,'liste CIRCUIT'!$B:$AM,686,0)," ")</f>
        <v>0</v>
      </c>
      <c r="C686">
        <f t="shared" si="20"/>
        <v>0</v>
      </c>
      <c r="D686">
        <f t="shared" si="21"/>
        <v>0</v>
      </c>
    </row>
    <row r="687" spans="1:4" hidden="1" x14ac:dyDescent="0.25">
      <c r="A687">
        <f>IFERROR(HLOOKUP($A$1,'liste CIRCUIT'!$B:$AM,687,0)," ")</f>
        <v>0</v>
      </c>
      <c r="B687">
        <f>IFERROR(HLOOKUP($B$1,'liste CIRCUIT'!$B:$AM,687,0)," ")</f>
        <v>0</v>
      </c>
      <c r="C687">
        <f t="shared" si="20"/>
        <v>0</v>
      </c>
      <c r="D687">
        <f t="shared" si="21"/>
        <v>0</v>
      </c>
    </row>
    <row r="688" spans="1:4" hidden="1" x14ac:dyDescent="0.25">
      <c r="A688">
        <f>IFERROR(HLOOKUP($A$1,'liste CIRCUIT'!$B:$AM,688,0)," ")</f>
        <v>0</v>
      </c>
      <c r="B688">
        <f>IFERROR(HLOOKUP($B$1,'liste CIRCUIT'!$B:$AM,688,0)," ")</f>
        <v>0</v>
      </c>
      <c r="C688">
        <f t="shared" si="20"/>
        <v>0</v>
      </c>
      <c r="D688">
        <f t="shared" si="21"/>
        <v>0</v>
      </c>
    </row>
    <row r="689" spans="1:4" hidden="1" x14ac:dyDescent="0.25">
      <c r="A689">
        <f>IFERROR(HLOOKUP($A$1,'liste CIRCUIT'!$B:$AM,689,0)," ")</f>
        <v>0</v>
      </c>
      <c r="B689">
        <f>IFERROR(HLOOKUP($B$1,'liste CIRCUIT'!$B:$AM,689,0)," ")</f>
        <v>0</v>
      </c>
      <c r="C689">
        <f t="shared" si="20"/>
        <v>0</v>
      </c>
      <c r="D689">
        <f t="shared" si="21"/>
        <v>0</v>
      </c>
    </row>
    <row r="690" spans="1:4" hidden="1" x14ac:dyDescent="0.25">
      <c r="A690">
        <f>IFERROR(HLOOKUP($A$1,'liste CIRCUIT'!$B:$AM,690,0)," ")</f>
        <v>0</v>
      </c>
      <c r="B690">
        <f>IFERROR(HLOOKUP($B$1,'liste CIRCUIT'!$B:$AM,690,0)," ")</f>
        <v>0</v>
      </c>
      <c r="C690">
        <f t="shared" si="20"/>
        <v>0</v>
      </c>
      <c r="D690">
        <f t="shared" si="21"/>
        <v>0</v>
      </c>
    </row>
    <row r="691" spans="1:4" hidden="1" x14ac:dyDescent="0.25">
      <c r="A691">
        <f>IFERROR(HLOOKUP($A$1,'liste CIRCUIT'!$B:$AM,691,0)," ")</f>
        <v>0</v>
      </c>
      <c r="B691">
        <f>IFERROR(HLOOKUP($B$1,'liste CIRCUIT'!$B:$AM,691,0)," ")</f>
        <v>0</v>
      </c>
      <c r="C691">
        <f t="shared" si="20"/>
        <v>0</v>
      </c>
      <c r="D691">
        <f t="shared" si="21"/>
        <v>0</v>
      </c>
    </row>
    <row r="692" spans="1:4" hidden="1" x14ac:dyDescent="0.25">
      <c r="A692">
        <f>IFERROR(HLOOKUP($A$1,'liste CIRCUIT'!$B:$AM,692,0)," ")</f>
        <v>0</v>
      </c>
      <c r="B692">
        <f>IFERROR(HLOOKUP($B$1,'liste CIRCUIT'!$B:$AM,692,0)," ")</f>
        <v>0</v>
      </c>
      <c r="C692">
        <f t="shared" si="20"/>
        <v>0</v>
      </c>
      <c r="D692">
        <f t="shared" si="21"/>
        <v>0</v>
      </c>
    </row>
    <row r="693" spans="1:4" hidden="1" x14ac:dyDescent="0.25">
      <c r="A693">
        <f>IFERROR(HLOOKUP($A$1,'liste CIRCUIT'!$B:$AM,693,0)," ")</f>
        <v>0</v>
      </c>
      <c r="B693">
        <f>IFERROR(HLOOKUP($B$1,'liste CIRCUIT'!$B:$AM,693,0)," ")</f>
        <v>0</v>
      </c>
      <c r="C693">
        <f t="shared" si="20"/>
        <v>0</v>
      </c>
      <c r="D693">
        <f t="shared" si="21"/>
        <v>0</v>
      </c>
    </row>
    <row r="694" spans="1:4" hidden="1" x14ac:dyDescent="0.25">
      <c r="A694">
        <f>IFERROR(HLOOKUP($A$1,'liste CIRCUIT'!$B:$AM,694,0)," ")</f>
        <v>1</v>
      </c>
      <c r="B694">
        <f>IFERROR(HLOOKUP($B$1,'liste CIRCUIT'!$B:$AM,694,0)," ")</f>
        <v>1</v>
      </c>
      <c r="C694">
        <f t="shared" si="20"/>
        <v>2</v>
      </c>
      <c r="D694">
        <f t="shared" si="21"/>
        <v>0</v>
      </c>
    </row>
    <row r="695" spans="1:4" hidden="1" x14ac:dyDescent="0.25">
      <c r="A695">
        <f>IFERROR(HLOOKUP($A$1,'liste CIRCUIT'!$B:$AM,695,0)," ")</f>
        <v>0</v>
      </c>
      <c r="B695">
        <f>IFERROR(HLOOKUP($B$1,'liste CIRCUIT'!$B:$AM,695,0)," ")</f>
        <v>0</v>
      </c>
      <c r="C695">
        <f t="shared" si="20"/>
        <v>0</v>
      </c>
      <c r="D695">
        <f t="shared" si="21"/>
        <v>0</v>
      </c>
    </row>
    <row r="696" spans="1:4" hidden="1" x14ac:dyDescent="0.25">
      <c r="A696">
        <f>IFERROR(HLOOKUP($A$1,'liste CIRCUIT'!$B:$AM,696,0)," ")</f>
        <v>0</v>
      </c>
      <c r="B696">
        <f>IFERROR(HLOOKUP($B$1,'liste CIRCUIT'!$B:$AM,696,0)," ")</f>
        <v>0</v>
      </c>
      <c r="C696">
        <f t="shared" si="20"/>
        <v>0</v>
      </c>
      <c r="D696">
        <f t="shared" si="21"/>
        <v>0</v>
      </c>
    </row>
    <row r="697" spans="1:4" hidden="1" x14ac:dyDescent="0.25">
      <c r="A697">
        <f>IFERROR(HLOOKUP($A$1,'liste CIRCUIT'!$B:$AM,697,0)," ")</f>
        <v>0</v>
      </c>
      <c r="B697">
        <f>IFERROR(HLOOKUP($B$1,'liste CIRCUIT'!$B:$AM,697,0)," ")</f>
        <v>0</v>
      </c>
      <c r="C697">
        <f t="shared" si="20"/>
        <v>0</v>
      </c>
      <c r="D697">
        <f t="shared" si="21"/>
        <v>0</v>
      </c>
    </row>
    <row r="698" spans="1:4" hidden="1" x14ac:dyDescent="0.25">
      <c r="A698">
        <f>IFERROR(HLOOKUP($A$1,'liste CIRCUIT'!$B:$AM,698,0)," ")</f>
        <v>1</v>
      </c>
      <c r="B698">
        <f>IFERROR(HLOOKUP($B$1,'liste CIRCUIT'!$B:$AM,698,0)," ")</f>
        <v>1</v>
      </c>
      <c r="C698">
        <f t="shared" si="20"/>
        <v>2</v>
      </c>
      <c r="D698">
        <f t="shared" si="21"/>
        <v>0</v>
      </c>
    </row>
    <row r="699" spans="1:4" hidden="1" x14ac:dyDescent="0.25">
      <c r="A699">
        <f>IFERROR(HLOOKUP($A$1,'liste CIRCUIT'!$B:$AM,699,0)," ")</f>
        <v>1</v>
      </c>
      <c r="B699">
        <f>IFERROR(HLOOKUP($B$1,'liste CIRCUIT'!$B:$AM,699,0)," ")</f>
        <v>1</v>
      </c>
      <c r="C699">
        <f t="shared" si="20"/>
        <v>2</v>
      </c>
      <c r="D699">
        <f t="shared" si="21"/>
        <v>0</v>
      </c>
    </row>
    <row r="700" spans="1:4" hidden="1" x14ac:dyDescent="0.25">
      <c r="A700">
        <f>IFERROR(HLOOKUP($A$1,'liste CIRCUIT'!$B:$AM,700,0)," ")</f>
        <v>0</v>
      </c>
      <c r="B700">
        <f>IFERROR(HLOOKUP($B$1,'liste CIRCUIT'!$B:$AM,700,0)," ")</f>
        <v>0</v>
      </c>
      <c r="C700">
        <f t="shared" si="20"/>
        <v>0</v>
      </c>
      <c r="D700">
        <f t="shared" si="21"/>
        <v>0</v>
      </c>
    </row>
    <row r="701" spans="1:4" hidden="1" x14ac:dyDescent="0.25">
      <c r="A701">
        <f>IFERROR(HLOOKUP($A$1,'liste CIRCUIT'!$B:$AM,701,0)," ")</f>
        <v>1</v>
      </c>
      <c r="B701">
        <f>IFERROR(HLOOKUP($B$1,'liste CIRCUIT'!$B:$AM,701,0)," ")</f>
        <v>1</v>
      </c>
      <c r="C701">
        <f t="shared" si="20"/>
        <v>2</v>
      </c>
      <c r="D701">
        <f t="shared" si="21"/>
        <v>0</v>
      </c>
    </row>
    <row r="702" spans="1:4" hidden="1" x14ac:dyDescent="0.25">
      <c r="A702">
        <f>IFERROR(HLOOKUP($A$1,'liste CIRCUIT'!$B:$AM,702,0)," ")</f>
        <v>0</v>
      </c>
      <c r="B702">
        <f>IFERROR(HLOOKUP($B$1,'liste CIRCUIT'!$B:$AM,702,0)," ")</f>
        <v>0</v>
      </c>
      <c r="C702">
        <f t="shared" si="20"/>
        <v>0</v>
      </c>
      <c r="D702">
        <f t="shared" si="21"/>
        <v>0</v>
      </c>
    </row>
    <row r="703" spans="1:4" hidden="1" x14ac:dyDescent="0.25">
      <c r="A703">
        <f>IFERROR(HLOOKUP($A$1,'liste CIRCUIT'!$B:$AM,703,0)," ")</f>
        <v>0</v>
      </c>
      <c r="B703">
        <f>IFERROR(HLOOKUP($B$1,'liste CIRCUIT'!$B:$AM,703,0)," ")</f>
        <v>0</v>
      </c>
      <c r="C703">
        <f t="shared" si="20"/>
        <v>0</v>
      </c>
      <c r="D703">
        <f t="shared" si="21"/>
        <v>0</v>
      </c>
    </row>
    <row r="704" spans="1:4" hidden="1" x14ac:dyDescent="0.25">
      <c r="A704">
        <f>IFERROR(HLOOKUP($A$1,'liste CIRCUIT'!$B:$AM,704,0)," ")</f>
        <v>0</v>
      </c>
      <c r="B704">
        <f>IFERROR(HLOOKUP($B$1,'liste CIRCUIT'!$B:$AM,704,0)," ")</f>
        <v>0</v>
      </c>
      <c r="C704">
        <f t="shared" si="20"/>
        <v>0</v>
      </c>
      <c r="D704">
        <f t="shared" si="21"/>
        <v>0</v>
      </c>
    </row>
    <row r="705" spans="1:4" hidden="1" x14ac:dyDescent="0.25">
      <c r="A705">
        <f>IFERROR(HLOOKUP($A$1,'liste CIRCUIT'!$B:$AM,705,0)," ")</f>
        <v>1</v>
      </c>
      <c r="B705">
        <f>IFERROR(HLOOKUP($B$1,'liste CIRCUIT'!$B:$AM,705,0)," ")</f>
        <v>1</v>
      </c>
      <c r="C705">
        <f t="shared" si="20"/>
        <v>2</v>
      </c>
      <c r="D705">
        <f t="shared" si="21"/>
        <v>0</v>
      </c>
    </row>
    <row r="706" spans="1:4" hidden="1" x14ac:dyDescent="0.25">
      <c r="A706">
        <f>IFERROR(HLOOKUP($A$1,'liste CIRCUIT'!$B:$AM,706,0)," ")</f>
        <v>1</v>
      </c>
      <c r="B706">
        <f>IFERROR(HLOOKUP($B$1,'liste CIRCUIT'!$B:$AM,706,0)," ")</f>
        <v>1</v>
      </c>
      <c r="C706">
        <f t="shared" si="20"/>
        <v>2</v>
      </c>
      <c r="D706">
        <f t="shared" si="21"/>
        <v>0</v>
      </c>
    </row>
    <row r="707" spans="1:4" hidden="1" x14ac:dyDescent="0.25">
      <c r="A707">
        <f>IFERROR(HLOOKUP($A$1,'liste CIRCUIT'!$B:$AM,707,0)," ")</f>
        <v>0</v>
      </c>
      <c r="B707">
        <f>IFERROR(HLOOKUP($B$1,'liste CIRCUIT'!$B:$AM,707,0)," ")</f>
        <v>0</v>
      </c>
      <c r="C707">
        <f t="shared" ref="C707:C770" si="22">SUM(A707:B707)</f>
        <v>0</v>
      </c>
      <c r="D707">
        <f t="shared" ref="D707:D770" si="23">A707-B707</f>
        <v>0</v>
      </c>
    </row>
    <row r="708" spans="1:4" hidden="1" x14ac:dyDescent="0.25">
      <c r="A708">
        <f>IFERROR(HLOOKUP($A$1,'liste CIRCUIT'!$B:$AM,708,0)," ")</f>
        <v>0</v>
      </c>
      <c r="B708">
        <f>IFERROR(HLOOKUP($B$1,'liste CIRCUIT'!$B:$AM,708,0)," ")</f>
        <v>0</v>
      </c>
      <c r="C708">
        <f t="shared" si="22"/>
        <v>0</v>
      </c>
      <c r="D708">
        <f t="shared" si="23"/>
        <v>0</v>
      </c>
    </row>
    <row r="709" spans="1:4" hidden="1" x14ac:dyDescent="0.25">
      <c r="A709">
        <f>IFERROR(HLOOKUP($A$1,'liste CIRCUIT'!$B:$AM,709,0)," ")</f>
        <v>0</v>
      </c>
      <c r="B709">
        <f>IFERROR(HLOOKUP($B$1,'liste CIRCUIT'!$B:$AM,709,0)," ")</f>
        <v>0</v>
      </c>
      <c r="C709">
        <f t="shared" si="22"/>
        <v>0</v>
      </c>
      <c r="D709">
        <f t="shared" si="23"/>
        <v>0</v>
      </c>
    </row>
    <row r="710" spans="1:4" hidden="1" x14ac:dyDescent="0.25">
      <c r="A710">
        <f>IFERROR(HLOOKUP($A$1,'liste CIRCUIT'!$B:$AM,710,0)," ")</f>
        <v>0</v>
      </c>
      <c r="B710">
        <f>IFERROR(HLOOKUP($B$1,'liste CIRCUIT'!$B:$AM,710,0)," ")</f>
        <v>0</v>
      </c>
      <c r="C710">
        <f t="shared" si="22"/>
        <v>0</v>
      </c>
      <c r="D710">
        <f t="shared" si="23"/>
        <v>0</v>
      </c>
    </row>
    <row r="711" spans="1:4" hidden="1" x14ac:dyDescent="0.25">
      <c r="A711">
        <f>IFERROR(HLOOKUP($A$1,'liste CIRCUIT'!$B:$AM,711,0)," ")</f>
        <v>0</v>
      </c>
      <c r="B711">
        <f>IFERROR(HLOOKUP($B$1,'liste CIRCUIT'!$B:$AM,711,0)," ")</f>
        <v>0</v>
      </c>
      <c r="C711">
        <f t="shared" si="22"/>
        <v>0</v>
      </c>
      <c r="D711">
        <f t="shared" si="23"/>
        <v>0</v>
      </c>
    </row>
    <row r="712" spans="1:4" hidden="1" x14ac:dyDescent="0.25">
      <c r="A712">
        <f>IFERROR(HLOOKUP($A$1,'liste CIRCUIT'!$B:$AM,712,0)," ")</f>
        <v>0</v>
      </c>
      <c r="B712">
        <f>IFERROR(HLOOKUP($B$1,'liste CIRCUIT'!$B:$AM,712,0)," ")</f>
        <v>0</v>
      </c>
      <c r="C712">
        <f t="shared" si="22"/>
        <v>0</v>
      </c>
      <c r="D712">
        <f t="shared" si="23"/>
        <v>0</v>
      </c>
    </row>
    <row r="713" spans="1:4" hidden="1" x14ac:dyDescent="0.25">
      <c r="A713">
        <f>IFERROR(HLOOKUP($A$1,'liste CIRCUIT'!$B:$AM,713,0)," ")</f>
        <v>0</v>
      </c>
      <c r="B713">
        <f>IFERROR(HLOOKUP($B$1,'liste CIRCUIT'!$B:$AM,713,0)," ")</f>
        <v>0</v>
      </c>
      <c r="C713">
        <f t="shared" si="22"/>
        <v>0</v>
      </c>
      <c r="D713">
        <f t="shared" si="23"/>
        <v>0</v>
      </c>
    </row>
    <row r="714" spans="1:4" hidden="1" x14ac:dyDescent="0.25">
      <c r="A714">
        <f>IFERROR(HLOOKUP($A$1,'liste CIRCUIT'!$B:$AM,714,0)," ")</f>
        <v>1</v>
      </c>
      <c r="B714">
        <f>IFERROR(HLOOKUP($B$1,'liste CIRCUIT'!$B:$AM,714,0)," ")</f>
        <v>1</v>
      </c>
      <c r="C714">
        <f t="shared" si="22"/>
        <v>2</v>
      </c>
      <c r="D714">
        <f t="shared" si="23"/>
        <v>0</v>
      </c>
    </row>
    <row r="715" spans="1:4" hidden="1" x14ac:dyDescent="0.25">
      <c r="A715">
        <f>IFERROR(HLOOKUP($A$1,'liste CIRCUIT'!$B:$AM,715,0)," ")</f>
        <v>0</v>
      </c>
      <c r="B715">
        <f>IFERROR(HLOOKUP($B$1,'liste CIRCUIT'!$B:$AM,715,0)," ")</f>
        <v>0</v>
      </c>
      <c r="C715">
        <f t="shared" si="22"/>
        <v>0</v>
      </c>
      <c r="D715">
        <f t="shared" si="23"/>
        <v>0</v>
      </c>
    </row>
    <row r="716" spans="1:4" hidden="1" x14ac:dyDescent="0.25">
      <c r="A716">
        <f>IFERROR(HLOOKUP($A$1,'liste CIRCUIT'!$B:$AM,716,0)," ")</f>
        <v>0</v>
      </c>
      <c r="B716">
        <f>IFERROR(HLOOKUP($B$1,'liste CIRCUIT'!$B:$AM,716,0)," ")</f>
        <v>0</v>
      </c>
      <c r="C716">
        <f t="shared" si="22"/>
        <v>0</v>
      </c>
      <c r="D716">
        <f t="shared" si="23"/>
        <v>0</v>
      </c>
    </row>
    <row r="717" spans="1:4" hidden="1" x14ac:dyDescent="0.25">
      <c r="A717">
        <f>IFERROR(HLOOKUP($A$1,'liste CIRCUIT'!$B:$AM,717,0)," ")</f>
        <v>0</v>
      </c>
      <c r="B717">
        <f>IFERROR(HLOOKUP($B$1,'liste CIRCUIT'!$B:$AM,717,0)," ")</f>
        <v>0</v>
      </c>
      <c r="C717">
        <f t="shared" si="22"/>
        <v>0</v>
      </c>
      <c r="D717">
        <f t="shared" si="23"/>
        <v>0</v>
      </c>
    </row>
    <row r="718" spans="1:4" hidden="1" x14ac:dyDescent="0.25">
      <c r="A718">
        <f>IFERROR(HLOOKUP($A$1,'liste CIRCUIT'!$B:$AM,718,0)," ")</f>
        <v>0</v>
      </c>
      <c r="B718">
        <f>IFERROR(HLOOKUP($B$1,'liste CIRCUIT'!$B:$AM,718,0)," ")</f>
        <v>0</v>
      </c>
      <c r="C718">
        <f t="shared" si="22"/>
        <v>0</v>
      </c>
      <c r="D718">
        <f t="shared" si="23"/>
        <v>0</v>
      </c>
    </row>
    <row r="719" spans="1:4" hidden="1" x14ac:dyDescent="0.25">
      <c r="A719">
        <f>IFERROR(HLOOKUP($A$1,'liste CIRCUIT'!$B:$AM,719,0)," ")</f>
        <v>0</v>
      </c>
      <c r="B719">
        <f>IFERROR(HLOOKUP($B$1,'liste CIRCUIT'!$B:$AM,719,0)," ")</f>
        <v>0</v>
      </c>
      <c r="C719">
        <f t="shared" si="22"/>
        <v>0</v>
      </c>
      <c r="D719">
        <f t="shared" si="23"/>
        <v>0</v>
      </c>
    </row>
    <row r="720" spans="1:4" hidden="1" x14ac:dyDescent="0.25">
      <c r="A720">
        <f>IFERROR(HLOOKUP($A$1,'liste CIRCUIT'!$B:$AM,720,0)," ")</f>
        <v>0</v>
      </c>
      <c r="B720">
        <f>IFERROR(HLOOKUP($B$1,'liste CIRCUIT'!$B:$AM,720,0)," ")</f>
        <v>0</v>
      </c>
      <c r="C720">
        <f t="shared" si="22"/>
        <v>0</v>
      </c>
      <c r="D720">
        <f t="shared" si="23"/>
        <v>0</v>
      </c>
    </row>
    <row r="721" spans="1:4" hidden="1" x14ac:dyDescent="0.25">
      <c r="A721">
        <f>IFERROR(HLOOKUP($A$1,'liste CIRCUIT'!$B:$AM,721,0)," ")</f>
        <v>0</v>
      </c>
      <c r="B721">
        <f>IFERROR(HLOOKUP($B$1,'liste CIRCUIT'!$B:$AM,721,0)," ")</f>
        <v>0</v>
      </c>
      <c r="C721">
        <f t="shared" si="22"/>
        <v>0</v>
      </c>
      <c r="D721">
        <f t="shared" si="23"/>
        <v>0</v>
      </c>
    </row>
    <row r="722" spans="1:4" hidden="1" x14ac:dyDescent="0.25">
      <c r="A722">
        <f>IFERROR(HLOOKUP($A$1,'liste CIRCUIT'!$B:$AM,722,0)," ")</f>
        <v>0</v>
      </c>
      <c r="B722">
        <f>IFERROR(HLOOKUP($B$1,'liste CIRCUIT'!$B:$AM,722,0)," ")</f>
        <v>0</v>
      </c>
      <c r="C722">
        <f t="shared" si="22"/>
        <v>0</v>
      </c>
      <c r="D722">
        <f t="shared" si="23"/>
        <v>0</v>
      </c>
    </row>
    <row r="723" spans="1:4" hidden="1" x14ac:dyDescent="0.25">
      <c r="A723">
        <f>IFERROR(HLOOKUP($A$1,'liste CIRCUIT'!$B:$AM,723,0)," ")</f>
        <v>0</v>
      </c>
      <c r="B723">
        <f>IFERROR(HLOOKUP($B$1,'liste CIRCUIT'!$B:$AM,723,0)," ")</f>
        <v>0</v>
      </c>
      <c r="C723">
        <f t="shared" si="22"/>
        <v>0</v>
      </c>
      <c r="D723">
        <f t="shared" si="23"/>
        <v>0</v>
      </c>
    </row>
    <row r="724" spans="1:4" hidden="1" x14ac:dyDescent="0.25">
      <c r="A724">
        <f>IFERROR(HLOOKUP($A$1,'liste CIRCUIT'!$B:$AM,724,0)," ")</f>
        <v>0</v>
      </c>
      <c r="B724">
        <f>IFERROR(HLOOKUP($B$1,'liste CIRCUIT'!$B:$AM,724,0)," ")</f>
        <v>1</v>
      </c>
      <c r="C724">
        <f t="shared" si="22"/>
        <v>1</v>
      </c>
      <c r="D724">
        <f t="shared" si="23"/>
        <v>-1</v>
      </c>
    </row>
    <row r="725" spans="1:4" hidden="1" x14ac:dyDescent="0.25">
      <c r="A725">
        <f>IFERROR(HLOOKUP($A$1,'liste CIRCUIT'!$B:$AM,725,0)," ")</f>
        <v>0</v>
      </c>
      <c r="B725">
        <f>IFERROR(HLOOKUP($B$1,'liste CIRCUIT'!$B:$AM,725,0)," ")</f>
        <v>0</v>
      </c>
      <c r="C725">
        <f t="shared" si="22"/>
        <v>0</v>
      </c>
      <c r="D725">
        <f t="shared" si="23"/>
        <v>0</v>
      </c>
    </row>
    <row r="726" spans="1:4" hidden="1" x14ac:dyDescent="0.25">
      <c r="A726">
        <f>IFERROR(HLOOKUP($A$1,'liste CIRCUIT'!$B:$AM,726,0)," ")</f>
        <v>0</v>
      </c>
      <c r="B726">
        <f>IFERROR(HLOOKUP($B$1,'liste CIRCUIT'!$B:$AM,726,0)," ")</f>
        <v>0</v>
      </c>
      <c r="C726">
        <f t="shared" si="22"/>
        <v>0</v>
      </c>
      <c r="D726">
        <f t="shared" si="23"/>
        <v>0</v>
      </c>
    </row>
    <row r="727" spans="1:4" hidden="1" x14ac:dyDescent="0.25">
      <c r="A727">
        <f>IFERROR(HLOOKUP($A$1,'liste CIRCUIT'!$B:$AM,727,0)," ")</f>
        <v>0</v>
      </c>
      <c r="B727">
        <f>IFERROR(HLOOKUP($B$1,'liste CIRCUIT'!$B:$AM,727,0)," ")</f>
        <v>0</v>
      </c>
      <c r="C727">
        <f t="shared" si="22"/>
        <v>0</v>
      </c>
      <c r="D727">
        <f t="shared" si="23"/>
        <v>0</v>
      </c>
    </row>
    <row r="728" spans="1:4" hidden="1" x14ac:dyDescent="0.25">
      <c r="A728">
        <f>IFERROR(HLOOKUP($A$1,'liste CIRCUIT'!$B:$AM,728,0)," ")</f>
        <v>0</v>
      </c>
      <c r="B728">
        <f>IFERROR(HLOOKUP($B$1,'liste CIRCUIT'!$B:$AM,728,0)," ")</f>
        <v>0</v>
      </c>
      <c r="C728">
        <f t="shared" si="22"/>
        <v>0</v>
      </c>
      <c r="D728">
        <f t="shared" si="23"/>
        <v>0</v>
      </c>
    </row>
    <row r="729" spans="1:4" hidden="1" x14ac:dyDescent="0.25">
      <c r="A729">
        <f>IFERROR(HLOOKUP($A$1,'liste CIRCUIT'!$B:$AM,729,0)," ")</f>
        <v>1</v>
      </c>
      <c r="B729">
        <f>IFERROR(HLOOKUP($B$1,'liste CIRCUIT'!$B:$AM,729,0)," ")</f>
        <v>0</v>
      </c>
      <c r="C729">
        <f t="shared" si="22"/>
        <v>1</v>
      </c>
      <c r="D729">
        <f t="shared" si="23"/>
        <v>1</v>
      </c>
    </row>
    <row r="730" spans="1:4" hidden="1" x14ac:dyDescent="0.25">
      <c r="A730">
        <f>IFERROR(HLOOKUP($A$1,'liste CIRCUIT'!$B:$AM,730,0)," ")</f>
        <v>0</v>
      </c>
      <c r="B730">
        <f>IFERROR(HLOOKUP($B$1,'liste CIRCUIT'!$B:$AM,730,0)," ")</f>
        <v>0</v>
      </c>
      <c r="C730">
        <f t="shared" si="22"/>
        <v>0</v>
      </c>
      <c r="D730">
        <f t="shared" si="23"/>
        <v>0</v>
      </c>
    </row>
    <row r="731" spans="1:4" hidden="1" x14ac:dyDescent="0.25">
      <c r="A731">
        <f>IFERROR(HLOOKUP($A$1,'liste CIRCUIT'!$B:$AM,731,0)," ")</f>
        <v>0</v>
      </c>
      <c r="B731">
        <f>IFERROR(HLOOKUP($B$1,'liste CIRCUIT'!$B:$AM,731,0)," ")</f>
        <v>0</v>
      </c>
      <c r="C731">
        <f t="shared" si="22"/>
        <v>0</v>
      </c>
      <c r="D731">
        <f t="shared" si="23"/>
        <v>0</v>
      </c>
    </row>
    <row r="732" spans="1:4" hidden="1" x14ac:dyDescent="0.25">
      <c r="A732">
        <f>IFERROR(HLOOKUP($A$1,'liste CIRCUIT'!$B:$AM,732,0)," ")</f>
        <v>1</v>
      </c>
      <c r="B732">
        <f>IFERROR(HLOOKUP($B$1,'liste CIRCUIT'!$B:$AM,732,0)," ")</f>
        <v>1</v>
      </c>
      <c r="C732">
        <f t="shared" si="22"/>
        <v>2</v>
      </c>
      <c r="D732">
        <f t="shared" si="23"/>
        <v>0</v>
      </c>
    </row>
    <row r="733" spans="1:4" hidden="1" x14ac:dyDescent="0.25">
      <c r="A733">
        <f>IFERROR(HLOOKUP($A$1,'liste CIRCUIT'!$B:$AM,733,0)," ")</f>
        <v>1</v>
      </c>
      <c r="B733">
        <f>IFERROR(HLOOKUP($B$1,'liste CIRCUIT'!$B:$AM,733,0)," ")</f>
        <v>1</v>
      </c>
      <c r="C733">
        <f t="shared" si="22"/>
        <v>2</v>
      </c>
      <c r="D733">
        <f t="shared" si="23"/>
        <v>0</v>
      </c>
    </row>
    <row r="734" spans="1:4" hidden="1" x14ac:dyDescent="0.25">
      <c r="A734">
        <f>IFERROR(HLOOKUP($A$1,'liste CIRCUIT'!$B:$AM,734,0)," ")</f>
        <v>0</v>
      </c>
      <c r="B734">
        <f>IFERROR(HLOOKUP($B$1,'liste CIRCUIT'!$B:$AM,734,0)," ")</f>
        <v>0</v>
      </c>
      <c r="C734">
        <f t="shared" si="22"/>
        <v>0</v>
      </c>
      <c r="D734">
        <f t="shared" si="23"/>
        <v>0</v>
      </c>
    </row>
    <row r="735" spans="1:4" hidden="1" x14ac:dyDescent="0.25">
      <c r="A735">
        <f>IFERROR(HLOOKUP($A$1,'liste CIRCUIT'!$B:$AM,735,0)," ")</f>
        <v>1</v>
      </c>
      <c r="B735">
        <f>IFERROR(HLOOKUP($B$1,'liste CIRCUIT'!$B:$AM,735,0)," ")</f>
        <v>0</v>
      </c>
      <c r="C735">
        <f t="shared" si="22"/>
        <v>1</v>
      </c>
      <c r="D735">
        <f t="shared" si="23"/>
        <v>1</v>
      </c>
    </row>
    <row r="736" spans="1:4" hidden="1" x14ac:dyDescent="0.25">
      <c r="A736">
        <f>IFERROR(HLOOKUP($A$1,'liste CIRCUIT'!$B:$AM,736,0)," ")</f>
        <v>0</v>
      </c>
      <c r="B736">
        <f>IFERROR(HLOOKUP($B$1,'liste CIRCUIT'!$B:$AM,736,0)," ")</f>
        <v>0</v>
      </c>
      <c r="C736">
        <f t="shared" si="22"/>
        <v>0</v>
      </c>
      <c r="D736">
        <f t="shared" si="23"/>
        <v>0</v>
      </c>
    </row>
    <row r="737" spans="1:4" hidden="1" x14ac:dyDescent="0.25">
      <c r="A737">
        <f>IFERROR(HLOOKUP($A$1,'liste CIRCUIT'!$B:$AM,737,0)," ")</f>
        <v>0</v>
      </c>
      <c r="B737">
        <f>IFERROR(HLOOKUP($B$1,'liste CIRCUIT'!$B:$AM,737,0)," ")</f>
        <v>0</v>
      </c>
      <c r="C737">
        <f t="shared" si="22"/>
        <v>0</v>
      </c>
      <c r="D737">
        <f t="shared" si="23"/>
        <v>0</v>
      </c>
    </row>
    <row r="738" spans="1:4" hidden="1" x14ac:dyDescent="0.25">
      <c r="A738">
        <f>IFERROR(HLOOKUP($A$1,'liste CIRCUIT'!$B:$AM,738,0)," ")</f>
        <v>0</v>
      </c>
      <c r="B738">
        <f>IFERROR(HLOOKUP($B$1,'liste CIRCUIT'!$B:$AM,738,0)," ")</f>
        <v>0</v>
      </c>
      <c r="C738">
        <f t="shared" si="22"/>
        <v>0</v>
      </c>
      <c r="D738">
        <f t="shared" si="23"/>
        <v>0</v>
      </c>
    </row>
    <row r="739" spans="1:4" hidden="1" x14ac:dyDescent="0.25">
      <c r="A739">
        <f>IFERROR(HLOOKUP($A$1,'liste CIRCUIT'!$B:$AM,739,0)," ")</f>
        <v>0</v>
      </c>
      <c r="B739">
        <f>IFERROR(HLOOKUP($B$1,'liste CIRCUIT'!$B:$AM,739,0)," ")</f>
        <v>1</v>
      </c>
      <c r="C739">
        <f t="shared" si="22"/>
        <v>1</v>
      </c>
      <c r="D739">
        <f t="shared" si="23"/>
        <v>-1</v>
      </c>
    </row>
    <row r="740" spans="1:4" hidden="1" x14ac:dyDescent="0.25">
      <c r="A740">
        <f>IFERROR(HLOOKUP($A$1,'liste CIRCUIT'!$B:$AM,740,0)," ")</f>
        <v>0</v>
      </c>
      <c r="B740">
        <f>IFERROR(HLOOKUP($B$1,'liste CIRCUIT'!$B:$AM,740,0)," ")</f>
        <v>0</v>
      </c>
      <c r="C740">
        <f t="shared" si="22"/>
        <v>0</v>
      </c>
      <c r="D740">
        <f t="shared" si="23"/>
        <v>0</v>
      </c>
    </row>
    <row r="741" spans="1:4" hidden="1" x14ac:dyDescent="0.25">
      <c r="A741">
        <f>IFERROR(HLOOKUP($A$1,'liste CIRCUIT'!$B:$AM,741,0)," ")</f>
        <v>0</v>
      </c>
      <c r="B741">
        <f>IFERROR(HLOOKUP($B$1,'liste CIRCUIT'!$B:$AM,741,0)," ")</f>
        <v>0</v>
      </c>
      <c r="C741">
        <f t="shared" si="22"/>
        <v>0</v>
      </c>
      <c r="D741">
        <f t="shared" si="23"/>
        <v>0</v>
      </c>
    </row>
    <row r="742" spans="1:4" hidden="1" x14ac:dyDescent="0.25">
      <c r="A742">
        <f>IFERROR(HLOOKUP($A$1,'liste CIRCUIT'!$B:$AM,742,0)," ")</f>
        <v>0</v>
      </c>
      <c r="B742">
        <f>IFERROR(HLOOKUP($B$1,'liste CIRCUIT'!$B:$AM,742,0)," ")</f>
        <v>0</v>
      </c>
      <c r="C742">
        <f t="shared" si="22"/>
        <v>0</v>
      </c>
      <c r="D742">
        <f t="shared" si="23"/>
        <v>0</v>
      </c>
    </row>
    <row r="743" spans="1:4" hidden="1" x14ac:dyDescent="0.25">
      <c r="A743">
        <f>IFERROR(HLOOKUP($A$1,'liste CIRCUIT'!$B:$AM,743,0)," ")</f>
        <v>0</v>
      </c>
      <c r="B743">
        <f>IFERROR(HLOOKUP($B$1,'liste CIRCUIT'!$B:$AM,743,0)," ")</f>
        <v>0</v>
      </c>
      <c r="C743">
        <f t="shared" si="22"/>
        <v>0</v>
      </c>
      <c r="D743">
        <f t="shared" si="23"/>
        <v>0</v>
      </c>
    </row>
    <row r="744" spans="1:4" hidden="1" x14ac:dyDescent="0.25">
      <c r="A744">
        <f>IFERROR(HLOOKUP($A$1,'liste CIRCUIT'!$B:$AM,744,0)," ")</f>
        <v>0</v>
      </c>
      <c r="B744">
        <f>IFERROR(HLOOKUP($B$1,'liste CIRCUIT'!$B:$AM,744,0)," ")</f>
        <v>0</v>
      </c>
      <c r="C744">
        <f t="shared" si="22"/>
        <v>0</v>
      </c>
      <c r="D744">
        <f t="shared" si="23"/>
        <v>0</v>
      </c>
    </row>
    <row r="745" spans="1:4" hidden="1" x14ac:dyDescent="0.25">
      <c r="A745">
        <f>IFERROR(HLOOKUP($A$1,'liste CIRCUIT'!$B:$AM,745,0)," ")</f>
        <v>0</v>
      </c>
      <c r="B745">
        <f>IFERROR(HLOOKUP($B$1,'liste CIRCUIT'!$B:$AM,745,0)," ")</f>
        <v>0</v>
      </c>
      <c r="C745">
        <f t="shared" si="22"/>
        <v>0</v>
      </c>
      <c r="D745">
        <f t="shared" si="23"/>
        <v>0</v>
      </c>
    </row>
    <row r="746" spans="1:4" hidden="1" x14ac:dyDescent="0.25">
      <c r="A746">
        <f>IFERROR(HLOOKUP($A$1,'liste CIRCUIT'!$B:$AM,746,0)," ")</f>
        <v>0</v>
      </c>
      <c r="B746">
        <f>IFERROR(HLOOKUP($B$1,'liste CIRCUIT'!$B:$AM,746,0)," ")</f>
        <v>0</v>
      </c>
      <c r="C746">
        <f t="shared" si="22"/>
        <v>0</v>
      </c>
      <c r="D746">
        <f t="shared" si="23"/>
        <v>0</v>
      </c>
    </row>
    <row r="747" spans="1:4" hidden="1" x14ac:dyDescent="0.25">
      <c r="A747">
        <f>IFERROR(HLOOKUP($A$1,'liste CIRCUIT'!$B:$AM,747,0)," ")</f>
        <v>0</v>
      </c>
      <c r="B747">
        <f>IFERROR(HLOOKUP($B$1,'liste CIRCUIT'!$B:$AM,747,0)," ")</f>
        <v>0</v>
      </c>
      <c r="C747">
        <f t="shared" si="22"/>
        <v>0</v>
      </c>
      <c r="D747">
        <f t="shared" si="23"/>
        <v>0</v>
      </c>
    </row>
    <row r="748" spans="1:4" hidden="1" x14ac:dyDescent="0.25">
      <c r="A748">
        <f>IFERROR(HLOOKUP($A$1,'liste CIRCUIT'!$B:$AM,748,0)," ")</f>
        <v>1</v>
      </c>
      <c r="B748">
        <f>IFERROR(HLOOKUP($B$1,'liste CIRCUIT'!$B:$AM,748,0)," ")</f>
        <v>1</v>
      </c>
      <c r="C748">
        <f t="shared" si="22"/>
        <v>2</v>
      </c>
      <c r="D748">
        <f t="shared" si="23"/>
        <v>0</v>
      </c>
    </row>
    <row r="749" spans="1:4" hidden="1" x14ac:dyDescent="0.25">
      <c r="A749">
        <f>IFERROR(HLOOKUP($A$1,'liste CIRCUIT'!$B:$AM,749,0)," ")</f>
        <v>1</v>
      </c>
      <c r="B749">
        <f>IFERROR(HLOOKUP($B$1,'liste CIRCUIT'!$B:$AM,749,0)," ")</f>
        <v>1</v>
      </c>
      <c r="C749">
        <f t="shared" si="22"/>
        <v>2</v>
      </c>
      <c r="D749">
        <f t="shared" si="23"/>
        <v>0</v>
      </c>
    </row>
    <row r="750" spans="1:4" hidden="1" x14ac:dyDescent="0.25">
      <c r="A750">
        <f>IFERROR(HLOOKUP($A$1,'liste CIRCUIT'!$B:$AM,750,0)," ")</f>
        <v>0</v>
      </c>
      <c r="B750">
        <f>IFERROR(HLOOKUP($B$1,'liste CIRCUIT'!$B:$AM,750,0)," ")</f>
        <v>0</v>
      </c>
      <c r="C750">
        <f t="shared" si="22"/>
        <v>0</v>
      </c>
      <c r="D750">
        <f t="shared" si="23"/>
        <v>0</v>
      </c>
    </row>
    <row r="751" spans="1:4" hidden="1" x14ac:dyDescent="0.25">
      <c r="A751">
        <f>IFERROR(HLOOKUP($A$1,'liste CIRCUIT'!$B:$AM,751,0)," ")</f>
        <v>0</v>
      </c>
      <c r="B751">
        <f>IFERROR(HLOOKUP($B$1,'liste CIRCUIT'!$B:$AM,751,0)," ")</f>
        <v>1</v>
      </c>
      <c r="C751">
        <f t="shared" si="22"/>
        <v>1</v>
      </c>
      <c r="D751">
        <f t="shared" si="23"/>
        <v>-1</v>
      </c>
    </row>
    <row r="752" spans="1:4" hidden="1" x14ac:dyDescent="0.25">
      <c r="A752">
        <f>IFERROR(HLOOKUP($A$1,'liste CIRCUIT'!$B:$AM,752,0)," ")</f>
        <v>0</v>
      </c>
      <c r="B752">
        <f>IFERROR(HLOOKUP($B$1,'liste CIRCUIT'!$B:$AM,752,0)," ")</f>
        <v>0</v>
      </c>
      <c r="C752">
        <f t="shared" si="22"/>
        <v>0</v>
      </c>
      <c r="D752">
        <f t="shared" si="23"/>
        <v>0</v>
      </c>
    </row>
    <row r="753" spans="1:4" hidden="1" x14ac:dyDescent="0.25">
      <c r="A753">
        <f>IFERROR(HLOOKUP($A$1,'liste CIRCUIT'!$B:$AM,753,0)," ")</f>
        <v>0</v>
      </c>
      <c r="B753">
        <f>IFERROR(HLOOKUP($B$1,'liste CIRCUIT'!$B:$AM,753,0)," ")</f>
        <v>0</v>
      </c>
      <c r="C753">
        <f t="shared" si="22"/>
        <v>0</v>
      </c>
      <c r="D753">
        <f t="shared" si="23"/>
        <v>0</v>
      </c>
    </row>
    <row r="754" spans="1:4" hidden="1" x14ac:dyDescent="0.25">
      <c r="A754">
        <f>IFERROR(HLOOKUP($A$1,'liste CIRCUIT'!$B:$AM,754,0)," ")</f>
        <v>0</v>
      </c>
      <c r="B754">
        <f>IFERROR(HLOOKUP($B$1,'liste CIRCUIT'!$B:$AM,754,0)," ")</f>
        <v>0</v>
      </c>
      <c r="C754">
        <f t="shared" si="22"/>
        <v>0</v>
      </c>
      <c r="D754">
        <f t="shared" si="23"/>
        <v>0</v>
      </c>
    </row>
    <row r="755" spans="1:4" hidden="1" x14ac:dyDescent="0.25">
      <c r="A755">
        <f>IFERROR(HLOOKUP($A$1,'liste CIRCUIT'!$B:$AM,755,0)," ")</f>
        <v>1</v>
      </c>
      <c r="B755">
        <f>IFERROR(HLOOKUP($B$1,'liste CIRCUIT'!$B:$AM,755,0)," ")</f>
        <v>1</v>
      </c>
      <c r="C755">
        <f t="shared" si="22"/>
        <v>2</v>
      </c>
      <c r="D755">
        <f t="shared" si="23"/>
        <v>0</v>
      </c>
    </row>
    <row r="756" spans="1:4" hidden="1" x14ac:dyDescent="0.25">
      <c r="A756">
        <f>IFERROR(HLOOKUP($A$1,'liste CIRCUIT'!$B:$AM,756,0)," ")</f>
        <v>1</v>
      </c>
      <c r="B756">
        <f>IFERROR(HLOOKUP($B$1,'liste CIRCUIT'!$B:$AM,756,0)," ")</f>
        <v>1</v>
      </c>
      <c r="C756">
        <f t="shared" si="22"/>
        <v>2</v>
      </c>
      <c r="D756">
        <f t="shared" si="23"/>
        <v>0</v>
      </c>
    </row>
    <row r="757" spans="1:4" hidden="1" x14ac:dyDescent="0.25">
      <c r="A757">
        <f>IFERROR(HLOOKUP($A$1,'liste CIRCUIT'!$B:$AM,757,0)," ")</f>
        <v>1</v>
      </c>
      <c r="B757">
        <f>IFERROR(HLOOKUP($B$1,'liste CIRCUIT'!$B:$AM,757,0)," ")</f>
        <v>1</v>
      </c>
      <c r="C757">
        <f t="shared" si="22"/>
        <v>2</v>
      </c>
      <c r="D757">
        <f t="shared" si="23"/>
        <v>0</v>
      </c>
    </row>
    <row r="758" spans="1:4" hidden="1" x14ac:dyDescent="0.25">
      <c r="A758">
        <f>IFERROR(HLOOKUP($A$1,'liste CIRCUIT'!$B:$AM,758,0)," ")</f>
        <v>0</v>
      </c>
      <c r="B758">
        <f>IFERROR(HLOOKUP($B$1,'liste CIRCUIT'!$B:$AM,758,0)," ")</f>
        <v>0</v>
      </c>
      <c r="C758">
        <f t="shared" si="22"/>
        <v>0</v>
      </c>
      <c r="D758">
        <f t="shared" si="23"/>
        <v>0</v>
      </c>
    </row>
    <row r="759" spans="1:4" hidden="1" x14ac:dyDescent="0.25">
      <c r="A759">
        <f>IFERROR(HLOOKUP($A$1,'liste CIRCUIT'!$B:$AM,759,0)," ")</f>
        <v>0</v>
      </c>
      <c r="B759">
        <f>IFERROR(HLOOKUP($B$1,'liste CIRCUIT'!$B:$AM,759,0)," ")</f>
        <v>0</v>
      </c>
      <c r="C759">
        <f t="shared" si="22"/>
        <v>0</v>
      </c>
      <c r="D759">
        <f t="shared" si="23"/>
        <v>0</v>
      </c>
    </row>
    <row r="760" spans="1:4" hidden="1" x14ac:dyDescent="0.25">
      <c r="A760">
        <f>IFERROR(HLOOKUP($A$1,'liste CIRCUIT'!$B:$AM,760,0)," ")</f>
        <v>1</v>
      </c>
      <c r="B760">
        <f>IFERROR(HLOOKUP($B$1,'liste CIRCUIT'!$B:$AM,760,0)," ")</f>
        <v>0</v>
      </c>
      <c r="C760">
        <f t="shared" si="22"/>
        <v>1</v>
      </c>
      <c r="D760">
        <f t="shared" si="23"/>
        <v>1</v>
      </c>
    </row>
    <row r="761" spans="1:4" hidden="1" x14ac:dyDescent="0.25">
      <c r="A761">
        <f>IFERROR(HLOOKUP($A$1,'liste CIRCUIT'!$B:$AM,761,0)," ")</f>
        <v>0</v>
      </c>
      <c r="B761">
        <f>IFERROR(HLOOKUP($B$1,'liste CIRCUIT'!$B:$AM,761,0)," ")</f>
        <v>1</v>
      </c>
      <c r="C761">
        <f t="shared" si="22"/>
        <v>1</v>
      </c>
      <c r="D761">
        <f t="shared" si="23"/>
        <v>-1</v>
      </c>
    </row>
    <row r="762" spans="1:4" hidden="1" x14ac:dyDescent="0.25">
      <c r="A762">
        <f>IFERROR(HLOOKUP($A$1,'liste CIRCUIT'!$B:$AM,762,0)," ")</f>
        <v>0</v>
      </c>
      <c r="B762">
        <f>IFERROR(HLOOKUP($B$1,'liste CIRCUIT'!$B:$AM,762,0)," ")</f>
        <v>0</v>
      </c>
      <c r="C762">
        <f t="shared" si="22"/>
        <v>0</v>
      </c>
      <c r="D762">
        <f t="shared" si="23"/>
        <v>0</v>
      </c>
    </row>
    <row r="763" spans="1:4" hidden="1" x14ac:dyDescent="0.25">
      <c r="A763">
        <f>IFERROR(HLOOKUP($A$1,'liste CIRCUIT'!$B:$AM,763,0)," ")</f>
        <v>0</v>
      </c>
      <c r="B763">
        <f>IFERROR(HLOOKUP($B$1,'liste CIRCUIT'!$B:$AM,763,0)," ")</f>
        <v>0</v>
      </c>
      <c r="C763">
        <f t="shared" si="22"/>
        <v>0</v>
      </c>
      <c r="D763">
        <f t="shared" si="23"/>
        <v>0</v>
      </c>
    </row>
    <row r="764" spans="1:4" hidden="1" x14ac:dyDescent="0.25">
      <c r="A764">
        <f>IFERROR(HLOOKUP($A$1,'liste CIRCUIT'!$B:$AM,764,0)," ")</f>
        <v>0</v>
      </c>
      <c r="B764">
        <f>IFERROR(HLOOKUP($B$1,'liste CIRCUIT'!$B:$AM,764,0)," ")</f>
        <v>0</v>
      </c>
      <c r="C764">
        <f t="shared" si="22"/>
        <v>0</v>
      </c>
      <c r="D764">
        <f t="shared" si="23"/>
        <v>0</v>
      </c>
    </row>
    <row r="765" spans="1:4" hidden="1" x14ac:dyDescent="0.25">
      <c r="A765">
        <f>IFERROR(HLOOKUP($A$1,'liste CIRCUIT'!$B:$AM,765,0)," ")</f>
        <v>0</v>
      </c>
      <c r="B765">
        <f>IFERROR(HLOOKUP($B$1,'liste CIRCUIT'!$B:$AM,765,0)," ")</f>
        <v>1</v>
      </c>
      <c r="C765">
        <f t="shared" si="22"/>
        <v>1</v>
      </c>
      <c r="D765">
        <f t="shared" si="23"/>
        <v>-1</v>
      </c>
    </row>
    <row r="766" spans="1:4" hidden="1" x14ac:dyDescent="0.25">
      <c r="A766">
        <f>IFERROR(HLOOKUP($A$1,'liste CIRCUIT'!$B:$AM,766,0)," ")</f>
        <v>0</v>
      </c>
      <c r="B766">
        <f>IFERROR(HLOOKUP($B$1,'liste CIRCUIT'!$B:$AM,766,0)," ")</f>
        <v>1</v>
      </c>
      <c r="C766">
        <f t="shared" si="22"/>
        <v>1</v>
      </c>
      <c r="D766">
        <f t="shared" si="23"/>
        <v>-1</v>
      </c>
    </row>
    <row r="767" spans="1:4" hidden="1" x14ac:dyDescent="0.25">
      <c r="A767">
        <f>IFERROR(HLOOKUP($A$1,'liste CIRCUIT'!$B:$AM,767,0)," ")</f>
        <v>0</v>
      </c>
      <c r="B767">
        <f>IFERROR(HLOOKUP($B$1,'liste CIRCUIT'!$B:$AM,767,0)," ")</f>
        <v>1</v>
      </c>
      <c r="C767">
        <f t="shared" si="22"/>
        <v>1</v>
      </c>
      <c r="D767">
        <f t="shared" si="23"/>
        <v>-1</v>
      </c>
    </row>
    <row r="768" spans="1:4" hidden="1" x14ac:dyDescent="0.25">
      <c r="A768">
        <f>IFERROR(HLOOKUP($A$1,'liste CIRCUIT'!$B:$AM,768,0)," ")</f>
        <v>0</v>
      </c>
      <c r="B768">
        <f>IFERROR(HLOOKUP($B$1,'liste CIRCUIT'!$B:$AM,768,0)," ")</f>
        <v>0</v>
      </c>
      <c r="C768">
        <f t="shared" si="22"/>
        <v>0</v>
      </c>
      <c r="D768">
        <f t="shared" si="23"/>
        <v>0</v>
      </c>
    </row>
    <row r="769" spans="1:4" hidden="1" x14ac:dyDescent="0.25">
      <c r="A769">
        <f>IFERROR(HLOOKUP($A$1,'liste CIRCUIT'!$B:$AM,769,0)," ")</f>
        <v>0</v>
      </c>
      <c r="B769">
        <f>IFERROR(HLOOKUP($B$1,'liste CIRCUIT'!$B:$AM,769,0)," ")</f>
        <v>0</v>
      </c>
      <c r="C769">
        <f t="shared" si="22"/>
        <v>0</v>
      </c>
      <c r="D769">
        <f t="shared" si="23"/>
        <v>0</v>
      </c>
    </row>
    <row r="770" spans="1:4" hidden="1" x14ac:dyDescent="0.25">
      <c r="A770">
        <f>IFERROR(HLOOKUP($A$1,'liste CIRCUIT'!$B:$AM,770,0)," ")</f>
        <v>0</v>
      </c>
      <c r="B770">
        <f>IFERROR(HLOOKUP($B$1,'liste CIRCUIT'!$B:$AM,770,0)," ")</f>
        <v>0</v>
      </c>
      <c r="C770">
        <f t="shared" si="22"/>
        <v>0</v>
      </c>
      <c r="D770">
        <f t="shared" si="23"/>
        <v>0</v>
      </c>
    </row>
    <row r="771" spans="1:4" hidden="1" x14ac:dyDescent="0.25">
      <c r="A771">
        <f>IFERROR(HLOOKUP($A$1,'liste CIRCUIT'!$B:$AM,771,0)," ")</f>
        <v>0</v>
      </c>
      <c r="B771">
        <f>IFERROR(HLOOKUP($B$1,'liste CIRCUIT'!$B:$AM,771,0)," ")</f>
        <v>0</v>
      </c>
      <c r="C771">
        <f t="shared" ref="C771:C834" si="24">SUM(A771:B771)</f>
        <v>0</v>
      </c>
      <c r="D771">
        <f t="shared" ref="D771:D834" si="25">A771-B771</f>
        <v>0</v>
      </c>
    </row>
    <row r="772" spans="1:4" hidden="1" x14ac:dyDescent="0.25">
      <c r="A772">
        <f>IFERROR(HLOOKUP($A$1,'liste CIRCUIT'!$B:$AM,772,0)," ")</f>
        <v>0</v>
      </c>
      <c r="B772">
        <f>IFERROR(HLOOKUP($B$1,'liste CIRCUIT'!$B:$AM,772,0)," ")</f>
        <v>0</v>
      </c>
      <c r="C772">
        <f t="shared" si="24"/>
        <v>0</v>
      </c>
      <c r="D772">
        <f t="shared" si="25"/>
        <v>0</v>
      </c>
    </row>
    <row r="773" spans="1:4" hidden="1" x14ac:dyDescent="0.25">
      <c r="A773">
        <f>IFERROR(HLOOKUP($A$1,'liste CIRCUIT'!$B:$AM,773,0)," ")</f>
        <v>0</v>
      </c>
      <c r="B773">
        <f>IFERROR(HLOOKUP($B$1,'liste CIRCUIT'!$B:$AM,773,0)," ")</f>
        <v>0</v>
      </c>
      <c r="C773">
        <f t="shared" si="24"/>
        <v>0</v>
      </c>
      <c r="D773">
        <f t="shared" si="25"/>
        <v>0</v>
      </c>
    </row>
    <row r="774" spans="1:4" hidden="1" x14ac:dyDescent="0.25">
      <c r="A774">
        <f>IFERROR(HLOOKUP($A$1,'liste CIRCUIT'!$B:$AM,774,0)," ")</f>
        <v>0</v>
      </c>
      <c r="B774">
        <f>IFERROR(HLOOKUP($B$1,'liste CIRCUIT'!$B:$AM,774,0)," ")</f>
        <v>0</v>
      </c>
      <c r="C774">
        <f t="shared" si="24"/>
        <v>0</v>
      </c>
      <c r="D774">
        <f t="shared" si="25"/>
        <v>0</v>
      </c>
    </row>
    <row r="775" spans="1:4" hidden="1" x14ac:dyDescent="0.25">
      <c r="A775">
        <f>IFERROR(HLOOKUP($A$1,'liste CIRCUIT'!$B:$AM,775,0)," ")</f>
        <v>0</v>
      </c>
      <c r="B775">
        <f>IFERROR(HLOOKUP($B$1,'liste CIRCUIT'!$B:$AM,775,0)," ")</f>
        <v>1</v>
      </c>
      <c r="C775">
        <f t="shared" si="24"/>
        <v>1</v>
      </c>
      <c r="D775">
        <f t="shared" si="25"/>
        <v>-1</v>
      </c>
    </row>
    <row r="776" spans="1:4" hidden="1" x14ac:dyDescent="0.25">
      <c r="A776">
        <f>IFERROR(HLOOKUP($A$1,'liste CIRCUIT'!$B:$AM,776,0)," ")</f>
        <v>0</v>
      </c>
      <c r="B776">
        <f>IFERROR(HLOOKUP($B$1,'liste CIRCUIT'!$B:$AM,776,0)," ")</f>
        <v>0</v>
      </c>
      <c r="C776">
        <f t="shared" si="24"/>
        <v>0</v>
      </c>
      <c r="D776">
        <f t="shared" si="25"/>
        <v>0</v>
      </c>
    </row>
    <row r="777" spans="1:4" hidden="1" x14ac:dyDescent="0.25">
      <c r="A777">
        <f>IFERROR(HLOOKUP($A$1,'liste CIRCUIT'!$B:$AM,777,0)," ")</f>
        <v>0</v>
      </c>
      <c r="B777">
        <f>IFERROR(HLOOKUP($B$1,'liste CIRCUIT'!$B:$AM,777,0)," ")</f>
        <v>0</v>
      </c>
      <c r="C777">
        <f t="shared" si="24"/>
        <v>0</v>
      </c>
      <c r="D777">
        <f t="shared" si="25"/>
        <v>0</v>
      </c>
    </row>
    <row r="778" spans="1:4" hidden="1" x14ac:dyDescent="0.25">
      <c r="A778">
        <f>IFERROR(HLOOKUP($A$1,'liste CIRCUIT'!$B:$AM,778,0)," ")</f>
        <v>0</v>
      </c>
      <c r="B778">
        <f>IFERROR(HLOOKUP($B$1,'liste CIRCUIT'!$B:$AM,778,0)," ")</f>
        <v>0</v>
      </c>
      <c r="C778">
        <f t="shared" si="24"/>
        <v>0</v>
      </c>
      <c r="D778">
        <f t="shared" si="25"/>
        <v>0</v>
      </c>
    </row>
    <row r="779" spans="1:4" hidden="1" x14ac:dyDescent="0.25">
      <c r="A779">
        <f>IFERROR(HLOOKUP($A$1,'liste CIRCUIT'!$B:$AM,779,0)," ")</f>
        <v>0</v>
      </c>
      <c r="B779">
        <f>IFERROR(HLOOKUP($B$1,'liste CIRCUIT'!$B:$AM,779,0)," ")</f>
        <v>0</v>
      </c>
      <c r="C779">
        <f t="shared" si="24"/>
        <v>0</v>
      </c>
      <c r="D779">
        <f t="shared" si="25"/>
        <v>0</v>
      </c>
    </row>
    <row r="780" spans="1:4" hidden="1" x14ac:dyDescent="0.25">
      <c r="A780">
        <f>IFERROR(HLOOKUP($A$1,'liste CIRCUIT'!$B:$AM,780,0)," ")</f>
        <v>0</v>
      </c>
      <c r="B780">
        <f>IFERROR(HLOOKUP($B$1,'liste CIRCUIT'!$B:$AM,780,0)," ")</f>
        <v>0</v>
      </c>
      <c r="C780">
        <f t="shared" si="24"/>
        <v>0</v>
      </c>
      <c r="D780">
        <f t="shared" si="25"/>
        <v>0</v>
      </c>
    </row>
    <row r="781" spans="1:4" hidden="1" x14ac:dyDescent="0.25">
      <c r="A781">
        <f>IFERROR(HLOOKUP($A$1,'liste CIRCUIT'!$B:$AM,781,0)," ")</f>
        <v>0</v>
      </c>
      <c r="B781">
        <f>IFERROR(HLOOKUP($B$1,'liste CIRCUIT'!$B:$AM,781,0)," ")</f>
        <v>0</v>
      </c>
      <c r="C781">
        <f t="shared" si="24"/>
        <v>0</v>
      </c>
      <c r="D781">
        <f t="shared" si="25"/>
        <v>0</v>
      </c>
    </row>
    <row r="782" spans="1:4" hidden="1" x14ac:dyDescent="0.25">
      <c r="A782">
        <f>IFERROR(HLOOKUP($A$1,'liste CIRCUIT'!$B:$AM,782,0)," ")</f>
        <v>0</v>
      </c>
      <c r="B782">
        <f>IFERROR(HLOOKUP($B$1,'liste CIRCUIT'!$B:$AM,782,0)," ")</f>
        <v>0</v>
      </c>
      <c r="C782">
        <f t="shared" si="24"/>
        <v>0</v>
      </c>
      <c r="D782">
        <f t="shared" si="25"/>
        <v>0</v>
      </c>
    </row>
    <row r="783" spans="1:4" hidden="1" x14ac:dyDescent="0.25">
      <c r="A783">
        <f>IFERROR(HLOOKUP($A$1,'liste CIRCUIT'!$B:$AM,783,0)," ")</f>
        <v>0</v>
      </c>
      <c r="B783">
        <f>IFERROR(HLOOKUP($B$1,'liste CIRCUIT'!$B:$AM,783,0)," ")</f>
        <v>1</v>
      </c>
      <c r="C783">
        <f t="shared" si="24"/>
        <v>1</v>
      </c>
      <c r="D783">
        <f t="shared" si="25"/>
        <v>-1</v>
      </c>
    </row>
    <row r="784" spans="1:4" hidden="1" x14ac:dyDescent="0.25">
      <c r="A784">
        <f>IFERROR(HLOOKUP($A$1,'liste CIRCUIT'!$B:$AM,784,0)," ")</f>
        <v>0</v>
      </c>
      <c r="B784">
        <f>IFERROR(HLOOKUP($B$1,'liste CIRCUIT'!$B:$AM,784,0)," ")</f>
        <v>0</v>
      </c>
      <c r="C784">
        <f t="shared" si="24"/>
        <v>0</v>
      </c>
      <c r="D784">
        <f t="shared" si="25"/>
        <v>0</v>
      </c>
    </row>
    <row r="785" spans="1:4" hidden="1" x14ac:dyDescent="0.25">
      <c r="A785">
        <f>IFERROR(HLOOKUP($A$1,'liste CIRCUIT'!$B:$AM,785,0)," ")</f>
        <v>1</v>
      </c>
      <c r="B785">
        <f>IFERROR(HLOOKUP($B$1,'liste CIRCUIT'!$B:$AM,785,0)," ")</f>
        <v>1</v>
      </c>
      <c r="C785">
        <f t="shared" si="24"/>
        <v>2</v>
      </c>
      <c r="D785">
        <f t="shared" si="25"/>
        <v>0</v>
      </c>
    </row>
    <row r="786" spans="1:4" hidden="1" x14ac:dyDescent="0.25">
      <c r="A786">
        <f>IFERROR(HLOOKUP($A$1,'liste CIRCUIT'!$B:$AM,786,0)," ")</f>
        <v>1</v>
      </c>
      <c r="B786">
        <f>IFERROR(HLOOKUP($B$1,'liste CIRCUIT'!$B:$AM,786,0)," ")</f>
        <v>0</v>
      </c>
      <c r="C786">
        <f t="shared" si="24"/>
        <v>1</v>
      </c>
      <c r="D786">
        <f t="shared" si="25"/>
        <v>1</v>
      </c>
    </row>
    <row r="787" spans="1:4" hidden="1" x14ac:dyDescent="0.25">
      <c r="A787">
        <f>IFERROR(HLOOKUP($A$1,'liste CIRCUIT'!$B:$AM,787,0)," ")</f>
        <v>0</v>
      </c>
      <c r="B787">
        <f>IFERROR(HLOOKUP($B$1,'liste CIRCUIT'!$B:$AM,787,0)," ")</f>
        <v>0</v>
      </c>
      <c r="C787">
        <f t="shared" si="24"/>
        <v>0</v>
      </c>
      <c r="D787">
        <f t="shared" si="25"/>
        <v>0</v>
      </c>
    </row>
    <row r="788" spans="1:4" hidden="1" x14ac:dyDescent="0.25">
      <c r="A788">
        <f>IFERROR(HLOOKUP($A$1,'liste CIRCUIT'!$B:$AM,788,0)," ")</f>
        <v>0</v>
      </c>
      <c r="B788">
        <f>IFERROR(HLOOKUP($B$1,'liste CIRCUIT'!$B:$AM,788,0)," ")</f>
        <v>1</v>
      </c>
      <c r="C788">
        <f t="shared" si="24"/>
        <v>1</v>
      </c>
      <c r="D788">
        <f t="shared" si="25"/>
        <v>-1</v>
      </c>
    </row>
    <row r="789" spans="1:4" hidden="1" x14ac:dyDescent="0.25">
      <c r="A789">
        <f>IFERROR(HLOOKUP($A$1,'liste CIRCUIT'!$B:$AM,789,0)," ")</f>
        <v>0</v>
      </c>
      <c r="B789">
        <f>IFERROR(HLOOKUP($B$1,'liste CIRCUIT'!$B:$AM,789,0)," ")</f>
        <v>0</v>
      </c>
      <c r="C789">
        <f t="shared" si="24"/>
        <v>0</v>
      </c>
      <c r="D789">
        <f t="shared" si="25"/>
        <v>0</v>
      </c>
    </row>
    <row r="790" spans="1:4" hidden="1" x14ac:dyDescent="0.25">
      <c r="A790">
        <f>IFERROR(HLOOKUP($A$1,'liste CIRCUIT'!$B:$AM,790,0)," ")</f>
        <v>0</v>
      </c>
      <c r="B790">
        <f>IFERROR(HLOOKUP($B$1,'liste CIRCUIT'!$B:$AM,790,0)," ")</f>
        <v>0</v>
      </c>
      <c r="C790">
        <f t="shared" si="24"/>
        <v>0</v>
      </c>
      <c r="D790">
        <f t="shared" si="25"/>
        <v>0</v>
      </c>
    </row>
    <row r="791" spans="1:4" hidden="1" x14ac:dyDescent="0.25">
      <c r="A791">
        <f>IFERROR(HLOOKUP($A$1,'liste CIRCUIT'!$B:$AM,791,0)," ")</f>
        <v>0</v>
      </c>
      <c r="B791">
        <f>IFERROR(HLOOKUP($B$1,'liste CIRCUIT'!$B:$AM,791,0)," ")</f>
        <v>0</v>
      </c>
      <c r="C791">
        <f t="shared" si="24"/>
        <v>0</v>
      </c>
      <c r="D791">
        <f t="shared" si="25"/>
        <v>0</v>
      </c>
    </row>
    <row r="792" spans="1:4" hidden="1" x14ac:dyDescent="0.25">
      <c r="A792">
        <f>IFERROR(HLOOKUP($A$1,'liste CIRCUIT'!$B:$AM,792,0)," ")</f>
        <v>1</v>
      </c>
      <c r="B792">
        <f>IFERROR(HLOOKUP($B$1,'liste CIRCUIT'!$B:$AM,792,0)," ")</f>
        <v>1</v>
      </c>
      <c r="C792">
        <f t="shared" si="24"/>
        <v>2</v>
      </c>
      <c r="D792">
        <f t="shared" si="25"/>
        <v>0</v>
      </c>
    </row>
    <row r="793" spans="1:4" hidden="1" x14ac:dyDescent="0.25">
      <c r="A793">
        <f>IFERROR(HLOOKUP($A$1,'liste CIRCUIT'!$B:$AM,793,0)," ")</f>
        <v>1</v>
      </c>
      <c r="B793">
        <f>IFERROR(HLOOKUP($B$1,'liste CIRCUIT'!$B:$AM,793,0)," ")</f>
        <v>1</v>
      </c>
      <c r="C793">
        <f t="shared" si="24"/>
        <v>2</v>
      </c>
      <c r="D793">
        <f t="shared" si="25"/>
        <v>0</v>
      </c>
    </row>
    <row r="794" spans="1:4" hidden="1" x14ac:dyDescent="0.25">
      <c r="A794">
        <f>IFERROR(HLOOKUP($A$1,'liste CIRCUIT'!$B:$AM,794,0)," ")</f>
        <v>0</v>
      </c>
      <c r="B794">
        <f>IFERROR(HLOOKUP($B$1,'liste CIRCUIT'!$B:$AM,794,0)," ")</f>
        <v>0</v>
      </c>
      <c r="C794">
        <f t="shared" si="24"/>
        <v>0</v>
      </c>
      <c r="D794">
        <f t="shared" si="25"/>
        <v>0</v>
      </c>
    </row>
    <row r="795" spans="1:4" hidden="1" x14ac:dyDescent="0.25">
      <c r="A795">
        <f>IFERROR(HLOOKUP($A$1,'liste CIRCUIT'!$B:$AM,795,0)," ")</f>
        <v>1</v>
      </c>
      <c r="B795">
        <f>IFERROR(HLOOKUP($B$1,'liste CIRCUIT'!$B:$AM,795,0)," ")</f>
        <v>1</v>
      </c>
      <c r="C795">
        <f t="shared" si="24"/>
        <v>2</v>
      </c>
      <c r="D795">
        <f t="shared" si="25"/>
        <v>0</v>
      </c>
    </row>
    <row r="796" spans="1:4" hidden="1" x14ac:dyDescent="0.25">
      <c r="A796">
        <f>IFERROR(HLOOKUP($A$1,'liste CIRCUIT'!$B:$AM,796,0)," ")</f>
        <v>0</v>
      </c>
      <c r="B796">
        <f>IFERROR(HLOOKUP($B$1,'liste CIRCUIT'!$B:$AM,796,0)," ")</f>
        <v>0</v>
      </c>
      <c r="C796">
        <f t="shared" si="24"/>
        <v>0</v>
      </c>
      <c r="D796">
        <f t="shared" si="25"/>
        <v>0</v>
      </c>
    </row>
    <row r="797" spans="1:4" hidden="1" x14ac:dyDescent="0.25">
      <c r="A797">
        <f>IFERROR(HLOOKUP($A$1,'liste CIRCUIT'!$B:$AM,797,0)," ")</f>
        <v>0</v>
      </c>
      <c r="B797">
        <f>IFERROR(HLOOKUP($B$1,'liste CIRCUIT'!$B:$AM,797,0)," ")</f>
        <v>0</v>
      </c>
      <c r="C797">
        <f t="shared" si="24"/>
        <v>0</v>
      </c>
      <c r="D797">
        <f t="shared" si="25"/>
        <v>0</v>
      </c>
    </row>
    <row r="798" spans="1:4" hidden="1" x14ac:dyDescent="0.25">
      <c r="A798">
        <f>IFERROR(HLOOKUP($A$1,'liste CIRCUIT'!$B:$AM,798,0)," ")</f>
        <v>0</v>
      </c>
      <c r="B798">
        <f>IFERROR(HLOOKUP($B$1,'liste CIRCUIT'!$B:$AM,798,0)," ")</f>
        <v>0</v>
      </c>
      <c r="C798">
        <f t="shared" si="24"/>
        <v>0</v>
      </c>
      <c r="D798">
        <f t="shared" si="25"/>
        <v>0</v>
      </c>
    </row>
    <row r="799" spans="1:4" hidden="1" x14ac:dyDescent="0.25">
      <c r="A799">
        <f>IFERROR(HLOOKUP($A$1,'liste CIRCUIT'!$B:$AM,799,0)," ")</f>
        <v>0</v>
      </c>
      <c r="B799">
        <f>IFERROR(HLOOKUP($B$1,'liste CIRCUIT'!$B:$AM,799,0)," ")</f>
        <v>0</v>
      </c>
      <c r="C799">
        <f t="shared" si="24"/>
        <v>0</v>
      </c>
      <c r="D799">
        <f t="shared" si="25"/>
        <v>0</v>
      </c>
    </row>
    <row r="800" spans="1:4" hidden="1" x14ac:dyDescent="0.25">
      <c r="A800">
        <f>IFERROR(HLOOKUP($A$1,'liste CIRCUIT'!$B:$AM,800,0)," ")</f>
        <v>0</v>
      </c>
      <c r="B800">
        <f>IFERROR(HLOOKUP($B$1,'liste CIRCUIT'!$B:$AM,800,0)," ")</f>
        <v>0</v>
      </c>
      <c r="C800">
        <f t="shared" si="24"/>
        <v>0</v>
      </c>
      <c r="D800">
        <f t="shared" si="25"/>
        <v>0</v>
      </c>
    </row>
    <row r="801" spans="1:4" hidden="1" x14ac:dyDescent="0.25">
      <c r="A801">
        <f>IFERROR(HLOOKUP($A$1,'liste CIRCUIT'!$B:$AM,801,0)," ")</f>
        <v>0</v>
      </c>
      <c r="B801">
        <f>IFERROR(HLOOKUP($B$1,'liste CIRCUIT'!$B:$AM,801,0)," ")</f>
        <v>0</v>
      </c>
      <c r="C801">
        <f t="shared" si="24"/>
        <v>0</v>
      </c>
      <c r="D801">
        <f t="shared" si="25"/>
        <v>0</v>
      </c>
    </row>
    <row r="802" spans="1:4" hidden="1" x14ac:dyDescent="0.25">
      <c r="A802">
        <f>IFERROR(HLOOKUP($A$1,'liste CIRCUIT'!$B:$AM,802,0)," ")</f>
        <v>0</v>
      </c>
      <c r="B802">
        <f>IFERROR(HLOOKUP($B$1,'liste CIRCUIT'!$B:$AM,802,0)," ")</f>
        <v>0</v>
      </c>
      <c r="C802">
        <f t="shared" si="24"/>
        <v>0</v>
      </c>
      <c r="D802">
        <f t="shared" si="25"/>
        <v>0</v>
      </c>
    </row>
    <row r="803" spans="1:4" hidden="1" x14ac:dyDescent="0.25">
      <c r="A803">
        <f>IFERROR(HLOOKUP($A$1,'liste CIRCUIT'!$B:$AM,803,0)," ")</f>
        <v>0</v>
      </c>
      <c r="B803">
        <f>IFERROR(HLOOKUP($B$1,'liste CIRCUIT'!$B:$AM,803,0)," ")</f>
        <v>0</v>
      </c>
      <c r="C803">
        <f t="shared" si="24"/>
        <v>0</v>
      </c>
      <c r="D803">
        <f t="shared" si="25"/>
        <v>0</v>
      </c>
    </row>
    <row r="804" spans="1:4" hidden="1" x14ac:dyDescent="0.25">
      <c r="A804">
        <f>IFERROR(HLOOKUP($A$1,'liste CIRCUIT'!$B:$AM,804,0)," ")</f>
        <v>0</v>
      </c>
      <c r="B804">
        <f>IFERROR(HLOOKUP($B$1,'liste CIRCUIT'!$B:$AM,804,0)," ")</f>
        <v>0</v>
      </c>
      <c r="C804">
        <f t="shared" si="24"/>
        <v>0</v>
      </c>
      <c r="D804">
        <f t="shared" si="25"/>
        <v>0</v>
      </c>
    </row>
    <row r="805" spans="1:4" hidden="1" x14ac:dyDescent="0.25">
      <c r="A805">
        <f>IFERROR(HLOOKUP($A$1,'liste CIRCUIT'!$B:$AM,805,0)," ")</f>
        <v>1</v>
      </c>
      <c r="B805">
        <f>IFERROR(HLOOKUP($B$1,'liste CIRCUIT'!$B:$AM,805,0)," ")</f>
        <v>1</v>
      </c>
      <c r="C805">
        <f t="shared" si="24"/>
        <v>2</v>
      </c>
      <c r="D805">
        <f t="shared" si="25"/>
        <v>0</v>
      </c>
    </row>
    <row r="806" spans="1:4" hidden="1" x14ac:dyDescent="0.25">
      <c r="A806">
        <f>IFERROR(HLOOKUP($A$1,'liste CIRCUIT'!$B:$AM,806,0)," ")</f>
        <v>0</v>
      </c>
      <c r="B806">
        <f>IFERROR(HLOOKUP($B$1,'liste CIRCUIT'!$B:$AM,806,0)," ")</f>
        <v>0</v>
      </c>
      <c r="C806">
        <f t="shared" si="24"/>
        <v>0</v>
      </c>
      <c r="D806">
        <f t="shared" si="25"/>
        <v>0</v>
      </c>
    </row>
    <row r="807" spans="1:4" hidden="1" x14ac:dyDescent="0.25">
      <c r="A807">
        <f>IFERROR(HLOOKUP($A$1,'liste CIRCUIT'!$B:$AM,807,0)," ")</f>
        <v>0</v>
      </c>
      <c r="B807">
        <f>IFERROR(HLOOKUP($B$1,'liste CIRCUIT'!$B:$AM,807,0)," ")</f>
        <v>0</v>
      </c>
      <c r="C807">
        <f t="shared" si="24"/>
        <v>0</v>
      </c>
      <c r="D807">
        <f t="shared" si="25"/>
        <v>0</v>
      </c>
    </row>
    <row r="808" spans="1:4" hidden="1" x14ac:dyDescent="0.25">
      <c r="A808">
        <f>IFERROR(HLOOKUP($A$1,'liste CIRCUIT'!$B:$AM,808,0)," ")</f>
        <v>0</v>
      </c>
      <c r="B808">
        <f>IFERROR(HLOOKUP($B$1,'liste CIRCUIT'!$B:$AM,808,0)," ")</f>
        <v>0</v>
      </c>
      <c r="C808">
        <f t="shared" si="24"/>
        <v>0</v>
      </c>
      <c r="D808">
        <f t="shared" si="25"/>
        <v>0</v>
      </c>
    </row>
    <row r="809" spans="1:4" hidden="1" x14ac:dyDescent="0.25">
      <c r="A809">
        <f>IFERROR(HLOOKUP($A$1,'liste CIRCUIT'!$B:$AM,809,0)," ")</f>
        <v>0</v>
      </c>
      <c r="B809">
        <f>IFERROR(HLOOKUP($B$1,'liste CIRCUIT'!$B:$AM,809,0)," ")</f>
        <v>0</v>
      </c>
      <c r="C809">
        <f t="shared" si="24"/>
        <v>0</v>
      </c>
      <c r="D809">
        <f t="shared" si="25"/>
        <v>0</v>
      </c>
    </row>
    <row r="810" spans="1:4" hidden="1" x14ac:dyDescent="0.25">
      <c r="A810">
        <f>IFERROR(HLOOKUP($A$1,'liste CIRCUIT'!$B:$AM,810,0)," ")</f>
        <v>0</v>
      </c>
      <c r="B810">
        <f>IFERROR(HLOOKUP($B$1,'liste CIRCUIT'!$B:$AM,810,0)," ")</f>
        <v>0</v>
      </c>
      <c r="C810">
        <f t="shared" si="24"/>
        <v>0</v>
      </c>
      <c r="D810">
        <f t="shared" si="25"/>
        <v>0</v>
      </c>
    </row>
    <row r="811" spans="1:4" hidden="1" x14ac:dyDescent="0.25">
      <c r="A811">
        <f>IFERROR(HLOOKUP($A$1,'liste CIRCUIT'!$B:$AM,811,0)," ")</f>
        <v>0</v>
      </c>
      <c r="B811">
        <f>IFERROR(HLOOKUP($B$1,'liste CIRCUIT'!$B:$AM,811,0)," ")</f>
        <v>0</v>
      </c>
      <c r="C811">
        <f t="shared" si="24"/>
        <v>0</v>
      </c>
      <c r="D811">
        <f t="shared" si="25"/>
        <v>0</v>
      </c>
    </row>
    <row r="812" spans="1:4" hidden="1" x14ac:dyDescent="0.25">
      <c r="A812">
        <f>IFERROR(HLOOKUP($A$1,'liste CIRCUIT'!$B:$AM,812,0)," ")</f>
        <v>0</v>
      </c>
      <c r="B812">
        <f>IFERROR(HLOOKUP($B$1,'liste CIRCUIT'!$B:$AM,812,0)," ")</f>
        <v>0</v>
      </c>
      <c r="C812">
        <f t="shared" si="24"/>
        <v>0</v>
      </c>
      <c r="D812">
        <f t="shared" si="25"/>
        <v>0</v>
      </c>
    </row>
    <row r="813" spans="1:4" hidden="1" x14ac:dyDescent="0.25">
      <c r="A813">
        <f>IFERROR(HLOOKUP($A$1,'liste CIRCUIT'!$B:$AM,813,0)," ")</f>
        <v>0</v>
      </c>
      <c r="B813">
        <f>IFERROR(HLOOKUP($B$1,'liste CIRCUIT'!$B:$AM,813,0)," ")</f>
        <v>0</v>
      </c>
      <c r="C813">
        <f t="shared" si="24"/>
        <v>0</v>
      </c>
      <c r="D813">
        <f t="shared" si="25"/>
        <v>0</v>
      </c>
    </row>
    <row r="814" spans="1:4" hidden="1" x14ac:dyDescent="0.25">
      <c r="A814">
        <f>IFERROR(HLOOKUP($A$1,'liste CIRCUIT'!$B:$AM,814,0)," ")</f>
        <v>1</v>
      </c>
      <c r="B814">
        <f>IFERROR(HLOOKUP($B$1,'liste CIRCUIT'!$B:$AM,814,0)," ")</f>
        <v>1</v>
      </c>
      <c r="C814">
        <f t="shared" si="24"/>
        <v>2</v>
      </c>
      <c r="D814">
        <f t="shared" si="25"/>
        <v>0</v>
      </c>
    </row>
    <row r="815" spans="1:4" hidden="1" x14ac:dyDescent="0.25">
      <c r="A815">
        <f>IFERROR(HLOOKUP($A$1,'liste CIRCUIT'!$B:$AM,815,0)," ")</f>
        <v>0</v>
      </c>
      <c r="B815">
        <f>IFERROR(HLOOKUP($B$1,'liste CIRCUIT'!$B:$AM,815,0)," ")</f>
        <v>1</v>
      </c>
      <c r="C815">
        <f t="shared" si="24"/>
        <v>1</v>
      </c>
      <c r="D815">
        <f t="shared" si="25"/>
        <v>-1</v>
      </c>
    </row>
    <row r="816" spans="1:4" hidden="1" x14ac:dyDescent="0.25">
      <c r="A816">
        <f>IFERROR(HLOOKUP($A$1,'liste CIRCUIT'!$B:$AM,816,0)," ")</f>
        <v>0</v>
      </c>
      <c r="B816">
        <f>IFERROR(HLOOKUP($B$1,'liste CIRCUIT'!$B:$AM,816,0)," ")</f>
        <v>0</v>
      </c>
      <c r="C816">
        <f t="shared" si="24"/>
        <v>0</v>
      </c>
      <c r="D816">
        <f t="shared" si="25"/>
        <v>0</v>
      </c>
    </row>
    <row r="817" spans="1:4" hidden="1" x14ac:dyDescent="0.25">
      <c r="A817">
        <f>IFERROR(HLOOKUP($A$1,'liste CIRCUIT'!$B:$AM,817,0)," ")</f>
        <v>0</v>
      </c>
      <c r="B817">
        <f>IFERROR(HLOOKUP($B$1,'liste CIRCUIT'!$B:$AM,817,0)," ")</f>
        <v>0</v>
      </c>
      <c r="C817">
        <f t="shared" si="24"/>
        <v>0</v>
      </c>
      <c r="D817">
        <f t="shared" si="25"/>
        <v>0</v>
      </c>
    </row>
    <row r="818" spans="1:4" hidden="1" x14ac:dyDescent="0.25">
      <c r="A818">
        <f>IFERROR(HLOOKUP($A$1,'liste CIRCUIT'!$B:$AM,818,0)," ")</f>
        <v>0</v>
      </c>
      <c r="B818">
        <f>IFERROR(HLOOKUP($B$1,'liste CIRCUIT'!$B:$AM,818,0)," ")</f>
        <v>1</v>
      </c>
      <c r="C818">
        <f t="shared" si="24"/>
        <v>1</v>
      </c>
      <c r="D818">
        <f t="shared" si="25"/>
        <v>-1</v>
      </c>
    </row>
    <row r="819" spans="1:4" hidden="1" x14ac:dyDescent="0.25">
      <c r="A819">
        <f>IFERROR(HLOOKUP($A$1,'liste CIRCUIT'!$B:$AM,819,0)," ")</f>
        <v>0</v>
      </c>
      <c r="B819">
        <f>IFERROR(HLOOKUP($B$1,'liste CIRCUIT'!$B:$AM,819,0)," ")</f>
        <v>0</v>
      </c>
      <c r="C819">
        <f t="shared" si="24"/>
        <v>0</v>
      </c>
      <c r="D819">
        <f t="shared" si="25"/>
        <v>0</v>
      </c>
    </row>
    <row r="820" spans="1:4" hidden="1" x14ac:dyDescent="0.25">
      <c r="A820">
        <f>IFERROR(HLOOKUP($A$1,'liste CIRCUIT'!$B:$AM,820,0)," ")</f>
        <v>1</v>
      </c>
      <c r="B820">
        <f>IFERROR(HLOOKUP($B$1,'liste CIRCUIT'!$B:$AM,820,0)," ")</f>
        <v>1</v>
      </c>
      <c r="C820">
        <f t="shared" si="24"/>
        <v>2</v>
      </c>
      <c r="D820">
        <f t="shared" si="25"/>
        <v>0</v>
      </c>
    </row>
    <row r="821" spans="1:4" hidden="1" x14ac:dyDescent="0.25">
      <c r="A821">
        <f>IFERROR(HLOOKUP($A$1,'liste CIRCUIT'!$B:$AM,821,0)," ")</f>
        <v>1</v>
      </c>
      <c r="B821">
        <f>IFERROR(HLOOKUP($B$1,'liste CIRCUIT'!$B:$AM,821,0)," ")</f>
        <v>1</v>
      </c>
      <c r="C821">
        <f t="shared" si="24"/>
        <v>2</v>
      </c>
      <c r="D821">
        <f t="shared" si="25"/>
        <v>0</v>
      </c>
    </row>
    <row r="822" spans="1:4" hidden="1" x14ac:dyDescent="0.25">
      <c r="A822">
        <f>IFERROR(HLOOKUP($A$1,'liste CIRCUIT'!$B:$AM,822,0)," ")</f>
        <v>0</v>
      </c>
      <c r="B822">
        <f>IFERROR(HLOOKUP($B$1,'liste CIRCUIT'!$B:$AM,822,0)," ")</f>
        <v>0</v>
      </c>
      <c r="C822">
        <f t="shared" si="24"/>
        <v>0</v>
      </c>
      <c r="D822">
        <f t="shared" si="25"/>
        <v>0</v>
      </c>
    </row>
    <row r="823" spans="1:4" hidden="1" x14ac:dyDescent="0.25">
      <c r="A823">
        <f>IFERROR(HLOOKUP($A$1,'liste CIRCUIT'!$B:$AM,823,0)," ")</f>
        <v>1</v>
      </c>
      <c r="B823">
        <f>IFERROR(HLOOKUP($B$1,'liste CIRCUIT'!$B:$AM,823,0)," ")</f>
        <v>1</v>
      </c>
      <c r="C823">
        <f t="shared" si="24"/>
        <v>2</v>
      </c>
      <c r="D823">
        <f t="shared" si="25"/>
        <v>0</v>
      </c>
    </row>
    <row r="824" spans="1:4" hidden="1" x14ac:dyDescent="0.25">
      <c r="A824">
        <f>IFERROR(HLOOKUP($A$1,'liste CIRCUIT'!$B:$AM,824,0)," ")</f>
        <v>0</v>
      </c>
      <c r="B824">
        <f>IFERROR(HLOOKUP($B$1,'liste CIRCUIT'!$B:$AM,824,0)," ")</f>
        <v>0</v>
      </c>
      <c r="C824">
        <f t="shared" si="24"/>
        <v>0</v>
      </c>
      <c r="D824">
        <f t="shared" si="25"/>
        <v>0</v>
      </c>
    </row>
    <row r="825" spans="1:4" hidden="1" x14ac:dyDescent="0.25">
      <c r="A825">
        <f>IFERROR(HLOOKUP($A$1,'liste CIRCUIT'!$B:$AM,825,0)," ")</f>
        <v>1</v>
      </c>
      <c r="B825">
        <f>IFERROR(HLOOKUP($B$1,'liste CIRCUIT'!$B:$AM,825,0)," ")</f>
        <v>1</v>
      </c>
      <c r="C825">
        <f t="shared" si="24"/>
        <v>2</v>
      </c>
      <c r="D825">
        <f t="shared" si="25"/>
        <v>0</v>
      </c>
    </row>
    <row r="826" spans="1:4" hidden="1" x14ac:dyDescent="0.25">
      <c r="A826">
        <f>IFERROR(HLOOKUP($A$1,'liste CIRCUIT'!$B:$AM,826,0)," ")</f>
        <v>0</v>
      </c>
      <c r="B826">
        <f>IFERROR(HLOOKUP($B$1,'liste CIRCUIT'!$B:$AM,826,0)," ")</f>
        <v>0</v>
      </c>
      <c r="C826">
        <f t="shared" si="24"/>
        <v>0</v>
      </c>
      <c r="D826">
        <f t="shared" si="25"/>
        <v>0</v>
      </c>
    </row>
    <row r="827" spans="1:4" hidden="1" x14ac:dyDescent="0.25">
      <c r="A827">
        <f>IFERROR(HLOOKUP($A$1,'liste CIRCUIT'!$B:$AM,827,0)," ")</f>
        <v>0</v>
      </c>
      <c r="B827">
        <f>IFERROR(HLOOKUP($B$1,'liste CIRCUIT'!$B:$AM,827,0)," ")</f>
        <v>0</v>
      </c>
      <c r="C827">
        <f t="shared" si="24"/>
        <v>0</v>
      </c>
      <c r="D827">
        <f t="shared" si="25"/>
        <v>0</v>
      </c>
    </row>
    <row r="828" spans="1:4" hidden="1" x14ac:dyDescent="0.25">
      <c r="A828">
        <f>IFERROR(HLOOKUP($A$1,'liste CIRCUIT'!$B:$AM,828,0)," ")</f>
        <v>1</v>
      </c>
      <c r="B828">
        <f>IFERROR(HLOOKUP($B$1,'liste CIRCUIT'!$B:$AM,828,0)," ")</f>
        <v>0</v>
      </c>
      <c r="C828">
        <f t="shared" si="24"/>
        <v>1</v>
      </c>
      <c r="D828">
        <f t="shared" si="25"/>
        <v>1</v>
      </c>
    </row>
    <row r="829" spans="1:4" hidden="1" x14ac:dyDescent="0.25">
      <c r="A829">
        <f>IFERROR(HLOOKUP($A$1,'liste CIRCUIT'!$B:$AM,829,0)," ")</f>
        <v>0</v>
      </c>
      <c r="B829">
        <f>IFERROR(HLOOKUP($B$1,'liste CIRCUIT'!$B:$AM,829,0)," ")</f>
        <v>0</v>
      </c>
      <c r="C829">
        <f t="shared" si="24"/>
        <v>0</v>
      </c>
      <c r="D829">
        <f t="shared" si="25"/>
        <v>0</v>
      </c>
    </row>
    <row r="830" spans="1:4" hidden="1" x14ac:dyDescent="0.25">
      <c r="A830">
        <f>IFERROR(HLOOKUP($A$1,'liste CIRCUIT'!$B:$AM,830,0)," ")</f>
        <v>0</v>
      </c>
      <c r="B830">
        <f>IFERROR(HLOOKUP($B$1,'liste CIRCUIT'!$B:$AM,830,0)," ")</f>
        <v>1</v>
      </c>
      <c r="C830">
        <f t="shared" si="24"/>
        <v>1</v>
      </c>
      <c r="D830">
        <f t="shared" si="25"/>
        <v>-1</v>
      </c>
    </row>
    <row r="831" spans="1:4" hidden="1" x14ac:dyDescent="0.25">
      <c r="A831">
        <f>IFERROR(HLOOKUP($A$1,'liste CIRCUIT'!$B:$AM,831,0)," ")</f>
        <v>0</v>
      </c>
      <c r="B831">
        <f>IFERROR(HLOOKUP($B$1,'liste CIRCUIT'!$B:$AM,831,0)," ")</f>
        <v>0</v>
      </c>
      <c r="C831">
        <f t="shared" si="24"/>
        <v>0</v>
      </c>
      <c r="D831">
        <f t="shared" si="25"/>
        <v>0</v>
      </c>
    </row>
    <row r="832" spans="1:4" hidden="1" x14ac:dyDescent="0.25">
      <c r="A832">
        <f>IFERROR(HLOOKUP($A$1,'liste CIRCUIT'!$B:$AM,832,0)," ")</f>
        <v>0</v>
      </c>
      <c r="B832">
        <f>IFERROR(HLOOKUP($B$1,'liste CIRCUIT'!$B:$AM,832,0)," ")</f>
        <v>0</v>
      </c>
      <c r="C832">
        <f t="shared" si="24"/>
        <v>0</v>
      </c>
      <c r="D832">
        <f t="shared" si="25"/>
        <v>0</v>
      </c>
    </row>
    <row r="833" spans="1:4" hidden="1" x14ac:dyDescent="0.25">
      <c r="A833">
        <f>IFERROR(HLOOKUP($A$1,'liste CIRCUIT'!$B:$AM,833,0)," ")</f>
        <v>0</v>
      </c>
      <c r="B833">
        <f>IFERROR(HLOOKUP($B$1,'liste CIRCUIT'!$B:$AM,833,0)," ")</f>
        <v>0</v>
      </c>
      <c r="C833">
        <f t="shared" si="24"/>
        <v>0</v>
      </c>
      <c r="D833">
        <f t="shared" si="25"/>
        <v>0</v>
      </c>
    </row>
    <row r="834" spans="1:4" hidden="1" x14ac:dyDescent="0.25">
      <c r="A834">
        <f>IFERROR(HLOOKUP($A$1,'liste CIRCUIT'!$B:$AM,834,0)," ")</f>
        <v>1</v>
      </c>
      <c r="B834">
        <f>IFERROR(HLOOKUP($B$1,'liste CIRCUIT'!$B:$AM,834,0)," ")</f>
        <v>1</v>
      </c>
      <c r="C834">
        <f t="shared" si="24"/>
        <v>2</v>
      </c>
      <c r="D834">
        <f t="shared" si="25"/>
        <v>0</v>
      </c>
    </row>
    <row r="835" spans="1:4" hidden="1" x14ac:dyDescent="0.25">
      <c r="A835">
        <f>IFERROR(HLOOKUP($A$1,'liste CIRCUIT'!$B:$AM,835,0)," ")</f>
        <v>0</v>
      </c>
      <c r="B835">
        <f>IFERROR(HLOOKUP($B$1,'liste CIRCUIT'!$B:$AM,835,0)," ")</f>
        <v>0</v>
      </c>
      <c r="C835">
        <f t="shared" ref="C835:C898" si="26">SUM(A835:B835)</f>
        <v>0</v>
      </c>
      <c r="D835">
        <f t="shared" ref="D835:D898" si="27">A835-B835</f>
        <v>0</v>
      </c>
    </row>
    <row r="836" spans="1:4" hidden="1" x14ac:dyDescent="0.25">
      <c r="A836">
        <f>IFERROR(HLOOKUP($A$1,'liste CIRCUIT'!$B:$AM,836,0)," ")</f>
        <v>0</v>
      </c>
      <c r="B836">
        <f>IFERROR(HLOOKUP($B$1,'liste CIRCUIT'!$B:$AM,836,0)," ")</f>
        <v>0</v>
      </c>
      <c r="C836">
        <f t="shared" si="26"/>
        <v>0</v>
      </c>
      <c r="D836">
        <f t="shared" si="27"/>
        <v>0</v>
      </c>
    </row>
    <row r="837" spans="1:4" hidden="1" x14ac:dyDescent="0.25">
      <c r="A837">
        <f>IFERROR(HLOOKUP($A$1,'liste CIRCUIT'!$B:$AM,837,0)," ")</f>
        <v>1</v>
      </c>
      <c r="B837">
        <f>IFERROR(HLOOKUP($B$1,'liste CIRCUIT'!$B:$AM,837,0)," ")</f>
        <v>0</v>
      </c>
      <c r="C837">
        <f t="shared" si="26"/>
        <v>1</v>
      </c>
      <c r="D837">
        <f t="shared" si="27"/>
        <v>1</v>
      </c>
    </row>
    <row r="838" spans="1:4" hidden="1" x14ac:dyDescent="0.25">
      <c r="A838">
        <f>IFERROR(HLOOKUP($A$1,'liste CIRCUIT'!$B:$AM,838,0)," ")</f>
        <v>0</v>
      </c>
      <c r="B838">
        <f>IFERROR(HLOOKUP($B$1,'liste CIRCUIT'!$B:$AM,838,0)," ")</f>
        <v>0</v>
      </c>
      <c r="C838">
        <f t="shared" si="26"/>
        <v>0</v>
      </c>
      <c r="D838">
        <f t="shared" si="27"/>
        <v>0</v>
      </c>
    </row>
    <row r="839" spans="1:4" hidden="1" x14ac:dyDescent="0.25">
      <c r="A839">
        <f>IFERROR(HLOOKUP($A$1,'liste CIRCUIT'!$B:$AM,839,0)," ")</f>
        <v>0</v>
      </c>
      <c r="B839">
        <f>IFERROR(HLOOKUP($B$1,'liste CIRCUIT'!$B:$AM,839,0)," ")</f>
        <v>1</v>
      </c>
      <c r="C839">
        <f t="shared" si="26"/>
        <v>1</v>
      </c>
      <c r="D839">
        <f t="shared" si="27"/>
        <v>-1</v>
      </c>
    </row>
    <row r="840" spans="1:4" hidden="1" x14ac:dyDescent="0.25">
      <c r="A840">
        <f>IFERROR(HLOOKUP($A$1,'liste CIRCUIT'!$B:$AM,840,0)," ")</f>
        <v>0</v>
      </c>
      <c r="B840">
        <f>IFERROR(HLOOKUP($B$1,'liste CIRCUIT'!$B:$AM,840,0)," ")</f>
        <v>0</v>
      </c>
      <c r="C840">
        <f t="shared" si="26"/>
        <v>0</v>
      </c>
      <c r="D840">
        <f t="shared" si="27"/>
        <v>0</v>
      </c>
    </row>
    <row r="841" spans="1:4" hidden="1" x14ac:dyDescent="0.25">
      <c r="A841">
        <f>IFERROR(HLOOKUP($A$1,'liste CIRCUIT'!$B:$AM,841,0)," ")</f>
        <v>0</v>
      </c>
      <c r="B841">
        <f>IFERROR(HLOOKUP($B$1,'liste CIRCUIT'!$B:$AM,841,0)," ")</f>
        <v>0</v>
      </c>
      <c r="C841">
        <f t="shared" si="26"/>
        <v>0</v>
      </c>
      <c r="D841">
        <f t="shared" si="27"/>
        <v>0</v>
      </c>
    </row>
    <row r="842" spans="1:4" hidden="1" x14ac:dyDescent="0.25">
      <c r="A842">
        <f>IFERROR(HLOOKUP($A$1,'liste CIRCUIT'!$B:$AM,842,0)," ")</f>
        <v>0</v>
      </c>
      <c r="B842">
        <f>IFERROR(HLOOKUP($B$1,'liste CIRCUIT'!$B:$AM,842,0)," ")</f>
        <v>0</v>
      </c>
      <c r="C842">
        <f t="shared" si="26"/>
        <v>0</v>
      </c>
      <c r="D842">
        <f t="shared" si="27"/>
        <v>0</v>
      </c>
    </row>
    <row r="843" spans="1:4" hidden="1" x14ac:dyDescent="0.25">
      <c r="A843">
        <f>IFERROR(HLOOKUP($A$1,'liste CIRCUIT'!$B:$AM,843,0)," ")</f>
        <v>1</v>
      </c>
      <c r="B843">
        <f>IFERROR(HLOOKUP($B$1,'liste CIRCUIT'!$B:$AM,843,0)," ")</f>
        <v>1</v>
      </c>
      <c r="C843">
        <f t="shared" si="26"/>
        <v>2</v>
      </c>
      <c r="D843">
        <f t="shared" si="27"/>
        <v>0</v>
      </c>
    </row>
    <row r="844" spans="1:4" hidden="1" x14ac:dyDescent="0.25">
      <c r="A844">
        <f>IFERROR(HLOOKUP($A$1,'liste CIRCUIT'!$B:$AM,844,0)," ")</f>
        <v>1</v>
      </c>
      <c r="B844">
        <f>IFERROR(HLOOKUP($B$1,'liste CIRCUIT'!$B:$AM,844,0)," ")</f>
        <v>1</v>
      </c>
      <c r="C844">
        <f t="shared" si="26"/>
        <v>2</v>
      </c>
      <c r="D844">
        <f t="shared" si="27"/>
        <v>0</v>
      </c>
    </row>
    <row r="845" spans="1:4" hidden="1" x14ac:dyDescent="0.25">
      <c r="A845">
        <f>IFERROR(HLOOKUP($A$1,'liste CIRCUIT'!$B:$AM,845,0)," ")</f>
        <v>1</v>
      </c>
      <c r="B845">
        <f>IFERROR(HLOOKUP($B$1,'liste CIRCUIT'!$B:$AM,845,0)," ")</f>
        <v>1</v>
      </c>
      <c r="C845">
        <f t="shared" si="26"/>
        <v>2</v>
      </c>
      <c r="D845">
        <f t="shared" si="27"/>
        <v>0</v>
      </c>
    </row>
    <row r="846" spans="1:4" hidden="1" x14ac:dyDescent="0.25">
      <c r="A846">
        <f>IFERROR(HLOOKUP($A$1,'liste CIRCUIT'!$B:$AM,846,0)," ")</f>
        <v>0</v>
      </c>
      <c r="B846">
        <f>IFERROR(HLOOKUP($B$1,'liste CIRCUIT'!$B:$AM,846,0)," ")</f>
        <v>0</v>
      </c>
      <c r="C846">
        <f t="shared" si="26"/>
        <v>0</v>
      </c>
      <c r="D846">
        <f t="shared" si="27"/>
        <v>0</v>
      </c>
    </row>
    <row r="847" spans="1:4" hidden="1" x14ac:dyDescent="0.25">
      <c r="A847">
        <f>IFERROR(HLOOKUP($A$1,'liste CIRCUIT'!$B:$AM,847,0)," ")</f>
        <v>0</v>
      </c>
      <c r="B847">
        <f>IFERROR(HLOOKUP($B$1,'liste CIRCUIT'!$B:$AM,847,0)," ")</f>
        <v>0</v>
      </c>
      <c r="C847">
        <f t="shared" si="26"/>
        <v>0</v>
      </c>
      <c r="D847">
        <f t="shared" si="27"/>
        <v>0</v>
      </c>
    </row>
    <row r="848" spans="1:4" hidden="1" x14ac:dyDescent="0.25">
      <c r="A848">
        <f>IFERROR(HLOOKUP($A$1,'liste CIRCUIT'!$B:$AM,848,0)," ")</f>
        <v>0</v>
      </c>
      <c r="B848">
        <f>IFERROR(HLOOKUP($B$1,'liste CIRCUIT'!$B:$AM,848,0)," ")</f>
        <v>0</v>
      </c>
      <c r="C848">
        <f t="shared" si="26"/>
        <v>0</v>
      </c>
      <c r="D848">
        <f t="shared" si="27"/>
        <v>0</v>
      </c>
    </row>
    <row r="849" spans="1:4" hidden="1" x14ac:dyDescent="0.25">
      <c r="A849">
        <f>IFERROR(HLOOKUP($A$1,'liste CIRCUIT'!$B:$AM,849,0)," ")</f>
        <v>0</v>
      </c>
      <c r="B849">
        <f>IFERROR(HLOOKUP($B$1,'liste CIRCUIT'!$B:$AM,849,0)," ")</f>
        <v>0</v>
      </c>
      <c r="C849">
        <f t="shared" si="26"/>
        <v>0</v>
      </c>
      <c r="D849">
        <f t="shared" si="27"/>
        <v>0</v>
      </c>
    </row>
    <row r="850" spans="1:4" hidden="1" x14ac:dyDescent="0.25">
      <c r="A850">
        <f>IFERROR(HLOOKUP($A$1,'liste CIRCUIT'!$B:$AM,850,0)," ")</f>
        <v>0</v>
      </c>
      <c r="B850">
        <f>IFERROR(HLOOKUP($B$1,'liste CIRCUIT'!$B:$AM,850,0)," ")</f>
        <v>0</v>
      </c>
      <c r="C850">
        <f t="shared" si="26"/>
        <v>0</v>
      </c>
      <c r="D850">
        <f t="shared" si="27"/>
        <v>0</v>
      </c>
    </row>
    <row r="851" spans="1:4" hidden="1" x14ac:dyDescent="0.25">
      <c r="A851">
        <f>IFERROR(HLOOKUP($A$1,'liste CIRCUIT'!$B:$AM,851,0)," ")</f>
        <v>0</v>
      </c>
      <c r="B851">
        <f>IFERROR(HLOOKUP($B$1,'liste CIRCUIT'!$B:$AM,851,0)," ")</f>
        <v>0</v>
      </c>
      <c r="C851">
        <f t="shared" si="26"/>
        <v>0</v>
      </c>
      <c r="D851">
        <f t="shared" si="27"/>
        <v>0</v>
      </c>
    </row>
    <row r="852" spans="1:4" hidden="1" x14ac:dyDescent="0.25">
      <c r="A852">
        <f>IFERROR(HLOOKUP($A$1,'liste CIRCUIT'!$B:$AM,852,0)," ")</f>
        <v>0</v>
      </c>
      <c r="B852">
        <f>IFERROR(HLOOKUP($B$1,'liste CIRCUIT'!$B:$AM,852,0)," ")</f>
        <v>0</v>
      </c>
      <c r="C852">
        <f t="shared" si="26"/>
        <v>0</v>
      </c>
      <c r="D852">
        <f t="shared" si="27"/>
        <v>0</v>
      </c>
    </row>
    <row r="853" spans="1:4" hidden="1" x14ac:dyDescent="0.25">
      <c r="A853">
        <f>IFERROR(HLOOKUP($A$1,'liste CIRCUIT'!$B:$AM,853,0)," ")</f>
        <v>0</v>
      </c>
      <c r="B853">
        <f>IFERROR(HLOOKUP($B$1,'liste CIRCUIT'!$B:$AM,853,0)," ")</f>
        <v>0</v>
      </c>
      <c r="C853">
        <f t="shared" si="26"/>
        <v>0</v>
      </c>
      <c r="D853">
        <f t="shared" si="27"/>
        <v>0</v>
      </c>
    </row>
    <row r="854" spans="1:4" hidden="1" x14ac:dyDescent="0.25">
      <c r="A854">
        <f>IFERROR(HLOOKUP($A$1,'liste CIRCUIT'!$B:$AM,854,0)," ")</f>
        <v>0</v>
      </c>
      <c r="B854">
        <f>IFERROR(HLOOKUP($B$1,'liste CIRCUIT'!$B:$AM,854,0)," ")</f>
        <v>0</v>
      </c>
      <c r="C854">
        <f t="shared" si="26"/>
        <v>0</v>
      </c>
      <c r="D854">
        <f t="shared" si="27"/>
        <v>0</v>
      </c>
    </row>
    <row r="855" spans="1:4" hidden="1" x14ac:dyDescent="0.25">
      <c r="A855">
        <f>IFERROR(HLOOKUP($A$1,'liste CIRCUIT'!$B:$AM,855,0)," ")</f>
        <v>0</v>
      </c>
      <c r="B855">
        <f>IFERROR(HLOOKUP($B$1,'liste CIRCUIT'!$B:$AM,855,0)," ")</f>
        <v>0</v>
      </c>
      <c r="C855">
        <f t="shared" si="26"/>
        <v>0</v>
      </c>
      <c r="D855">
        <f t="shared" si="27"/>
        <v>0</v>
      </c>
    </row>
    <row r="856" spans="1:4" hidden="1" x14ac:dyDescent="0.25">
      <c r="A856">
        <f>IFERROR(HLOOKUP($A$1,'liste CIRCUIT'!$B:$AM,856,0)," ")</f>
        <v>0</v>
      </c>
      <c r="B856">
        <f>IFERROR(HLOOKUP($B$1,'liste CIRCUIT'!$B:$AM,856,0)," ")</f>
        <v>0</v>
      </c>
      <c r="C856">
        <f t="shared" si="26"/>
        <v>0</v>
      </c>
      <c r="D856">
        <f t="shared" si="27"/>
        <v>0</v>
      </c>
    </row>
    <row r="857" spans="1:4" hidden="1" x14ac:dyDescent="0.25">
      <c r="A857">
        <f>IFERROR(HLOOKUP($A$1,'liste CIRCUIT'!$B:$AM,857,0)," ")</f>
        <v>0</v>
      </c>
      <c r="B857">
        <f>IFERROR(HLOOKUP($B$1,'liste CIRCUIT'!$B:$AM,857,0)," ")</f>
        <v>0</v>
      </c>
      <c r="C857">
        <f t="shared" si="26"/>
        <v>0</v>
      </c>
      <c r="D857">
        <f t="shared" si="27"/>
        <v>0</v>
      </c>
    </row>
    <row r="858" spans="1:4" hidden="1" x14ac:dyDescent="0.25">
      <c r="A858">
        <f>IFERROR(HLOOKUP($A$1,'liste CIRCUIT'!$B:$AM,858,0)," ")</f>
        <v>0</v>
      </c>
      <c r="B858">
        <f>IFERROR(HLOOKUP($B$1,'liste CIRCUIT'!$B:$AM,858,0)," ")</f>
        <v>0</v>
      </c>
      <c r="C858">
        <f t="shared" si="26"/>
        <v>0</v>
      </c>
      <c r="D858">
        <f t="shared" si="27"/>
        <v>0</v>
      </c>
    </row>
    <row r="859" spans="1:4" hidden="1" x14ac:dyDescent="0.25">
      <c r="A859">
        <f>IFERROR(HLOOKUP($A$1,'liste CIRCUIT'!$B:$AM,859,0)," ")</f>
        <v>0</v>
      </c>
      <c r="B859">
        <f>IFERROR(HLOOKUP($B$1,'liste CIRCUIT'!$B:$AM,859,0)," ")</f>
        <v>0</v>
      </c>
      <c r="C859">
        <f t="shared" si="26"/>
        <v>0</v>
      </c>
      <c r="D859">
        <f t="shared" si="27"/>
        <v>0</v>
      </c>
    </row>
    <row r="860" spans="1:4" hidden="1" x14ac:dyDescent="0.25">
      <c r="A860">
        <f>IFERROR(HLOOKUP($A$1,'liste CIRCUIT'!$B:$AM,860,0)," ")</f>
        <v>0</v>
      </c>
      <c r="B860">
        <f>IFERROR(HLOOKUP($B$1,'liste CIRCUIT'!$B:$AM,860,0)," ")</f>
        <v>0</v>
      </c>
      <c r="C860">
        <f t="shared" si="26"/>
        <v>0</v>
      </c>
      <c r="D860">
        <f t="shared" si="27"/>
        <v>0</v>
      </c>
    </row>
    <row r="861" spans="1:4" hidden="1" x14ac:dyDescent="0.25">
      <c r="A861">
        <f>IFERROR(HLOOKUP($A$1,'liste CIRCUIT'!$B:$AM,861,0)," ")</f>
        <v>0</v>
      </c>
      <c r="B861">
        <f>IFERROR(HLOOKUP($B$1,'liste CIRCUIT'!$B:$AM,861,0)," ")</f>
        <v>0</v>
      </c>
      <c r="C861">
        <f t="shared" si="26"/>
        <v>0</v>
      </c>
      <c r="D861">
        <f t="shared" si="27"/>
        <v>0</v>
      </c>
    </row>
    <row r="862" spans="1:4" hidden="1" x14ac:dyDescent="0.25">
      <c r="A862">
        <f>IFERROR(HLOOKUP($A$1,'liste CIRCUIT'!$B:$AM,862,0)," ")</f>
        <v>0</v>
      </c>
      <c r="B862">
        <f>IFERROR(HLOOKUP($B$1,'liste CIRCUIT'!$B:$AM,862,0)," ")</f>
        <v>0</v>
      </c>
      <c r="C862">
        <f t="shared" si="26"/>
        <v>0</v>
      </c>
      <c r="D862">
        <f t="shared" si="27"/>
        <v>0</v>
      </c>
    </row>
    <row r="863" spans="1:4" hidden="1" x14ac:dyDescent="0.25">
      <c r="A863">
        <f>IFERROR(HLOOKUP($A$1,'liste CIRCUIT'!$B:$AM,863,0)," ")</f>
        <v>0</v>
      </c>
      <c r="B863">
        <f>IFERROR(HLOOKUP($B$1,'liste CIRCUIT'!$B:$AM,863,0)," ")</f>
        <v>0</v>
      </c>
      <c r="C863">
        <f t="shared" si="26"/>
        <v>0</v>
      </c>
      <c r="D863">
        <f t="shared" si="27"/>
        <v>0</v>
      </c>
    </row>
    <row r="864" spans="1:4" hidden="1" x14ac:dyDescent="0.25">
      <c r="A864">
        <f>IFERROR(HLOOKUP($A$1,'liste CIRCUIT'!$B:$AM,864,0)," ")</f>
        <v>0</v>
      </c>
      <c r="B864">
        <f>IFERROR(HLOOKUP($B$1,'liste CIRCUIT'!$B:$AM,864,0)," ")</f>
        <v>0</v>
      </c>
      <c r="C864">
        <f t="shared" si="26"/>
        <v>0</v>
      </c>
      <c r="D864">
        <f t="shared" si="27"/>
        <v>0</v>
      </c>
    </row>
    <row r="865" spans="1:4" hidden="1" x14ac:dyDescent="0.25">
      <c r="A865">
        <f>IFERROR(HLOOKUP($A$1,'liste CIRCUIT'!$B:$AM,865,0)," ")</f>
        <v>0</v>
      </c>
      <c r="B865">
        <f>IFERROR(HLOOKUP($B$1,'liste CIRCUIT'!$B:$AM,865,0)," ")</f>
        <v>0</v>
      </c>
      <c r="C865">
        <f t="shared" si="26"/>
        <v>0</v>
      </c>
      <c r="D865">
        <f t="shared" si="27"/>
        <v>0</v>
      </c>
    </row>
    <row r="866" spans="1:4" hidden="1" x14ac:dyDescent="0.25">
      <c r="A866">
        <f>IFERROR(HLOOKUP($A$1,'liste CIRCUIT'!$B:$AM,866,0)," ")</f>
        <v>0</v>
      </c>
      <c r="B866">
        <f>IFERROR(HLOOKUP($B$1,'liste CIRCUIT'!$B:$AM,866,0)," ")</f>
        <v>0</v>
      </c>
      <c r="C866">
        <f t="shared" si="26"/>
        <v>0</v>
      </c>
      <c r="D866">
        <f t="shared" si="27"/>
        <v>0</v>
      </c>
    </row>
    <row r="867" spans="1:4" hidden="1" x14ac:dyDescent="0.25">
      <c r="A867">
        <f>IFERROR(HLOOKUP($A$1,'liste CIRCUIT'!$B:$AM,867,0)," ")</f>
        <v>0</v>
      </c>
      <c r="B867">
        <f>IFERROR(HLOOKUP($B$1,'liste CIRCUIT'!$B:$AM,867,0)," ")</f>
        <v>0</v>
      </c>
      <c r="C867">
        <f t="shared" si="26"/>
        <v>0</v>
      </c>
      <c r="D867">
        <f t="shared" si="27"/>
        <v>0</v>
      </c>
    </row>
    <row r="868" spans="1:4" hidden="1" x14ac:dyDescent="0.25">
      <c r="A868">
        <f>IFERROR(HLOOKUP($A$1,'liste CIRCUIT'!$B:$AM,868,0)," ")</f>
        <v>0</v>
      </c>
      <c r="B868">
        <f>IFERROR(HLOOKUP($B$1,'liste CIRCUIT'!$B:$AM,868,0)," ")</f>
        <v>0</v>
      </c>
      <c r="C868">
        <f t="shared" si="26"/>
        <v>0</v>
      </c>
      <c r="D868">
        <f t="shared" si="27"/>
        <v>0</v>
      </c>
    </row>
    <row r="869" spans="1:4" hidden="1" x14ac:dyDescent="0.25">
      <c r="A869">
        <f>IFERROR(HLOOKUP($A$1,'liste CIRCUIT'!$B:$AM,869,0)," ")</f>
        <v>0</v>
      </c>
      <c r="B869">
        <f>IFERROR(HLOOKUP($B$1,'liste CIRCUIT'!$B:$AM,869,0)," ")</f>
        <v>0</v>
      </c>
      <c r="C869">
        <f t="shared" si="26"/>
        <v>0</v>
      </c>
      <c r="D869">
        <f t="shared" si="27"/>
        <v>0</v>
      </c>
    </row>
    <row r="870" spans="1:4" hidden="1" x14ac:dyDescent="0.25">
      <c r="A870">
        <f>IFERROR(HLOOKUP($A$1,'liste CIRCUIT'!$B:$AM,870,0)," ")</f>
        <v>0</v>
      </c>
      <c r="B870">
        <f>IFERROR(HLOOKUP($B$1,'liste CIRCUIT'!$B:$AM,870,0)," ")</f>
        <v>0</v>
      </c>
      <c r="C870">
        <f t="shared" si="26"/>
        <v>0</v>
      </c>
      <c r="D870">
        <f t="shared" si="27"/>
        <v>0</v>
      </c>
    </row>
    <row r="871" spans="1:4" hidden="1" x14ac:dyDescent="0.25">
      <c r="A871">
        <f>IFERROR(HLOOKUP($A$1,'liste CIRCUIT'!$B:$AM,871,0)," ")</f>
        <v>0</v>
      </c>
      <c r="B871">
        <f>IFERROR(HLOOKUP($B$1,'liste CIRCUIT'!$B:$AM,871,0)," ")</f>
        <v>0</v>
      </c>
      <c r="C871">
        <f t="shared" si="26"/>
        <v>0</v>
      </c>
      <c r="D871">
        <f t="shared" si="27"/>
        <v>0</v>
      </c>
    </row>
    <row r="872" spans="1:4" hidden="1" x14ac:dyDescent="0.25">
      <c r="A872">
        <f>IFERROR(HLOOKUP($A$1,'liste CIRCUIT'!$B:$AM,872,0)," ")</f>
        <v>0</v>
      </c>
      <c r="B872">
        <f>IFERROR(HLOOKUP($B$1,'liste CIRCUIT'!$B:$AM,872,0)," ")</f>
        <v>0</v>
      </c>
      <c r="C872">
        <f t="shared" si="26"/>
        <v>0</v>
      </c>
      <c r="D872">
        <f t="shared" si="27"/>
        <v>0</v>
      </c>
    </row>
    <row r="873" spans="1:4" hidden="1" x14ac:dyDescent="0.25">
      <c r="A873">
        <f>IFERROR(HLOOKUP($A$1,'liste CIRCUIT'!$B:$AM,873,0)," ")</f>
        <v>0</v>
      </c>
      <c r="B873">
        <f>IFERROR(HLOOKUP($B$1,'liste CIRCUIT'!$B:$AM,873,0)," ")</f>
        <v>0</v>
      </c>
      <c r="C873">
        <f t="shared" si="26"/>
        <v>0</v>
      </c>
      <c r="D873">
        <f t="shared" si="27"/>
        <v>0</v>
      </c>
    </row>
    <row r="874" spans="1:4" hidden="1" x14ac:dyDescent="0.25">
      <c r="A874">
        <f>IFERROR(HLOOKUP($A$1,'liste CIRCUIT'!$B:$AM,874,0)," ")</f>
        <v>0</v>
      </c>
      <c r="B874">
        <f>IFERROR(HLOOKUP($B$1,'liste CIRCUIT'!$B:$AM,874,0)," ")</f>
        <v>0</v>
      </c>
      <c r="C874">
        <f t="shared" si="26"/>
        <v>0</v>
      </c>
      <c r="D874">
        <f t="shared" si="27"/>
        <v>0</v>
      </c>
    </row>
    <row r="875" spans="1:4" hidden="1" x14ac:dyDescent="0.25">
      <c r="A875">
        <f>IFERROR(HLOOKUP($A$1,'liste CIRCUIT'!$B:$AM,875,0)," ")</f>
        <v>0</v>
      </c>
      <c r="B875">
        <f>IFERROR(HLOOKUP($B$1,'liste CIRCUIT'!$B:$AM,875,0)," ")</f>
        <v>0</v>
      </c>
      <c r="C875">
        <f t="shared" si="26"/>
        <v>0</v>
      </c>
      <c r="D875">
        <f t="shared" si="27"/>
        <v>0</v>
      </c>
    </row>
    <row r="876" spans="1:4" hidden="1" x14ac:dyDescent="0.25">
      <c r="A876">
        <f>IFERROR(HLOOKUP($A$1,'liste CIRCUIT'!$B:$AM,876,0)," ")</f>
        <v>0</v>
      </c>
      <c r="B876">
        <f>IFERROR(HLOOKUP($B$1,'liste CIRCUIT'!$B:$AM,876,0)," ")</f>
        <v>0</v>
      </c>
      <c r="C876">
        <f t="shared" si="26"/>
        <v>0</v>
      </c>
      <c r="D876">
        <f t="shared" si="27"/>
        <v>0</v>
      </c>
    </row>
    <row r="877" spans="1:4" hidden="1" x14ac:dyDescent="0.25">
      <c r="A877">
        <f>IFERROR(HLOOKUP($A$1,'liste CIRCUIT'!$B:$AM,877,0)," ")</f>
        <v>0</v>
      </c>
      <c r="B877">
        <f>IFERROR(HLOOKUP($B$1,'liste CIRCUIT'!$B:$AM,877,0)," ")</f>
        <v>0</v>
      </c>
      <c r="C877">
        <f t="shared" si="26"/>
        <v>0</v>
      </c>
      <c r="D877">
        <f t="shared" si="27"/>
        <v>0</v>
      </c>
    </row>
    <row r="878" spans="1:4" hidden="1" x14ac:dyDescent="0.25">
      <c r="A878">
        <f>IFERROR(HLOOKUP($A$1,'liste CIRCUIT'!$B:$AM,878,0)," ")</f>
        <v>0</v>
      </c>
      <c r="B878">
        <f>IFERROR(HLOOKUP($B$1,'liste CIRCUIT'!$B:$AM,878,0)," ")</f>
        <v>0</v>
      </c>
      <c r="C878">
        <f t="shared" si="26"/>
        <v>0</v>
      </c>
      <c r="D878">
        <f t="shared" si="27"/>
        <v>0</v>
      </c>
    </row>
    <row r="879" spans="1:4" hidden="1" x14ac:dyDescent="0.25">
      <c r="A879">
        <f>IFERROR(HLOOKUP($A$1,'liste CIRCUIT'!$B:$AM,879,0)," ")</f>
        <v>0</v>
      </c>
      <c r="B879">
        <f>IFERROR(HLOOKUP($B$1,'liste CIRCUIT'!$B:$AM,879,0)," ")</f>
        <v>0</v>
      </c>
      <c r="C879">
        <f t="shared" si="26"/>
        <v>0</v>
      </c>
      <c r="D879">
        <f t="shared" si="27"/>
        <v>0</v>
      </c>
    </row>
    <row r="880" spans="1:4" hidden="1" x14ac:dyDescent="0.25">
      <c r="A880">
        <f>IFERROR(HLOOKUP($A$1,'liste CIRCUIT'!$B:$AM,880,0)," ")</f>
        <v>0</v>
      </c>
      <c r="B880">
        <f>IFERROR(HLOOKUP($B$1,'liste CIRCUIT'!$B:$AM,880,0)," ")</f>
        <v>0</v>
      </c>
      <c r="C880">
        <f t="shared" si="26"/>
        <v>0</v>
      </c>
      <c r="D880">
        <f t="shared" si="27"/>
        <v>0</v>
      </c>
    </row>
    <row r="881" spans="1:4" hidden="1" x14ac:dyDescent="0.25">
      <c r="A881">
        <f>IFERROR(HLOOKUP($A$1,'liste CIRCUIT'!$B:$AM,881,0)," ")</f>
        <v>0</v>
      </c>
      <c r="B881">
        <f>IFERROR(HLOOKUP($B$1,'liste CIRCUIT'!$B:$AM,881,0)," ")</f>
        <v>0</v>
      </c>
      <c r="C881">
        <f t="shared" si="26"/>
        <v>0</v>
      </c>
      <c r="D881">
        <f t="shared" si="27"/>
        <v>0</v>
      </c>
    </row>
    <row r="882" spans="1:4" hidden="1" x14ac:dyDescent="0.25">
      <c r="A882">
        <f>IFERROR(HLOOKUP($A$1,'liste CIRCUIT'!$B:$AM,882,0)," ")</f>
        <v>0</v>
      </c>
      <c r="B882">
        <f>IFERROR(HLOOKUP($B$1,'liste CIRCUIT'!$B:$AM,882,0)," ")</f>
        <v>0</v>
      </c>
      <c r="C882">
        <f t="shared" si="26"/>
        <v>0</v>
      </c>
      <c r="D882">
        <f t="shared" si="27"/>
        <v>0</v>
      </c>
    </row>
    <row r="883" spans="1:4" hidden="1" x14ac:dyDescent="0.25">
      <c r="A883">
        <f>IFERROR(HLOOKUP($A$1,'liste CIRCUIT'!$B:$AM,883,0)," ")</f>
        <v>0</v>
      </c>
      <c r="B883">
        <f>IFERROR(HLOOKUP($B$1,'liste CIRCUIT'!$B:$AM,883,0)," ")</f>
        <v>0</v>
      </c>
      <c r="C883">
        <f t="shared" si="26"/>
        <v>0</v>
      </c>
      <c r="D883">
        <f t="shared" si="27"/>
        <v>0</v>
      </c>
    </row>
    <row r="884" spans="1:4" hidden="1" x14ac:dyDescent="0.25">
      <c r="A884">
        <f>IFERROR(HLOOKUP($A$1,'liste CIRCUIT'!$B:$AM,884,0)," ")</f>
        <v>0</v>
      </c>
      <c r="B884">
        <f>IFERROR(HLOOKUP($B$1,'liste CIRCUIT'!$B:$AM,884,0)," ")</f>
        <v>0</v>
      </c>
      <c r="C884">
        <f t="shared" si="26"/>
        <v>0</v>
      </c>
      <c r="D884">
        <f t="shared" si="27"/>
        <v>0</v>
      </c>
    </row>
    <row r="885" spans="1:4" hidden="1" x14ac:dyDescent="0.25">
      <c r="A885">
        <f>IFERROR(HLOOKUP($A$1,'liste CIRCUIT'!$B:$AM,885,0)," ")</f>
        <v>0</v>
      </c>
      <c r="B885">
        <f>IFERROR(HLOOKUP($B$1,'liste CIRCUIT'!$B:$AM,885,0)," ")</f>
        <v>0</v>
      </c>
      <c r="C885">
        <f t="shared" si="26"/>
        <v>0</v>
      </c>
      <c r="D885">
        <f t="shared" si="27"/>
        <v>0</v>
      </c>
    </row>
    <row r="886" spans="1:4" hidden="1" x14ac:dyDescent="0.25">
      <c r="A886">
        <f>IFERROR(HLOOKUP($A$1,'liste CIRCUIT'!$B:$AM,886,0)," ")</f>
        <v>0</v>
      </c>
      <c r="B886">
        <f>IFERROR(HLOOKUP($B$1,'liste CIRCUIT'!$B:$AM,886,0)," ")</f>
        <v>1</v>
      </c>
      <c r="C886">
        <f t="shared" si="26"/>
        <v>1</v>
      </c>
      <c r="D886">
        <f t="shared" si="27"/>
        <v>-1</v>
      </c>
    </row>
    <row r="887" spans="1:4" hidden="1" x14ac:dyDescent="0.25">
      <c r="A887">
        <f>IFERROR(HLOOKUP($A$1,'liste CIRCUIT'!$B:$AM,887,0)," ")</f>
        <v>0</v>
      </c>
      <c r="B887">
        <f>IFERROR(HLOOKUP($B$1,'liste CIRCUIT'!$B:$AM,887,0)," ")</f>
        <v>0</v>
      </c>
      <c r="C887">
        <f t="shared" si="26"/>
        <v>0</v>
      </c>
      <c r="D887">
        <f t="shared" si="27"/>
        <v>0</v>
      </c>
    </row>
    <row r="888" spans="1:4" hidden="1" x14ac:dyDescent="0.25">
      <c r="A888">
        <f>IFERROR(HLOOKUP($A$1,'liste CIRCUIT'!$B:$AM,888,0)," ")</f>
        <v>0</v>
      </c>
      <c r="B888">
        <f>IFERROR(HLOOKUP($B$1,'liste CIRCUIT'!$B:$AM,888,0)," ")</f>
        <v>0</v>
      </c>
      <c r="C888">
        <f t="shared" si="26"/>
        <v>0</v>
      </c>
      <c r="D888">
        <f t="shared" si="27"/>
        <v>0</v>
      </c>
    </row>
    <row r="889" spans="1:4" hidden="1" x14ac:dyDescent="0.25">
      <c r="A889">
        <f>IFERROR(HLOOKUP($A$1,'liste CIRCUIT'!$B:$AM,889,0)," ")</f>
        <v>1</v>
      </c>
      <c r="B889">
        <f>IFERROR(HLOOKUP($B$1,'liste CIRCUIT'!$B:$AM,889,0)," ")</f>
        <v>0</v>
      </c>
      <c r="C889">
        <f t="shared" si="26"/>
        <v>1</v>
      </c>
      <c r="D889">
        <f t="shared" si="27"/>
        <v>1</v>
      </c>
    </row>
    <row r="890" spans="1:4" hidden="1" x14ac:dyDescent="0.25">
      <c r="A890">
        <f>IFERROR(HLOOKUP($A$1,'liste CIRCUIT'!$B:$AM,890,0)," ")</f>
        <v>0</v>
      </c>
      <c r="B890">
        <f>IFERROR(HLOOKUP($B$1,'liste CIRCUIT'!$B:$AM,890,0)," ")</f>
        <v>0</v>
      </c>
      <c r="C890">
        <f t="shared" si="26"/>
        <v>0</v>
      </c>
      <c r="D890">
        <f t="shared" si="27"/>
        <v>0</v>
      </c>
    </row>
    <row r="891" spans="1:4" hidden="1" x14ac:dyDescent="0.25">
      <c r="A891">
        <f>IFERROR(HLOOKUP($A$1,'liste CIRCUIT'!$B:$AM,891,0)," ")</f>
        <v>0</v>
      </c>
      <c r="B891">
        <f>IFERROR(HLOOKUP($B$1,'liste CIRCUIT'!$B:$AM,891,0)," ")</f>
        <v>0</v>
      </c>
      <c r="C891">
        <f t="shared" si="26"/>
        <v>0</v>
      </c>
      <c r="D891">
        <f t="shared" si="27"/>
        <v>0</v>
      </c>
    </row>
    <row r="892" spans="1:4" hidden="1" x14ac:dyDescent="0.25">
      <c r="A892">
        <f>IFERROR(HLOOKUP($A$1,'liste CIRCUIT'!$B:$AM,892,0)," ")</f>
        <v>0</v>
      </c>
      <c r="B892">
        <f>IFERROR(HLOOKUP($B$1,'liste CIRCUIT'!$B:$AM,892,0)," ")</f>
        <v>0</v>
      </c>
      <c r="C892">
        <f t="shared" si="26"/>
        <v>0</v>
      </c>
      <c r="D892">
        <f t="shared" si="27"/>
        <v>0</v>
      </c>
    </row>
    <row r="893" spans="1:4" hidden="1" x14ac:dyDescent="0.25">
      <c r="A893">
        <f>IFERROR(HLOOKUP($A$1,'liste CIRCUIT'!$B:$AM,893,0)," ")</f>
        <v>0</v>
      </c>
      <c r="B893">
        <f>IFERROR(HLOOKUP($B$1,'liste CIRCUIT'!$B:$AM,893,0)," ")</f>
        <v>0</v>
      </c>
      <c r="C893">
        <f t="shared" si="26"/>
        <v>0</v>
      </c>
      <c r="D893">
        <f t="shared" si="27"/>
        <v>0</v>
      </c>
    </row>
    <row r="894" spans="1:4" hidden="1" x14ac:dyDescent="0.25">
      <c r="A894">
        <f>IFERROR(HLOOKUP($A$1,'liste CIRCUIT'!$B:$AM,894,0)," ")</f>
        <v>0</v>
      </c>
      <c r="B894">
        <f>IFERROR(HLOOKUP($B$1,'liste CIRCUIT'!$B:$AM,894,0)," ")</f>
        <v>0</v>
      </c>
      <c r="C894">
        <f t="shared" si="26"/>
        <v>0</v>
      </c>
      <c r="D894">
        <f t="shared" si="27"/>
        <v>0</v>
      </c>
    </row>
    <row r="895" spans="1:4" hidden="1" x14ac:dyDescent="0.25">
      <c r="A895">
        <f>IFERROR(HLOOKUP($A$1,'liste CIRCUIT'!$B:$AM,895,0)," ")</f>
        <v>0</v>
      </c>
      <c r="B895">
        <f>IFERROR(HLOOKUP($B$1,'liste CIRCUIT'!$B:$AM,895,0)," ")</f>
        <v>0</v>
      </c>
      <c r="C895">
        <f t="shared" si="26"/>
        <v>0</v>
      </c>
      <c r="D895">
        <f t="shared" si="27"/>
        <v>0</v>
      </c>
    </row>
    <row r="896" spans="1:4" hidden="1" x14ac:dyDescent="0.25">
      <c r="A896">
        <f>IFERROR(HLOOKUP($A$1,'liste CIRCUIT'!$B:$AM,896,0)," ")</f>
        <v>1</v>
      </c>
      <c r="B896">
        <f>IFERROR(HLOOKUP($B$1,'liste CIRCUIT'!$B:$AM,896,0)," ")</f>
        <v>1</v>
      </c>
      <c r="C896">
        <f t="shared" si="26"/>
        <v>2</v>
      </c>
      <c r="D896">
        <f t="shared" si="27"/>
        <v>0</v>
      </c>
    </row>
    <row r="897" spans="1:4" hidden="1" x14ac:dyDescent="0.25">
      <c r="A897">
        <f>IFERROR(HLOOKUP($A$1,'liste CIRCUIT'!$B:$AM,897,0)," ")</f>
        <v>1</v>
      </c>
      <c r="B897">
        <f>IFERROR(HLOOKUP($B$1,'liste CIRCUIT'!$B:$AM,897,0)," ")</f>
        <v>1</v>
      </c>
      <c r="C897">
        <f t="shared" si="26"/>
        <v>2</v>
      </c>
      <c r="D897">
        <f t="shared" si="27"/>
        <v>0</v>
      </c>
    </row>
    <row r="898" spans="1:4" hidden="1" x14ac:dyDescent="0.25">
      <c r="A898">
        <f>IFERROR(HLOOKUP($A$1,'liste CIRCUIT'!$B:$AM,898,0)," ")</f>
        <v>0</v>
      </c>
      <c r="B898">
        <f>IFERROR(HLOOKUP($B$1,'liste CIRCUIT'!$B:$AM,898,0)," ")</f>
        <v>0</v>
      </c>
      <c r="C898">
        <f t="shared" si="26"/>
        <v>0</v>
      </c>
      <c r="D898">
        <f t="shared" si="27"/>
        <v>0</v>
      </c>
    </row>
    <row r="899" spans="1:4" hidden="1" x14ac:dyDescent="0.25">
      <c r="A899">
        <f>IFERROR(HLOOKUP($A$1,'liste CIRCUIT'!$B:$AM,899,0)," ")</f>
        <v>0</v>
      </c>
      <c r="B899">
        <f>IFERROR(HLOOKUP($B$1,'liste CIRCUIT'!$B:$AM,899,0)," ")</f>
        <v>0</v>
      </c>
      <c r="C899">
        <f t="shared" ref="C899:C962" si="28">SUM(A899:B899)</f>
        <v>0</v>
      </c>
      <c r="D899">
        <f t="shared" ref="D899:D962" si="29">A899-B899</f>
        <v>0</v>
      </c>
    </row>
    <row r="900" spans="1:4" hidden="1" x14ac:dyDescent="0.25">
      <c r="A900">
        <f>IFERROR(HLOOKUP($A$1,'liste CIRCUIT'!$B:$AM,900,0)," ")</f>
        <v>1</v>
      </c>
      <c r="B900">
        <f>IFERROR(HLOOKUP($B$1,'liste CIRCUIT'!$B:$AM,900,0)," ")</f>
        <v>0</v>
      </c>
      <c r="C900">
        <f t="shared" si="28"/>
        <v>1</v>
      </c>
      <c r="D900">
        <f t="shared" si="29"/>
        <v>1</v>
      </c>
    </row>
    <row r="901" spans="1:4" hidden="1" x14ac:dyDescent="0.25">
      <c r="A901">
        <f>IFERROR(HLOOKUP($A$1,'liste CIRCUIT'!$B:$AM,901,0)," ")</f>
        <v>0</v>
      </c>
      <c r="B901">
        <f>IFERROR(HLOOKUP($B$1,'liste CIRCUIT'!$B:$AM,901,0)," ")</f>
        <v>0</v>
      </c>
      <c r="C901">
        <f t="shared" si="28"/>
        <v>0</v>
      </c>
      <c r="D901">
        <f t="shared" si="29"/>
        <v>0</v>
      </c>
    </row>
    <row r="902" spans="1:4" hidden="1" x14ac:dyDescent="0.25">
      <c r="A902">
        <f>IFERROR(HLOOKUP($A$1,'liste CIRCUIT'!$B:$AM,902,0)," ")</f>
        <v>0</v>
      </c>
      <c r="B902">
        <f>IFERROR(HLOOKUP($B$1,'liste CIRCUIT'!$B:$AM,902,0)," ")</f>
        <v>1</v>
      </c>
      <c r="C902">
        <f t="shared" si="28"/>
        <v>1</v>
      </c>
      <c r="D902">
        <f t="shared" si="29"/>
        <v>-1</v>
      </c>
    </row>
    <row r="903" spans="1:4" hidden="1" x14ac:dyDescent="0.25">
      <c r="A903">
        <f>IFERROR(HLOOKUP($A$1,'liste CIRCUIT'!$B:$AM,903,0)," ")</f>
        <v>0</v>
      </c>
      <c r="B903">
        <f>IFERROR(HLOOKUP($B$1,'liste CIRCUIT'!$B:$AM,903,0)," ")</f>
        <v>0</v>
      </c>
      <c r="C903">
        <f t="shared" si="28"/>
        <v>0</v>
      </c>
      <c r="D903">
        <f t="shared" si="29"/>
        <v>0</v>
      </c>
    </row>
    <row r="904" spans="1:4" hidden="1" x14ac:dyDescent="0.25">
      <c r="A904">
        <f>IFERROR(HLOOKUP($A$1,'liste CIRCUIT'!$B:$AM,904,0)," ")</f>
        <v>0</v>
      </c>
      <c r="B904">
        <f>IFERROR(HLOOKUP($B$1,'liste CIRCUIT'!$B:$AM,904,0)," ")</f>
        <v>0</v>
      </c>
      <c r="C904">
        <f t="shared" si="28"/>
        <v>0</v>
      </c>
      <c r="D904">
        <f t="shared" si="29"/>
        <v>0</v>
      </c>
    </row>
    <row r="905" spans="1:4" hidden="1" x14ac:dyDescent="0.25">
      <c r="A905">
        <f>IFERROR(HLOOKUP($A$1,'liste CIRCUIT'!$B:$AM,905,0)," ")</f>
        <v>0</v>
      </c>
      <c r="B905">
        <f>IFERROR(HLOOKUP($B$1,'liste CIRCUIT'!$B:$AM,905,0)," ")</f>
        <v>0</v>
      </c>
      <c r="C905">
        <f t="shared" si="28"/>
        <v>0</v>
      </c>
      <c r="D905">
        <f t="shared" si="29"/>
        <v>0</v>
      </c>
    </row>
    <row r="906" spans="1:4" hidden="1" x14ac:dyDescent="0.25">
      <c r="A906">
        <f>IFERROR(HLOOKUP($A$1,'liste CIRCUIT'!$B:$AM,906,0)," ")</f>
        <v>0</v>
      </c>
      <c r="B906">
        <f>IFERROR(HLOOKUP($B$1,'liste CIRCUIT'!$B:$AM,906,0)," ")</f>
        <v>0</v>
      </c>
      <c r="C906">
        <f t="shared" si="28"/>
        <v>0</v>
      </c>
      <c r="D906">
        <f t="shared" si="29"/>
        <v>0</v>
      </c>
    </row>
    <row r="907" spans="1:4" hidden="1" x14ac:dyDescent="0.25">
      <c r="A907">
        <f>IFERROR(HLOOKUP($A$1,'liste CIRCUIT'!$B:$AM,907,0)," ")</f>
        <v>0</v>
      </c>
      <c r="B907">
        <f>IFERROR(HLOOKUP($B$1,'liste CIRCUIT'!$B:$AM,907,0)," ")</f>
        <v>0</v>
      </c>
      <c r="C907">
        <f t="shared" si="28"/>
        <v>0</v>
      </c>
      <c r="D907">
        <f t="shared" si="29"/>
        <v>0</v>
      </c>
    </row>
    <row r="908" spans="1:4" hidden="1" x14ac:dyDescent="0.25">
      <c r="A908">
        <f>IFERROR(HLOOKUP($A$1,'liste CIRCUIT'!$B:$AM,908,0)," ")</f>
        <v>1</v>
      </c>
      <c r="B908">
        <f>IFERROR(HLOOKUP($B$1,'liste CIRCUIT'!$B:$AM,908,0)," ")</f>
        <v>0</v>
      </c>
      <c r="C908">
        <f t="shared" si="28"/>
        <v>1</v>
      </c>
      <c r="D908">
        <f t="shared" si="29"/>
        <v>1</v>
      </c>
    </row>
    <row r="909" spans="1:4" hidden="1" x14ac:dyDescent="0.25">
      <c r="A909">
        <f>IFERROR(HLOOKUP($A$1,'liste CIRCUIT'!$B:$AM,909,0)," ")</f>
        <v>0</v>
      </c>
      <c r="B909">
        <f>IFERROR(HLOOKUP($B$1,'liste CIRCUIT'!$B:$AM,909,0)," ")</f>
        <v>0</v>
      </c>
      <c r="C909">
        <f t="shared" si="28"/>
        <v>0</v>
      </c>
      <c r="D909">
        <f t="shared" si="29"/>
        <v>0</v>
      </c>
    </row>
    <row r="910" spans="1:4" hidden="1" x14ac:dyDescent="0.25">
      <c r="A910">
        <f>IFERROR(HLOOKUP($A$1,'liste CIRCUIT'!$B:$AM,910,0)," ")</f>
        <v>0</v>
      </c>
      <c r="B910">
        <f>IFERROR(HLOOKUP($B$1,'liste CIRCUIT'!$B:$AM,910,0)," ")</f>
        <v>1</v>
      </c>
      <c r="C910">
        <f t="shared" si="28"/>
        <v>1</v>
      </c>
      <c r="D910">
        <f t="shared" si="29"/>
        <v>-1</v>
      </c>
    </row>
    <row r="911" spans="1:4" hidden="1" x14ac:dyDescent="0.25">
      <c r="A911">
        <f>IFERROR(HLOOKUP($A$1,'liste CIRCUIT'!$B:$AM,911,0)," ")</f>
        <v>0</v>
      </c>
      <c r="B911">
        <f>IFERROR(HLOOKUP($B$1,'liste CIRCUIT'!$B:$AM,911,0)," ")</f>
        <v>0</v>
      </c>
      <c r="C911">
        <f t="shared" si="28"/>
        <v>0</v>
      </c>
      <c r="D911">
        <f t="shared" si="29"/>
        <v>0</v>
      </c>
    </row>
    <row r="912" spans="1:4" hidden="1" x14ac:dyDescent="0.25">
      <c r="A912">
        <f>IFERROR(HLOOKUP($A$1,'liste CIRCUIT'!$B:$AM,912,0)," ")</f>
        <v>0</v>
      </c>
      <c r="B912">
        <f>IFERROR(HLOOKUP($B$1,'liste CIRCUIT'!$B:$AM,912,0)," ")</f>
        <v>0</v>
      </c>
      <c r="C912">
        <f t="shared" si="28"/>
        <v>0</v>
      </c>
      <c r="D912">
        <f t="shared" si="29"/>
        <v>0</v>
      </c>
    </row>
    <row r="913" spans="1:4" hidden="1" x14ac:dyDescent="0.25">
      <c r="A913">
        <f>IFERROR(HLOOKUP($A$1,'liste CIRCUIT'!$B:$AM,913,0)," ")</f>
        <v>0</v>
      </c>
      <c r="B913">
        <f>IFERROR(HLOOKUP($B$1,'liste CIRCUIT'!$B:$AM,913,0)," ")</f>
        <v>0</v>
      </c>
      <c r="C913">
        <f t="shared" si="28"/>
        <v>0</v>
      </c>
      <c r="D913">
        <f t="shared" si="29"/>
        <v>0</v>
      </c>
    </row>
    <row r="914" spans="1:4" hidden="1" x14ac:dyDescent="0.25">
      <c r="A914">
        <f>IFERROR(HLOOKUP($A$1,'liste CIRCUIT'!$B:$AM,914,0)," ")</f>
        <v>0</v>
      </c>
      <c r="B914">
        <f>IFERROR(HLOOKUP($B$1,'liste CIRCUIT'!$B:$AM,914,0)," ")</f>
        <v>0</v>
      </c>
      <c r="C914">
        <f t="shared" si="28"/>
        <v>0</v>
      </c>
      <c r="D914">
        <f t="shared" si="29"/>
        <v>0</v>
      </c>
    </row>
    <row r="915" spans="1:4" hidden="1" x14ac:dyDescent="0.25">
      <c r="A915">
        <f>IFERROR(HLOOKUP($A$1,'liste CIRCUIT'!$B:$AM,915,0)," ")</f>
        <v>0</v>
      </c>
      <c r="B915">
        <f>IFERROR(HLOOKUP($B$1,'liste CIRCUIT'!$B:$AM,915,0)," ")</f>
        <v>0</v>
      </c>
      <c r="C915">
        <f t="shared" si="28"/>
        <v>0</v>
      </c>
      <c r="D915">
        <f t="shared" si="29"/>
        <v>0</v>
      </c>
    </row>
    <row r="916" spans="1:4" hidden="1" x14ac:dyDescent="0.25">
      <c r="A916">
        <f>IFERROR(HLOOKUP($A$1,'liste CIRCUIT'!$B:$AM,916,0)," ")</f>
        <v>1</v>
      </c>
      <c r="B916">
        <f>IFERROR(HLOOKUP($B$1,'liste CIRCUIT'!$B:$AM,916,0)," ")</f>
        <v>0</v>
      </c>
      <c r="C916">
        <f t="shared" si="28"/>
        <v>1</v>
      </c>
      <c r="D916">
        <f t="shared" si="29"/>
        <v>1</v>
      </c>
    </row>
    <row r="917" spans="1:4" hidden="1" x14ac:dyDescent="0.25">
      <c r="A917">
        <f>IFERROR(HLOOKUP($A$1,'liste CIRCUIT'!$B:$AM,917,0)," ")</f>
        <v>0</v>
      </c>
      <c r="B917">
        <f>IFERROR(HLOOKUP($B$1,'liste CIRCUIT'!$B:$AM,917,0)," ")</f>
        <v>0</v>
      </c>
      <c r="C917">
        <f t="shared" si="28"/>
        <v>0</v>
      </c>
      <c r="D917">
        <f t="shared" si="29"/>
        <v>0</v>
      </c>
    </row>
    <row r="918" spans="1:4" hidden="1" x14ac:dyDescent="0.25">
      <c r="A918">
        <f>IFERROR(HLOOKUP($A$1,'liste CIRCUIT'!$B:$AM,918,0)," ")</f>
        <v>0</v>
      </c>
      <c r="B918">
        <f>IFERROR(HLOOKUP($B$1,'liste CIRCUIT'!$B:$AM,918,0)," ")</f>
        <v>1</v>
      </c>
      <c r="C918">
        <f t="shared" si="28"/>
        <v>1</v>
      </c>
      <c r="D918">
        <f t="shared" si="29"/>
        <v>-1</v>
      </c>
    </row>
    <row r="919" spans="1:4" hidden="1" x14ac:dyDescent="0.25">
      <c r="A919">
        <f>IFERROR(HLOOKUP($A$1,'liste CIRCUIT'!$B:$AM,919,0)," ")</f>
        <v>0</v>
      </c>
      <c r="B919">
        <f>IFERROR(HLOOKUP($B$1,'liste CIRCUIT'!$B:$AM,919,0)," ")</f>
        <v>0</v>
      </c>
      <c r="C919">
        <f t="shared" si="28"/>
        <v>0</v>
      </c>
      <c r="D919">
        <f t="shared" si="29"/>
        <v>0</v>
      </c>
    </row>
    <row r="920" spans="1:4" hidden="1" x14ac:dyDescent="0.25">
      <c r="A920">
        <f>IFERROR(HLOOKUP($A$1,'liste CIRCUIT'!$B:$AM,920,0)," ")</f>
        <v>0</v>
      </c>
      <c r="B920">
        <f>IFERROR(HLOOKUP($B$1,'liste CIRCUIT'!$B:$AM,920,0)," ")</f>
        <v>0</v>
      </c>
      <c r="C920">
        <f t="shared" si="28"/>
        <v>0</v>
      </c>
      <c r="D920">
        <f t="shared" si="29"/>
        <v>0</v>
      </c>
    </row>
    <row r="921" spans="1:4" hidden="1" x14ac:dyDescent="0.25">
      <c r="A921">
        <f>IFERROR(HLOOKUP($A$1,'liste CIRCUIT'!$B:$AM,921,0)," ")</f>
        <v>0</v>
      </c>
      <c r="B921">
        <f>IFERROR(HLOOKUP($B$1,'liste CIRCUIT'!$B:$AM,921,0)," ")</f>
        <v>0</v>
      </c>
      <c r="C921">
        <f t="shared" si="28"/>
        <v>0</v>
      </c>
      <c r="D921">
        <f t="shared" si="29"/>
        <v>0</v>
      </c>
    </row>
    <row r="922" spans="1:4" hidden="1" x14ac:dyDescent="0.25">
      <c r="A922">
        <f>IFERROR(HLOOKUP($A$1,'liste CIRCUIT'!$B:$AM,922,0)," ")</f>
        <v>0</v>
      </c>
      <c r="B922">
        <f>IFERROR(HLOOKUP($B$1,'liste CIRCUIT'!$B:$AM,922,0)," ")</f>
        <v>0</v>
      </c>
      <c r="C922">
        <f t="shared" si="28"/>
        <v>0</v>
      </c>
      <c r="D922">
        <f t="shared" si="29"/>
        <v>0</v>
      </c>
    </row>
    <row r="923" spans="1:4" hidden="1" x14ac:dyDescent="0.25">
      <c r="A923">
        <f>IFERROR(HLOOKUP($A$1,'liste CIRCUIT'!$B:$AM,923,0)," ")</f>
        <v>1</v>
      </c>
      <c r="B923">
        <f>IFERROR(HLOOKUP($B$1,'liste CIRCUIT'!$B:$AM,923,0)," ")</f>
        <v>1</v>
      </c>
      <c r="C923">
        <f t="shared" si="28"/>
        <v>2</v>
      </c>
      <c r="D923">
        <f t="shared" si="29"/>
        <v>0</v>
      </c>
    </row>
    <row r="924" spans="1:4" hidden="1" x14ac:dyDescent="0.25">
      <c r="A924">
        <f>IFERROR(HLOOKUP($A$1,'liste CIRCUIT'!$B:$AM,924,0)," ")</f>
        <v>0</v>
      </c>
      <c r="B924">
        <f>IFERROR(HLOOKUP($B$1,'liste CIRCUIT'!$B:$AM,924,0)," ")</f>
        <v>0</v>
      </c>
      <c r="C924">
        <f t="shared" si="28"/>
        <v>0</v>
      </c>
      <c r="D924">
        <f t="shared" si="29"/>
        <v>0</v>
      </c>
    </row>
    <row r="925" spans="1:4" hidden="1" x14ac:dyDescent="0.25">
      <c r="A925">
        <f>IFERROR(HLOOKUP($A$1,'liste CIRCUIT'!$B:$AM,925,0)," ")</f>
        <v>0</v>
      </c>
      <c r="B925">
        <f>IFERROR(HLOOKUP($B$1,'liste CIRCUIT'!$B:$AM,925,0)," ")</f>
        <v>0</v>
      </c>
      <c r="C925">
        <f t="shared" si="28"/>
        <v>0</v>
      </c>
      <c r="D925">
        <f t="shared" si="29"/>
        <v>0</v>
      </c>
    </row>
    <row r="926" spans="1:4" hidden="1" x14ac:dyDescent="0.25">
      <c r="A926">
        <f>IFERROR(HLOOKUP($A$1,'liste CIRCUIT'!$B:$AM,926,0)," ")</f>
        <v>0</v>
      </c>
      <c r="B926">
        <f>IFERROR(HLOOKUP($B$1,'liste CIRCUIT'!$B:$AM,926,0)," ")</f>
        <v>0</v>
      </c>
      <c r="C926">
        <f t="shared" si="28"/>
        <v>0</v>
      </c>
      <c r="D926">
        <f t="shared" si="29"/>
        <v>0</v>
      </c>
    </row>
    <row r="927" spans="1:4" hidden="1" x14ac:dyDescent="0.25">
      <c r="A927">
        <f>IFERROR(HLOOKUP($A$1,'liste CIRCUIT'!$B:$AM,927,0)," ")</f>
        <v>1</v>
      </c>
      <c r="B927">
        <f>IFERROR(HLOOKUP($B$1,'liste CIRCUIT'!$B:$AM,927,0)," ")</f>
        <v>1</v>
      </c>
      <c r="C927">
        <f t="shared" si="28"/>
        <v>2</v>
      </c>
      <c r="D927">
        <f t="shared" si="29"/>
        <v>0</v>
      </c>
    </row>
    <row r="928" spans="1:4" hidden="1" x14ac:dyDescent="0.25">
      <c r="A928">
        <f>IFERROR(HLOOKUP($A$1,'liste CIRCUIT'!$B:$AM,928,0)," ")</f>
        <v>0</v>
      </c>
      <c r="B928">
        <f>IFERROR(HLOOKUP($B$1,'liste CIRCUIT'!$B:$AM,928,0)," ")</f>
        <v>0</v>
      </c>
      <c r="C928">
        <f t="shared" si="28"/>
        <v>0</v>
      </c>
      <c r="D928">
        <f t="shared" si="29"/>
        <v>0</v>
      </c>
    </row>
    <row r="929" spans="1:4" hidden="1" x14ac:dyDescent="0.25">
      <c r="A929">
        <f>IFERROR(HLOOKUP($A$1,'liste CIRCUIT'!$B:$AM,929,0)," ")</f>
        <v>0</v>
      </c>
      <c r="B929">
        <f>IFERROR(HLOOKUP($B$1,'liste CIRCUIT'!$B:$AM,929,0)," ")</f>
        <v>0</v>
      </c>
      <c r="C929">
        <f t="shared" si="28"/>
        <v>0</v>
      </c>
      <c r="D929">
        <f t="shared" si="29"/>
        <v>0</v>
      </c>
    </row>
    <row r="930" spans="1:4" hidden="1" x14ac:dyDescent="0.25">
      <c r="A930">
        <f>IFERROR(HLOOKUP($A$1,'liste CIRCUIT'!$B:$AM,930,0)," ")</f>
        <v>1</v>
      </c>
      <c r="B930">
        <f>IFERROR(HLOOKUP($B$1,'liste CIRCUIT'!$B:$AM,930,0)," ")</f>
        <v>0</v>
      </c>
      <c r="C930">
        <f t="shared" si="28"/>
        <v>1</v>
      </c>
      <c r="D930">
        <f t="shared" si="29"/>
        <v>1</v>
      </c>
    </row>
    <row r="931" spans="1:4" hidden="1" x14ac:dyDescent="0.25">
      <c r="A931">
        <f>IFERROR(HLOOKUP($A$1,'liste CIRCUIT'!$B:$AM,931,0)," ")</f>
        <v>0</v>
      </c>
      <c r="B931">
        <f>IFERROR(HLOOKUP($B$1,'liste CIRCUIT'!$B:$AM,931,0)," ")</f>
        <v>0</v>
      </c>
      <c r="C931">
        <f t="shared" si="28"/>
        <v>0</v>
      </c>
      <c r="D931">
        <f t="shared" si="29"/>
        <v>0</v>
      </c>
    </row>
    <row r="932" spans="1:4" hidden="1" x14ac:dyDescent="0.25">
      <c r="A932">
        <f>IFERROR(HLOOKUP($A$1,'liste CIRCUIT'!$B:$AM,932,0)," ")</f>
        <v>0</v>
      </c>
      <c r="B932">
        <f>IFERROR(HLOOKUP($B$1,'liste CIRCUIT'!$B:$AM,932,0)," ")</f>
        <v>1</v>
      </c>
      <c r="C932">
        <f t="shared" si="28"/>
        <v>1</v>
      </c>
      <c r="D932">
        <f t="shared" si="29"/>
        <v>-1</v>
      </c>
    </row>
    <row r="933" spans="1:4" hidden="1" x14ac:dyDescent="0.25">
      <c r="A933">
        <f>IFERROR(HLOOKUP($A$1,'liste CIRCUIT'!$B:$AM,933,0)," ")</f>
        <v>0</v>
      </c>
      <c r="B933">
        <f>IFERROR(HLOOKUP($B$1,'liste CIRCUIT'!$B:$AM,933,0)," ")</f>
        <v>0</v>
      </c>
      <c r="C933">
        <f t="shared" si="28"/>
        <v>0</v>
      </c>
      <c r="D933">
        <f t="shared" si="29"/>
        <v>0</v>
      </c>
    </row>
    <row r="934" spans="1:4" hidden="1" x14ac:dyDescent="0.25">
      <c r="A934">
        <f>IFERROR(HLOOKUP($A$1,'liste CIRCUIT'!$B:$AM,934,0)," ")</f>
        <v>0</v>
      </c>
      <c r="B934">
        <f>IFERROR(HLOOKUP($B$1,'liste CIRCUIT'!$B:$AM,934,0)," ")</f>
        <v>0</v>
      </c>
      <c r="C934">
        <f t="shared" si="28"/>
        <v>0</v>
      </c>
      <c r="D934">
        <f t="shared" si="29"/>
        <v>0</v>
      </c>
    </row>
    <row r="935" spans="1:4" hidden="1" x14ac:dyDescent="0.25">
      <c r="A935">
        <f>IFERROR(HLOOKUP($A$1,'liste CIRCUIT'!$B:$AM,935,0)," ")</f>
        <v>0</v>
      </c>
      <c r="B935">
        <f>IFERROR(HLOOKUP($B$1,'liste CIRCUIT'!$B:$AM,935,0)," ")</f>
        <v>0</v>
      </c>
      <c r="C935">
        <f t="shared" si="28"/>
        <v>0</v>
      </c>
      <c r="D935">
        <f t="shared" si="29"/>
        <v>0</v>
      </c>
    </row>
    <row r="936" spans="1:4" hidden="1" x14ac:dyDescent="0.25">
      <c r="A936">
        <f>IFERROR(HLOOKUP($A$1,'liste CIRCUIT'!$B:$AM,936,0)," ")</f>
        <v>0</v>
      </c>
      <c r="B936">
        <f>IFERROR(HLOOKUP($B$1,'liste CIRCUIT'!$B:$AM,936,0)," ")</f>
        <v>0</v>
      </c>
      <c r="C936">
        <f t="shared" si="28"/>
        <v>0</v>
      </c>
      <c r="D936">
        <f t="shared" si="29"/>
        <v>0</v>
      </c>
    </row>
    <row r="937" spans="1:4" hidden="1" x14ac:dyDescent="0.25">
      <c r="A937">
        <f>IFERROR(HLOOKUP($A$1,'liste CIRCUIT'!$B:$AM,937,0)," ")</f>
        <v>0</v>
      </c>
      <c r="B937">
        <f>IFERROR(HLOOKUP($B$1,'liste CIRCUIT'!$B:$AM,937,0)," ")</f>
        <v>0</v>
      </c>
      <c r="C937">
        <f t="shared" si="28"/>
        <v>0</v>
      </c>
      <c r="D937">
        <f t="shared" si="29"/>
        <v>0</v>
      </c>
    </row>
    <row r="938" spans="1:4" hidden="1" x14ac:dyDescent="0.25">
      <c r="A938">
        <f>IFERROR(HLOOKUP($A$1,'liste CIRCUIT'!$B:$AM,938,0)," ")</f>
        <v>1</v>
      </c>
      <c r="B938">
        <f>IFERROR(HLOOKUP($B$1,'liste CIRCUIT'!$B:$AM,938,0)," ")</f>
        <v>0</v>
      </c>
      <c r="C938">
        <f t="shared" si="28"/>
        <v>1</v>
      </c>
      <c r="D938">
        <f t="shared" si="29"/>
        <v>1</v>
      </c>
    </row>
    <row r="939" spans="1:4" hidden="1" x14ac:dyDescent="0.25">
      <c r="A939">
        <f>IFERROR(HLOOKUP($A$1,'liste CIRCUIT'!$B:$AM,939,0)," ")</f>
        <v>0</v>
      </c>
      <c r="B939">
        <f>IFERROR(HLOOKUP($B$1,'liste CIRCUIT'!$B:$AM,939,0)," ")</f>
        <v>0</v>
      </c>
      <c r="C939">
        <f t="shared" si="28"/>
        <v>0</v>
      </c>
      <c r="D939">
        <f t="shared" si="29"/>
        <v>0</v>
      </c>
    </row>
    <row r="940" spans="1:4" hidden="1" x14ac:dyDescent="0.25">
      <c r="A940">
        <f>IFERROR(HLOOKUP($A$1,'liste CIRCUIT'!$B:$AM,940,0)," ")</f>
        <v>0</v>
      </c>
      <c r="B940">
        <f>IFERROR(HLOOKUP($B$1,'liste CIRCUIT'!$B:$AM,940,0)," ")</f>
        <v>1</v>
      </c>
      <c r="C940">
        <f t="shared" si="28"/>
        <v>1</v>
      </c>
      <c r="D940">
        <f t="shared" si="29"/>
        <v>-1</v>
      </c>
    </row>
    <row r="941" spans="1:4" hidden="1" x14ac:dyDescent="0.25">
      <c r="A941">
        <f>IFERROR(HLOOKUP($A$1,'liste CIRCUIT'!$B:$AM,941,0)," ")</f>
        <v>0</v>
      </c>
      <c r="B941">
        <f>IFERROR(HLOOKUP($B$1,'liste CIRCUIT'!$B:$AM,941,0)," ")</f>
        <v>0</v>
      </c>
      <c r="C941">
        <f t="shared" si="28"/>
        <v>0</v>
      </c>
      <c r="D941">
        <f t="shared" si="29"/>
        <v>0</v>
      </c>
    </row>
    <row r="942" spans="1:4" hidden="1" x14ac:dyDescent="0.25">
      <c r="A942">
        <f>IFERROR(HLOOKUP($A$1,'liste CIRCUIT'!$B:$AM,942,0)," ")</f>
        <v>0</v>
      </c>
      <c r="B942">
        <f>IFERROR(HLOOKUP($B$1,'liste CIRCUIT'!$B:$AM,942,0)," ")</f>
        <v>0</v>
      </c>
      <c r="C942">
        <f t="shared" si="28"/>
        <v>0</v>
      </c>
      <c r="D942">
        <f t="shared" si="29"/>
        <v>0</v>
      </c>
    </row>
    <row r="943" spans="1:4" hidden="1" x14ac:dyDescent="0.25">
      <c r="A943">
        <f>IFERROR(HLOOKUP($A$1,'liste CIRCUIT'!$B:$AM,943,0)," ")</f>
        <v>0</v>
      </c>
      <c r="B943">
        <f>IFERROR(HLOOKUP($B$1,'liste CIRCUIT'!$B:$AM,943,0)," ")</f>
        <v>0</v>
      </c>
      <c r="C943">
        <f t="shared" si="28"/>
        <v>0</v>
      </c>
      <c r="D943">
        <f t="shared" si="29"/>
        <v>0</v>
      </c>
    </row>
    <row r="944" spans="1:4" hidden="1" x14ac:dyDescent="0.25">
      <c r="A944">
        <f>IFERROR(HLOOKUP($A$1,'liste CIRCUIT'!$B:$AM,944,0)," ")</f>
        <v>1</v>
      </c>
      <c r="B944">
        <f>IFERROR(HLOOKUP($B$1,'liste CIRCUIT'!$B:$AM,944,0)," ")</f>
        <v>1</v>
      </c>
      <c r="C944">
        <f t="shared" si="28"/>
        <v>2</v>
      </c>
      <c r="D944">
        <f t="shared" si="29"/>
        <v>0</v>
      </c>
    </row>
    <row r="945" spans="1:4" hidden="1" x14ac:dyDescent="0.25">
      <c r="A945">
        <f>IFERROR(HLOOKUP($A$1,'liste CIRCUIT'!$B:$AM,945,0)," ")</f>
        <v>1</v>
      </c>
      <c r="B945">
        <f>IFERROR(HLOOKUP($B$1,'liste CIRCUIT'!$B:$AM,945,0)," ")</f>
        <v>1</v>
      </c>
      <c r="C945">
        <f t="shared" si="28"/>
        <v>2</v>
      </c>
      <c r="D945">
        <f t="shared" si="29"/>
        <v>0</v>
      </c>
    </row>
    <row r="946" spans="1:4" hidden="1" x14ac:dyDescent="0.25">
      <c r="A946">
        <f>IFERROR(HLOOKUP($A$1,'liste CIRCUIT'!$B:$AM,946,0)," ")</f>
        <v>1</v>
      </c>
      <c r="B946">
        <f>IFERROR(HLOOKUP($B$1,'liste CIRCUIT'!$B:$AM,946,0)," ")</f>
        <v>1</v>
      </c>
      <c r="C946">
        <f t="shared" si="28"/>
        <v>2</v>
      </c>
      <c r="D946">
        <f t="shared" si="29"/>
        <v>0</v>
      </c>
    </row>
    <row r="947" spans="1:4" hidden="1" x14ac:dyDescent="0.25">
      <c r="A947">
        <f>IFERROR(HLOOKUP($A$1,'liste CIRCUIT'!$B:$AM,947,0)," ")</f>
        <v>1</v>
      </c>
      <c r="B947">
        <f>IFERROR(HLOOKUP($B$1,'liste CIRCUIT'!$B:$AM,947,0)," ")</f>
        <v>1</v>
      </c>
      <c r="C947">
        <f t="shared" si="28"/>
        <v>2</v>
      </c>
      <c r="D947">
        <f t="shared" si="29"/>
        <v>0</v>
      </c>
    </row>
    <row r="948" spans="1:4" hidden="1" x14ac:dyDescent="0.25">
      <c r="A948">
        <f>IFERROR(HLOOKUP($A$1,'liste CIRCUIT'!$B:$AM,948,0)," ")</f>
        <v>1</v>
      </c>
      <c r="B948">
        <f>IFERROR(HLOOKUP($B$1,'liste CIRCUIT'!$B:$AM,948,0)," ")</f>
        <v>1</v>
      </c>
      <c r="C948">
        <f t="shared" si="28"/>
        <v>2</v>
      </c>
      <c r="D948">
        <f t="shared" si="29"/>
        <v>0</v>
      </c>
    </row>
    <row r="949" spans="1:4" hidden="1" x14ac:dyDescent="0.25">
      <c r="A949">
        <f>IFERROR(HLOOKUP($A$1,'liste CIRCUIT'!$B:$AM,949,0)," ")</f>
        <v>1</v>
      </c>
      <c r="B949">
        <f>IFERROR(HLOOKUP($B$1,'liste CIRCUIT'!$B:$AM,949,0)," ")</f>
        <v>1</v>
      </c>
      <c r="C949">
        <f t="shared" si="28"/>
        <v>2</v>
      </c>
      <c r="D949">
        <f t="shared" si="29"/>
        <v>0</v>
      </c>
    </row>
    <row r="950" spans="1:4" hidden="1" x14ac:dyDescent="0.25">
      <c r="A950">
        <f>IFERROR(HLOOKUP($A$1,'liste CIRCUIT'!$B:$AM,950,0)," ")</f>
        <v>1</v>
      </c>
      <c r="B950">
        <f>IFERROR(HLOOKUP($B$1,'liste CIRCUIT'!$B:$AM,950,0)," ")</f>
        <v>1</v>
      </c>
      <c r="C950">
        <f t="shared" si="28"/>
        <v>2</v>
      </c>
      <c r="D950">
        <f t="shared" si="29"/>
        <v>0</v>
      </c>
    </row>
    <row r="951" spans="1:4" hidden="1" x14ac:dyDescent="0.25">
      <c r="A951">
        <f>IFERROR(HLOOKUP($A$1,'liste CIRCUIT'!$B:$AM,951,0)," ")</f>
        <v>1</v>
      </c>
      <c r="B951">
        <f>IFERROR(HLOOKUP($B$1,'liste CIRCUIT'!$B:$AM,951,0)," ")</f>
        <v>1</v>
      </c>
      <c r="C951">
        <f t="shared" si="28"/>
        <v>2</v>
      </c>
      <c r="D951">
        <f t="shared" si="29"/>
        <v>0</v>
      </c>
    </row>
    <row r="952" spans="1:4" hidden="1" x14ac:dyDescent="0.25">
      <c r="A952">
        <f>IFERROR(HLOOKUP($A$1,'liste CIRCUIT'!$B:$AM,952,0)," ")</f>
        <v>0</v>
      </c>
      <c r="B952">
        <f>IFERROR(HLOOKUP($B$1,'liste CIRCUIT'!$B:$AM,952,0)," ")</f>
        <v>1</v>
      </c>
      <c r="C952">
        <f t="shared" si="28"/>
        <v>1</v>
      </c>
      <c r="D952">
        <f t="shared" si="29"/>
        <v>-1</v>
      </c>
    </row>
    <row r="953" spans="1:4" hidden="1" x14ac:dyDescent="0.25">
      <c r="A953">
        <f>IFERROR(HLOOKUP($A$1,'liste CIRCUIT'!$B:$AM,953,0)," ")</f>
        <v>1</v>
      </c>
      <c r="B953">
        <f>IFERROR(HLOOKUP($B$1,'liste CIRCUIT'!$B:$AM,953,0)," ")</f>
        <v>0</v>
      </c>
      <c r="C953">
        <f t="shared" si="28"/>
        <v>1</v>
      </c>
      <c r="D953">
        <f t="shared" si="29"/>
        <v>1</v>
      </c>
    </row>
    <row r="954" spans="1:4" hidden="1" x14ac:dyDescent="0.25">
      <c r="A954">
        <f>IFERROR(HLOOKUP($A$1,'liste CIRCUIT'!$B:$AM,954,0)," ")</f>
        <v>1</v>
      </c>
      <c r="B954">
        <f>IFERROR(HLOOKUP($B$1,'liste CIRCUIT'!$B:$AM,954,0)," ")</f>
        <v>1</v>
      </c>
      <c r="C954">
        <f t="shared" si="28"/>
        <v>2</v>
      </c>
      <c r="D954">
        <f t="shared" si="29"/>
        <v>0</v>
      </c>
    </row>
    <row r="955" spans="1:4" hidden="1" x14ac:dyDescent="0.25">
      <c r="A955">
        <f>IFERROR(HLOOKUP($A$1,'liste CIRCUIT'!$B:$AM,955,0)," ")</f>
        <v>1</v>
      </c>
      <c r="B955">
        <f>IFERROR(HLOOKUP($B$1,'liste CIRCUIT'!$B:$AM,955,0)," ")</f>
        <v>1</v>
      </c>
      <c r="C955">
        <f t="shared" si="28"/>
        <v>2</v>
      </c>
      <c r="D955">
        <f t="shared" si="29"/>
        <v>0</v>
      </c>
    </row>
    <row r="956" spans="1:4" hidden="1" x14ac:dyDescent="0.25">
      <c r="A956">
        <f>IFERROR(HLOOKUP($A$1,'liste CIRCUIT'!$B:$AM,956,0)," ")</f>
        <v>1</v>
      </c>
      <c r="B956">
        <f>IFERROR(HLOOKUP($B$1,'liste CIRCUIT'!$B:$AM,956,0)," ")</f>
        <v>1</v>
      </c>
      <c r="C956">
        <f t="shared" si="28"/>
        <v>2</v>
      </c>
      <c r="D956">
        <f t="shared" si="29"/>
        <v>0</v>
      </c>
    </row>
    <row r="957" spans="1:4" hidden="1" x14ac:dyDescent="0.25">
      <c r="A957">
        <f>IFERROR(HLOOKUP($A$1,'liste CIRCUIT'!$B:$AM,957,0)," ")</f>
        <v>0</v>
      </c>
      <c r="B957">
        <f>IFERROR(HLOOKUP($B$1,'liste CIRCUIT'!$B:$AM,957,0)," ")</f>
        <v>0</v>
      </c>
      <c r="C957">
        <f t="shared" si="28"/>
        <v>0</v>
      </c>
      <c r="D957">
        <f t="shared" si="29"/>
        <v>0</v>
      </c>
    </row>
    <row r="958" spans="1:4" hidden="1" x14ac:dyDescent="0.25">
      <c r="A958">
        <f>IFERROR(HLOOKUP($A$1,'liste CIRCUIT'!$B:$AM,958,0)," ")</f>
        <v>0</v>
      </c>
      <c r="B958">
        <f>IFERROR(HLOOKUP($B$1,'liste CIRCUIT'!$B:$AM,958,0)," ")</f>
        <v>0</v>
      </c>
      <c r="C958">
        <f t="shared" si="28"/>
        <v>0</v>
      </c>
      <c r="D958">
        <f t="shared" si="29"/>
        <v>0</v>
      </c>
    </row>
    <row r="959" spans="1:4" hidden="1" x14ac:dyDescent="0.25">
      <c r="A959">
        <f>IFERROR(HLOOKUP($A$1,'liste CIRCUIT'!$B:$AM,959,0)," ")</f>
        <v>1</v>
      </c>
      <c r="B959">
        <f>IFERROR(HLOOKUP($B$1,'liste CIRCUIT'!$B:$AM,959,0)," ")</f>
        <v>1</v>
      </c>
      <c r="C959">
        <f t="shared" si="28"/>
        <v>2</v>
      </c>
      <c r="D959">
        <f t="shared" si="29"/>
        <v>0</v>
      </c>
    </row>
    <row r="960" spans="1:4" hidden="1" x14ac:dyDescent="0.25">
      <c r="A960">
        <f>IFERROR(HLOOKUP($A$1,'liste CIRCUIT'!$B:$AM,960,0)," ")</f>
        <v>0</v>
      </c>
      <c r="B960">
        <f>IFERROR(HLOOKUP($B$1,'liste CIRCUIT'!$B:$AM,960,0)," ")</f>
        <v>0</v>
      </c>
      <c r="C960">
        <f t="shared" si="28"/>
        <v>0</v>
      </c>
      <c r="D960">
        <f t="shared" si="29"/>
        <v>0</v>
      </c>
    </row>
    <row r="961" spans="1:4" hidden="1" x14ac:dyDescent="0.25">
      <c r="A961">
        <f>IFERROR(HLOOKUP($A$1,'liste CIRCUIT'!$B:$AM,961,0)," ")</f>
        <v>0</v>
      </c>
      <c r="B961">
        <f>IFERROR(HLOOKUP($B$1,'liste CIRCUIT'!$B:$AM,961,0)," ")</f>
        <v>0</v>
      </c>
      <c r="C961">
        <f t="shared" si="28"/>
        <v>0</v>
      </c>
      <c r="D961">
        <f t="shared" si="29"/>
        <v>0</v>
      </c>
    </row>
    <row r="962" spans="1:4" hidden="1" x14ac:dyDescent="0.25">
      <c r="A962">
        <f>IFERROR(HLOOKUP($A$1,'liste CIRCUIT'!$B:$AM,962,0)," ")</f>
        <v>0</v>
      </c>
      <c r="B962">
        <f>IFERROR(HLOOKUP($B$1,'liste CIRCUIT'!$B:$AM,962,0)," ")</f>
        <v>0</v>
      </c>
      <c r="C962">
        <f t="shared" si="28"/>
        <v>0</v>
      </c>
      <c r="D962">
        <f t="shared" si="29"/>
        <v>0</v>
      </c>
    </row>
    <row r="963" spans="1:4" hidden="1" x14ac:dyDescent="0.25">
      <c r="A963">
        <f>IFERROR(HLOOKUP($A$1,'liste CIRCUIT'!$B:$AM,963,0)," ")</f>
        <v>0</v>
      </c>
      <c r="B963">
        <f>IFERROR(HLOOKUP($B$1,'liste CIRCUIT'!$B:$AM,963,0)," ")</f>
        <v>0</v>
      </c>
      <c r="C963">
        <f t="shared" ref="C963:C1026" si="30">SUM(A963:B963)</f>
        <v>0</v>
      </c>
      <c r="D963">
        <f t="shared" ref="D963:D1026" si="31">A963-B963</f>
        <v>0</v>
      </c>
    </row>
    <row r="964" spans="1:4" hidden="1" x14ac:dyDescent="0.25">
      <c r="A964">
        <f>IFERROR(HLOOKUP($A$1,'liste CIRCUIT'!$B:$AM,964,0)," ")</f>
        <v>0</v>
      </c>
      <c r="B964">
        <f>IFERROR(HLOOKUP($B$1,'liste CIRCUIT'!$B:$AM,964,0)," ")</f>
        <v>0</v>
      </c>
      <c r="C964">
        <f t="shared" si="30"/>
        <v>0</v>
      </c>
      <c r="D964">
        <f t="shared" si="31"/>
        <v>0</v>
      </c>
    </row>
    <row r="965" spans="1:4" hidden="1" x14ac:dyDescent="0.25">
      <c r="A965">
        <f>IFERROR(HLOOKUP($A$1,'liste CIRCUIT'!$B:$AM,965,0)," ")</f>
        <v>0</v>
      </c>
      <c r="B965">
        <f>IFERROR(HLOOKUP($B$1,'liste CIRCUIT'!$B:$AM,965,0)," ")</f>
        <v>0</v>
      </c>
      <c r="C965">
        <f t="shared" si="30"/>
        <v>0</v>
      </c>
      <c r="D965">
        <f t="shared" si="31"/>
        <v>0</v>
      </c>
    </row>
    <row r="966" spans="1:4" hidden="1" x14ac:dyDescent="0.25">
      <c r="A966">
        <f>IFERROR(HLOOKUP($A$1,'liste CIRCUIT'!$B:$AM,966,0)," ")</f>
        <v>0</v>
      </c>
      <c r="B966">
        <f>IFERROR(HLOOKUP($B$1,'liste CIRCUIT'!$B:$AM,966,0)," ")</f>
        <v>0</v>
      </c>
      <c r="C966">
        <f t="shared" si="30"/>
        <v>0</v>
      </c>
      <c r="D966">
        <f t="shared" si="31"/>
        <v>0</v>
      </c>
    </row>
    <row r="967" spans="1:4" hidden="1" x14ac:dyDescent="0.25">
      <c r="A967">
        <f>IFERROR(HLOOKUP($A$1,'liste CIRCUIT'!$B:$AM,967,0)," ")</f>
        <v>0</v>
      </c>
      <c r="B967">
        <f>IFERROR(HLOOKUP($B$1,'liste CIRCUIT'!$B:$AM,967,0)," ")</f>
        <v>0</v>
      </c>
      <c r="C967">
        <f t="shared" si="30"/>
        <v>0</v>
      </c>
      <c r="D967">
        <f t="shared" si="31"/>
        <v>0</v>
      </c>
    </row>
    <row r="968" spans="1:4" hidden="1" x14ac:dyDescent="0.25">
      <c r="A968">
        <f>IFERROR(HLOOKUP($A$1,'liste CIRCUIT'!$B:$AM,968,0)," ")</f>
        <v>1</v>
      </c>
      <c r="B968">
        <f>IFERROR(HLOOKUP($B$1,'liste CIRCUIT'!$B:$AM,968,0)," ")</f>
        <v>1</v>
      </c>
      <c r="C968">
        <f t="shared" si="30"/>
        <v>2</v>
      </c>
      <c r="D968">
        <f t="shared" si="31"/>
        <v>0</v>
      </c>
    </row>
    <row r="969" spans="1:4" hidden="1" x14ac:dyDescent="0.25">
      <c r="A969">
        <f>IFERROR(HLOOKUP($A$1,'liste CIRCUIT'!$B:$AM,969,0)," ")</f>
        <v>1</v>
      </c>
      <c r="B969">
        <f>IFERROR(HLOOKUP($B$1,'liste CIRCUIT'!$B:$AM,969,0)," ")</f>
        <v>1</v>
      </c>
      <c r="C969">
        <f t="shared" si="30"/>
        <v>2</v>
      </c>
      <c r="D969">
        <f t="shared" si="31"/>
        <v>0</v>
      </c>
    </row>
    <row r="970" spans="1:4" hidden="1" x14ac:dyDescent="0.25">
      <c r="A970">
        <f>IFERROR(HLOOKUP($A$1,'liste CIRCUIT'!$B:$AM,970,0)," ")</f>
        <v>1</v>
      </c>
      <c r="B970">
        <f>IFERROR(HLOOKUP($B$1,'liste CIRCUIT'!$B:$AM,970,0)," ")</f>
        <v>1</v>
      </c>
      <c r="C970">
        <f t="shared" si="30"/>
        <v>2</v>
      </c>
      <c r="D970">
        <f t="shared" si="31"/>
        <v>0</v>
      </c>
    </row>
    <row r="971" spans="1:4" hidden="1" x14ac:dyDescent="0.25">
      <c r="A971">
        <f>IFERROR(HLOOKUP($A$1,'liste CIRCUIT'!$B:$AM,971,0)," ")</f>
        <v>1</v>
      </c>
      <c r="B971">
        <f>IFERROR(HLOOKUP($B$1,'liste CIRCUIT'!$B:$AM,971,0)," ")</f>
        <v>1</v>
      </c>
      <c r="C971">
        <f t="shared" si="30"/>
        <v>2</v>
      </c>
      <c r="D971">
        <f t="shared" si="31"/>
        <v>0</v>
      </c>
    </row>
    <row r="972" spans="1:4" hidden="1" x14ac:dyDescent="0.25">
      <c r="A972">
        <f>IFERROR(HLOOKUP($A$1,'liste CIRCUIT'!$B:$AM,972,0)," ")</f>
        <v>1</v>
      </c>
      <c r="B972">
        <f>IFERROR(HLOOKUP($B$1,'liste CIRCUIT'!$B:$AM,972,0)," ")</f>
        <v>1</v>
      </c>
      <c r="C972">
        <f t="shared" si="30"/>
        <v>2</v>
      </c>
      <c r="D972">
        <f t="shared" si="31"/>
        <v>0</v>
      </c>
    </row>
    <row r="973" spans="1:4" hidden="1" x14ac:dyDescent="0.25">
      <c r="A973">
        <f>IFERROR(HLOOKUP($A$1,'liste CIRCUIT'!$B:$AM,973,0)," ")</f>
        <v>0</v>
      </c>
      <c r="B973">
        <f>IFERROR(HLOOKUP($B$1,'liste CIRCUIT'!$B:$AM,973,0)," ")</f>
        <v>1</v>
      </c>
      <c r="C973">
        <f t="shared" si="30"/>
        <v>1</v>
      </c>
      <c r="D973">
        <f t="shared" si="31"/>
        <v>-1</v>
      </c>
    </row>
    <row r="974" spans="1:4" hidden="1" x14ac:dyDescent="0.25">
      <c r="A974">
        <f>IFERROR(HLOOKUP($A$1,'liste CIRCUIT'!$B:$AM,974,0)," ")</f>
        <v>1</v>
      </c>
      <c r="B974">
        <f>IFERROR(HLOOKUP($B$1,'liste CIRCUIT'!$B:$AM,974,0)," ")</f>
        <v>0</v>
      </c>
      <c r="C974">
        <f t="shared" si="30"/>
        <v>1</v>
      </c>
      <c r="D974">
        <f t="shared" si="31"/>
        <v>1</v>
      </c>
    </row>
    <row r="975" spans="1:4" hidden="1" x14ac:dyDescent="0.25">
      <c r="A975">
        <f>IFERROR(HLOOKUP($A$1,'liste CIRCUIT'!$B:$AM,975,0)," ")</f>
        <v>1</v>
      </c>
      <c r="B975">
        <f>IFERROR(HLOOKUP($B$1,'liste CIRCUIT'!$B:$AM,975,0)," ")</f>
        <v>1</v>
      </c>
      <c r="C975">
        <f t="shared" si="30"/>
        <v>2</v>
      </c>
      <c r="D975">
        <f t="shared" si="31"/>
        <v>0</v>
      </c>
    </row>
    <row r="976" spans="1:4" hidden="1" x14ac:dyDescent="0.25">
      <c r="A976">
        <f>IFERROR(HLOOKUP($A$1,'liste CIRCUIT'!$B:$AM,976,0)," ")</f>
        <v>1</v>
      </c>
      <c r="B976">
        <f>IFERROR(HLOOKUP($B$1,'liste CIRCUIT'!$B:$AM,976,0)," ")</f>
        <v>1</v>
      </c>
      <c r="C976">
        <f t="shared" si="30"/>
        <v>2</v>
      </c>
      <c r="D976">
        <f t="shared" si="31"/>
        <v>0</v>
      </c>
    </row>
    <row r="977" spans="1:4" hidden="1" x14ac:dyDescent="0.25">
      <c r="A977">
        <f>IFERROR(HLOOKUP($A$1,'liste CIRCUIT'!$B:$AM,977,0)," ")</f>
        <v>1</v>
      </c>
      <c r="B977">
        <f>IFERROR(HLOOKUP($B$1,'liste CIRCUIT'!$B:$AM,977,0)," ")</f>
        <v>1</v>
      </c>
      <c r="C977">
        <f t="shared" si="30"/>
        <v>2</v>
      </c>
      <c r="D977">
        <f t="shared" si="31"/>
        <v>0</v>
      </c>
    </row>
    <row r="978" spans="1:4" hidden="1" x14ac:dyDescent="0.25">
      <c r="A978">
        <f>IFERROR(HLOOKUP($A$1,'liste CIRCUIT'!$B:$AM,978,0)," ")</f>
        <v>0</v>
      </c>
      <c r="B978">
        <f>IFERROR(HLOOKUP($B$1,'liste CIRCUIT'!$B:$AM,978,0)," ")</f>
        <v>1</v>
      </c>
      <c r="C978">
        <f t="shared" si="30"/>
        <v>1</v>
      </c>
      <c r="D978">
        <f t="shared" si="31"/>
        <v>-1</v>
      </c>
    </row>
    <row r="979" spans="1:4" hidden="1" x14ac:dyDescent="0.25">
      <c r="A979">
        <f>IFERROR(HLOOKUP($A$1,'liste CIRCUIT'!$B:$AM,979,0)," ")</f>
        <v>1</v>
      </c>
      <c r="B979">
        <f>IFERROR(HLOOKUP($B$1,'liste CIRCUIT'!$B:$AM,979,0)," ")</f>
        <v>0</v>
      </c>
      <c r="C979">
        <f t="shared" si="30"/>
        <v>1</v>
      </c>
      <c r="D979">
        <f t="shared" si="31"/>
        <v>1</v>
      </c>
    </row>
    <row r="980" spans="1:4" hidden="1" x14ac:dyDescent="0.25">
      <c r="A980">
        <f>IFERROR(HLOOKUP($A$1,'liste CIRCUIT'!$B:$AM,980,0)," ")</f>
        <v>1</v>
      </c>
      <c r="B980">
        <f>IFERROR(HLOOKUP($B$1,'liste CIRCUIT'!$B:$AM,980,0)," ")</f>
        <v>1</v>
      </c>
      <c r="C980">
        <f t="shared" si="30"/>
        <v>2</v>
      </c>
      <c r="D980">
        <f t="shared" si="31"/>
        <v>0</v>
      </c>
    </row>
    <row r="981" spans="1:4" hidden="1" x14ac:dyDescent="0.25">
      <c r="A981">
        <f>IFERROR(HLOOKUP($A$1,'liste CIRCUIT'!$B:$AM,981,0)," ")</f>
        <v>1</v>
      </c>
      <c r="B981">
        <f>IFERROR(HLOOKUP($B$1,'liste CIRCUIT'!$B:$AM,981,0)," ")</f>
        <v>1</v>
      </c>
      <c r="C981">
        <f t="shared" si="30"/>
        <v>2</v>
      </c>
      <c r="D981">
        <f t="shared" si="31"/>
        <v>0</v>
      </c>
    </row>
    <row r="982" spans="1:4" hidden="1" x14ac:dyDescent="0.25">
      <c r="A982">
        <f>IFERROR(HLOOKUP($A$1,'liste CIRCUIT'!$B:$AM,982,0)," ")</f>
        <v>0</v>
      </c>
      <c r="B982">
        <f>IFERROR(HLOOKUP($B$1,'liste CIRCUIT'!$B:$AM,982,0)," ")</f>
        <v>0</v>
      </c>
      <c r="C982">
        <f t="shared" si="30"/>
        <v>0</v>
      </c>
      <c r="D982">
        <f t="shared" si="31"/>
        <v>0</v>
      </c>
    </row>
    <row r="983" spans="1:4" hidden="1" x14ac:dyDescent="0.25">
      <c r="A983">
        <f>IFERROR(HLOOKUP($A$1,'liste CIRCUIT'!$B:$AM,983,0)," ")</f>
        <v>0</v>
      </c>
      <c r="B983">
        <f>IFERROR(HLOOKUP($B$1,'liste CIRCUIT'!$B:$AM,983,0)," ")</f>
        <v>0</v>
      </c>
      <c r="C983">
        <f t="shared" si="30"/>
        <v>0</v>
      </c>
      <c r="D983">
        <f t="shared" si="31"/>
        <v>0</v>
      </c>
    </row>
    <row r="984" spans="1:4" hidden="1" x14ac:dyDescent="0.25">
      <c r="A984">
        <f>IFERROR(HLOOKUP($A$1,'liste CIRCUIT'!$B:$AM,984,0)," ")</f>
        <v>0</v>
      </c>
      <c r="B984">
        <f>IFERROR(HLOOKUP($B$1,'liste CIRCUIT'!$B:$AM,984,0)," ")</f>
        <v>0</v>
      </c>
      <c r="C984">
        <f t="shared" si="30"/>
        <v>0</v>
      </c>
      <c r="D984">
        <f t="shared" si="31"/>
        <v>0</v>
      </c>
    </row>
    <row r="985" spans="1:4" hidden="1" x14ac:dyDescent="0.25">
      <c r="A985">
        <f>IFERROR(HLOOKUP($A$1,'liste CIRCUIT'!$B:$AM,985,0)," ")</f>
        <v>0</v>
      </c>
      <c r="B985">
        <f>IFERROR(HLOOKUP($B$1,'liste CIRCUIT'!$B:$AM,985,0)," ")</f>
        <v>0</v>
      </c>
      <c r="C985">
        <f t="shared" si="30"/>
        <v>0</v>
      </c>
      <c r="D985">
        <f t="shared" si="31"/>
        <v>0</v>
      </c>
    </row>
    <row r="986" spans="1:4" hidden="1" x14ac:dyDescent="0.25">
      <c r="A986">
        <f>IFERROR(HLOOKUP($A$1,'liste CIRCUIT'!$B:$AM,986,0)," ")</f>
        <v>0</v>
      </c>
      <c r="B986">
        <f>IFERROR(HLOOKUP($B$1,'liste CIRCUIT'!$B:$AM,986,0)," ")</f>
        <v>0</v>
      </c>
      <c r="C986">
        <f t="shared" si="30"/>
        <v>0</v>
      </c>
      <c r="D986">
        <f t="shared" si="31"/>
        <v>0</v>
      </c>
    </row>
    <row r="987" spans="1:4" hidden="1" x14ac:dyDescent="0.25">
      <c r="A987">
        <f>IFERROR(HLOOKUP($A$1,'liste CIRCUIT'!$B:$AM,987,0)," ")</f>
        <v>0</v>
      </c>
      <c r="B987">
        <f>IFERROR(HLOOKUP($B$1,'liste CIRCUIT'!$B:$AM,987,0)," ")</f>
        <v>0</v>
      </c>
      <c r="C987">
        <f t="shared" si="30"/>
        <v>0</v>
      </c>
      <c r="D987">
        <f t="shared" si="31"/>
        <v>0</v>
      </c>
    </row>
    <row r="988" spans="1:4" hidden="1" x14ac:dyDescent="0.25">
      <c r="A988">
        <f>IFERROR(HLOOKUP($A$1,'liste CIRCUIT'!$B:$AM,988,0)," ")</f>
        <v>0</v>
      </c>
      <c r="B988">
        <f>IFERROR(HLOOKUP($B$1,'liste CIRCUIT'!$B:$AM,988,0)," ")</f>
        <v>0</v>
      </c>
      <c r="C988">
        <f t="shared" si="30"/>
        <v>0</v>
      </c>
      <c r="D988">
        <f t="shared" si="31"/>
        <v>0</v>
      </c>
    </row>
    <row r="989" spans="1:4" hidden="1" x14ac:dyDescent="0.25">
      <c r="A989">
        <f>IFERROR(HLOOKUP($A$1,'liste CIRCUIT'!$B:$AM,989,0)," ")</f>
        <v>1</v>
      </c>
      <c r="B989">
        <f>IFERROR(HLOOKUP($B$1,'liste CIRCUIT'!$B:$AM,989,0)," ")</f>
        <v>0</v>
      </c>
      <c r="C989">
        <f t="shared" si="30"/>
        <v>1</v>
      </c>
      <c r="D989">
        <f t="shared" si="31"/>
        <v>1</v>
      </c>
    </row>
    <row r="990" spans="1:4" hidden="1" x14ac:dyDescent="0.25">
      <c r="A990">
        <f>IFERROR(HLOOKUP($A$1,'liste CIRCUIT'!$B:$AM,990,0)," ")</f>
        <v>0</v>
      </c>
      <c r="B990">
        <f>IFERROR(HLOOKUP($B$1,'liste CIRCUIT'!$B:$AM,990,0)," ")</f>
        <v>0</v>
      </c>
      <c r="C990">
        <f t="shared" si="30"/>
        <v>0</v>
      </c>
      <c r="D990">
        <f t="shared" si="31"/>
        <v>0</v>
      </c>
    </row>
    <row r="991" spans="1:4" hidden="1" x14ac:dyDescent="0.25">
      <c r="A991">
        <f>IFERROR(HLOOKUP($A$1,'liste CIRCUIT'!$B:$AM,991,0)," ")</f>
        <v>0</v>
      </c>
      <c r="B991">
        <f>IFERROR(HLOOKUP($B$1,'liste CIRCUIT'!$B:$AM,991,0)," ")</f>
        <v>1</v>
      </c>
      <c r="C991">
        <f t="shared" si="30"/>
        <v>1</v>
      </c>
      <c r="D991">
        <f t="shared" si="31"/>
        <v>-1</v>
      </c>
    </row>
    <row r="992" spans="1:4" hidden="1" x14ac:dyDescent="0.25">
      <c r="A992">
        <f>IFERROR(HLOOKUP($A$1,'liste CIRCUIT'!$B:$AM,992,0)," ")</f>
        <v>0</v>
      </c>
      <c r="B992">
        <f>IFERROR(HLOOKUP($B$1,'liste CIRCUIT'!$B:$AM,992,0)," ")</f>
        <v>0</v>
      </c>
      <c r="C992">
        <f t="shared" si="30"/>
        <v>0</v>
      </c>
      <c r="D992">
        <f t="shared" si="31"/>
        <v>0</v>
      </c>
    </row>
    <row r="993" spans="1:4" hidden="1" x14ac:dyDescent="0.25">
      <c r="A993">
        <f>IFERROR(HLOOKUP($A$1,'liste CIRCUIT'!$B:$AM,993,0)," ")</f>
        <v>0</v>
      </c>
      <c r="B993">
        <f>IFERROR(HLOOKUP($B$1,'liste CIRCUIT'!$B:$AM,993,0)," ")</f>
        <v>0</v>
      </c>
      <c r="C993">
        <f t="shared" si="30"/>
        <v>0</v>
      </c>
      <c r="D993">
        <f t="shared" si="31"/>
        <v>0</v>
      </c>
    </row>
    <row r="994" spans="1:4" hidden="1" x14ac:dyDescent="0.25">
      <c r="A994">
        <f>IFERROR(HLOOKUP($A$1,'liste CIRCUIT'!$B:$AM,994,0)," ")</f>
        <v>0</v>
      </c>
      <c r="B994">
        <f>IFERROR(HLOOKUP($B$1,'liste CIRCUIT'!$B:$AM,994,0)," ")</f>
        <v>0</v>
      </c>
      <c r="C994">
        <f t="shared" si="30"/>
        <v>0</v>
      </c>
      <c r="D994">
        <f t="shared" si="31"/>
        <v>0</v>
      </c>
    </row>
    <row r="995" spans="1:4" hidden="1" x14ac:dyDescent="0.25">
      <c r="A995">
        <f>IFERROR(HLOOKUP($A$1,'liste CIRCUIT'!$B:$AM,995,0)," ")</f>
        <v>0</v>
      </c>
      <c r="B995">
        <f>IFERROR(HLOOKUP($B$1,'liste CIRCUIT'!$B:$AM,995,0)," ")</f>
        <v>0</v>
      </c>
      <c r="C995">
        <f t="shared" si="30"/>
        <v>0</v>
      </c>
      <c r="D995">
        <f t="shared" si="31"/>
        <v>0</v>
      </c>
    </row>
    <row r="996" spans="1:4" hidden="1" x14ac:dyDescent="0.25">
      <c r="A996">
        <f>IFERROR(HLOOKUP($A$1,'liste CIRCUIT'!$B:$AM,996,0)," ")</f>
        <v>0</v>
      </c>
      <c r="B996">
        <f>IFERROR(HLOOKUP($B$1,'liste CIRCUIT'!$B:$AM,996,0)," ")</f>
        <v>0</v>
      </c>
      <c r="C996">
        <f t="shared" si="30"/>
        <v>0</v>
      </c>
      <c r="D996">
        <f t="shared" si="31"/>
        <v>0</v>
      </c>
    </row>
    <row r="997" spans="1:4" hidden="1" x14ac:dyDescent="0.25">
      <c r="A997">
        <f>IFERROR(HLOOKUP($A$1,'liste CIRCUIT'!$B:$AM,997,0)," ")</f>
        <v>0</v>
      </c>
      <c r="B997">
        <f>IFERROR(HLOOKUP($B$1,'liste CIRCUIT'!$B:$AM,997,0)," ")</f>
        <v>0</v>
      </c>
      <c r="C997">
        <f t="shared" si="30"/>
        <v>0</v>
      </c>
      <c r="D997">
        <f t="shared" si="31"/>
        <v>0</v>
      </c>
    </row>
    <row r="998" spans="1:4" hidden="1" x14ac:dyDescent="0.25">
      <c r="A998">
        <f>IFERROR(HLOOKUP($A$1,'liste CIRCUIT'!$B:$AM,998,0)," ")</f>
        <v>0</v>
      </c>
      <c r="B998">
        <f>IFERROR(HLOOKUP($B$1,'liste CIRCUIT'!$B:$AM,998,0)," ")</f>
        <v>0</v>
      </c>
      <c r="C998">
        <f t="shared" si="30"/>
        <v>0</v>
      </c>
      <c r="D998">
        <f t="shared" si="31"/>
        <v>0</v>
      </c>
    </row>
    <row r="999" spans="1:4" hidden="1" x14ac:dyDescent="0.25">
      <c r="A999">
        <f>IFERROR(HLOOKUP($A$1,'liste CIRCUIT'!$B:$AM,999,0)," ")</f>
        <v>0</v>
      </c>
      <c r="B999">
        <f>IFERROR(HLOOKUP($B$1,'liste CIRCUIT'!$B:$AM,999,0)," ")</f>
        <v>0</v>
      </c>
      <c r="C999">
        <f t="shared" si="30"/>
        <v>0</v>
      </c>
      <c r="D999">
        <f t="shared" si="31"/>
        <v>0</v>
      </c>
    </row>
    <row r="1000" spans="1:4" hidden="1" x14ac:dyDescent="0.25">
      <c r="A1000">
        <f>IFERROR(HLOOKUP($A$1,'liste CIRCUIT'!$B:$AM,1000,0)," ")</f>
        <v>0</v>
      </c>
      <c r="B1000">
        <f>IFERROR(HLOOKUP($B$1,'liste CIRCUIT'!$B:$AM,1000,0)," ")</f>
        <v>0</v>
      </c>
      <c r="C1000">
        <f t="shared" si="30"/>
        <v>0</v>
      </c>
      <c r="D1000">
        <f t="shared" si="31"/>
        <v>0</v>
      </c>
    </row>
    <row r="1001" spans="1:4" hidden="1" x14ac:dyDescent="0.25">
      <c r="A1001">
        <f>IFERROR(HLOOKUP($A$1,'liste CIRCUIT'!$B:$AM,1001,0)," ")</f>
        <v>0</v>
      </c>
      <c r="B1001">
        <f>IFERROR(HLOOKUP($B$1,'liste CIRCUIT'!$B:$AM,1001,0)," ")</f>
        <v>0</v>
      </c>
      <c r="C1001">
        <f t="shared" si="30"/>
        <v>0</v>
      </c>
      <c r="D1001">
        <f t="shared" si="31"/>
        <v>0</v>
      </c>
    </row>
    <row r="1002" spans="1:4" hidden="1" x14ac:dyDescent="0.25">
      <c r="A1002">
        <f>IFERROR(HLOOKUP($A$1,'liste CIRCUIT'!$B:$AM,1002,0)," ")</f>
        <v>1</v>
      </c>
      <c r="B1002">
        <f>IFERROR(HLOOKUP($B$1,'liste CIRCUIT'!$B:$AM,1002,0)," ")</f>
        <v>0</v>
      </c>
      <c r="C1002">
        <f t="shared" si="30"/>
        <v>1</v>
      </c>
      <c r="D1002">
        <f t="shared" si="31"/>
        <v>1</v>
      </c>
    </row>
    <row r="1003" spans="1:4" hidden="1" x14ac:dyDescent="0.25">
      <c r="A1003">
        <f>IFERROR(HLOOKUP($A$1,'liste CIRCUIT'!$B:$AM,1003,0)," ")</f>
        <v>0</v>
      </c>
      <c r="B1003">
        <f>IFERROR(HLOOKUP($B$1,'liste CIRCUIT'!$B:$AM,1003,0)," ")</f>
        <v>0</v>
      </c>
      <c r="C1003">
        <f t="shared" si="30"/>
        <v>0</v>
      </c>
      <c r="D1003">
        <f t="shared" si="31"/>
        <v>0</v>
      </c>
    </row>
    <row r="1004" spans="1:4" hidden="1" x14ac:dyDescent="0.25">
      <c r="A1004">
        <f>IFERROR(HLOOKUP($A$1,'liste CIRCUIT'!$B:$AM,1004,0)," ")</f>
        <v>0</v>
      </c>
      <c r="B1004">
        <f>IFERROR(HLOOKUP($B$1,'liste CIRCUIT'!$B:$AM,1004,0)," ")</f>
        <v>1</v>
      </c>
      <c r="C1004">
        <f t="shared" si="30"/>
        <v>1</v>
      </c>
      <c r="D1004">
        <f t="shared" si="31"/>
        <v>-1</v>
      </c>
    </row>
    <row r="1005" spans="1:4" hidden="1" x14ac:dyDescent="0.25">
      <c r="A1005">
        <f>IFERROR(HLOOKUP($A$1,'liste CIRCUIT'!$B:$AM,1005,0)," ")</f>
        <v>0</v>
      </c>
      <c r="B1005">
        <f>IFERROR(HLOOKUP($B$1,'liste CIRCUIT'!$B:$AM,1005,0)," ")</f>
        <v>0</v>
      </c>
      <c r="C1005">
        <f t="shared" si="30"/>
        <v>0</v>
      </c>
      <c r="D1005">
        <f t="shared" si="31"/>
        <v>0</v>
      </c>
    </row>
    <row r="1006" spans="1:4" hidden="1" x14ac:dyDescent="0.25">
      <c r="A1006">
        <f>IFERROR(HLOOKUP($A$1,'liste CIRCUIT'!$B:$AM,1006,0)," ")</f>
        <v>0</v>
      </c>
      <c r="B1006">
        <f>IFERROR(HLOOKUP($B$1,'liste CIRCUIT'!$B:$AM,1006,0)," ")</f>
        <v>0</v>
      </c>
      <c r="C1006">
        <f t="shared" si="30"/>
        <v>0</v>
      </c>
      <c r="D1006">
        <f t="shared" si="31"/>
        <v>0</v>
      </c>
    </row>
    <row r="1007" spans="1:4" hidden="1" x14ac:dyDescent="0.25">
      <c r="A1007">
        <f>IFERROR(HLOOKUP($A$1,'liste CIRCUIT'!$B:$AM,1007,0)," ")</f>
        <v>0</v>
      </c>
      <c r="B1007">
        <f>IFERROR(HLOOKUP($B$1,'liste CIRCUIT'!$B:$AM,1007,0)," ")</f>
        <v>0</v>
      </c>
      <c r="C1007">
        <f t="shared" si="30"/>
        <v>0</v>
      </c>
      <c r="D1007">
        <f t="shared" si="31"/>
        <v>0</v>
      </c>
    </row>
    <row r="1008" spans="1:4" hidden="1" x14ac:dyDescent="0.25">
      <c r="A1008">
        <f>IFERROR(HLOOKUP($A$1,'liste CIRCUIT'!$B:$AM,1008,0)," ")</f>
        <v>1</v>
      </c>
      <c r="B1008">
        <f>IFERROR(HLOOKUP($B$1,'liste CIRCUIT'!$B:$AM,1008,0)," ")</f>
        <v>1</v>
      </c>
      <c r="C1008">
        <f t="shared" si="30"/>
        <v>2</v>
      </c>
      <c r="D1008">
        <f t="shared" si="31"/>
        <v>0</v>
      </c>
    </row>
    <row r="1009" spans="1:4" hidden="1" x14ac:dyDescent="0.25">
      <c r="A1009">
        <f>IFERROR(HLOOKUP($A$1,'liste CIRCUIT'!$B:$AM,1009,0)," ")</f>
        <v>0</v>
      </c>
      <c r="B1009">
        <f>IFERROR(HLOOKUP($B$1,'liste CIRCUIT'!$B:$AM,1009,0)," ")</f>
        <v>0</v>
      </c>
      <c r="C1009">
        <f t="shared" si="30"/>
        <v>0</v>
      </c>
      <c r="D1009">
        <f t="shared" si="31"/>
        <v>0</v>
      </c>
    </row>
    <row r="1010" spans="1:4" hidden="1" x14ac:dyDescent="0.25">
      <c r="A1010">
        <f>IFERROR(HLOOKUP($A$1,'liste CIRCUIT'!$B:$AM,1010,0)," ")</f>
        <v>0</v>
      </c>
      <c r="B1010">
        <f>IFERROR(HLOOKUP($B$1,'liste CIRCUIT'!$B:$AM,1010,0)," ")</f>
        <v>1</v>
      </c>
      <c r="C1010">
        <f t="shared" si="30"/>
        <v>1</v>
      </c>
      <c r="D1010">
        <f t="shared" si="31"/>
        <v>-1</v>
      </c>
    </row>
    <row r="1011" spans="1:4" hidden="1" x14ac:dyDescent="0.25">
      <c r="A1011">
        <f>IFERROR(HLOOKUP($A$1,'liste CIRCUIT'!$B:$AM,1011,0)," ")</f>
        <v>1</v>
      </c>
      <c r="B1011">
        <f>IFERROR(HLOOKUP($B$1,'liste CIRCUIT'!$B:$AM,1011,0)," ")</f>
        <v>0</v>
      </c>
      <c r="C1011">
        <f t="shared" si="30"/>
        <v>1</v>
      </c>
      <c r="D1011">
        <f t="shared" si="31"/>
        <v>1</v>
      </c>
    </row>
    <row r="1012" spans="1:4" hidden="1" x14ac:dyDescent="0.25">
      <c r="A1012">
        <f>IFERROR(HLOOKUP($A$1,'liste CIRCUIT'!$B:$AM,1012,0)," ")</f>
        <v>1</v>
      </c>
      <c r="B1012">
        <f>IFERROR(HLOOKUP($B$1,'liste CIRCUIT'!$B:$AM,1012,0)," ")</f>
        <v>1</v>
      </c>
      <c r="C1012">
        <f t="shared" si="30"/>
        <v>2</v>
      </c>
      <c r="D1012">
        <f t="shared" si="31"/>
        <v>0</v>
      </c>
    </row>
    <row r="1013" spans="1:4" hidden="1" x14ac:dyDescent="0.25">
      <c r="A1013">
        <f>IFERROR(HLOOKUP($A$1,'liste CIRCUIT'!$B:$AM,1013,0)," ")</f>
        <v>0</v>
      </c>
      <c r="B1013">
        <f>IFERROR(HLOOKUP($B$1,'liste CIRCUIT'!$B:$AM,1013,0)," ")</f>
        <v>0</v>
      </c>
      <c r="C1013">
        <f t="shared" si="30"/>
        <v>0</v>
      </c>
      <c r="D1013">
        <f t="shared" si="31"/>
        <v>0</v>
      </c>
    </row>
    <row r="1014" spans="1:4" hidden="1" x14ac:dyDescent="0.25">
      <c r="A1014">
        <f>IFERROR(HLOOKUP($A$1,'liste CIRCUIT'!$B:$AM,1014,0)," ")</f>
        <v>1</v>
      </c>
      <c r="B1014">
        <f>IFERROR(HLOOKUP($B$1,'liste CIRCUIT'!$B:$AM,1014,0)," ")</f>
        <v>1</v>
      </c>
      <c r="C1014">
        <f t="shared" si="30"/>
        <v>2</v>
      </c>
      <c r="D1014">
        <f t="shared" si="31"/>
        <v>0</v>
      </c>
    </row>
    <row r="1015" spans="1:4" hidden="1" x14ac:dyDescent="0.25">
      <c r="A1015">
        <f>IFERROR(HLOOKUP($A$1,'liste CIRCUIT'!$B:$AM,1015,0)," ")</f>
        <v>0</v>
      </c>
      <c r="B1015">
        <f>IFERROR(HLOOKUP($B$1,'liste CIRCUIT'!$B:$AM,1015,0)," ")</f>
        <v>0</v>
      </c>
      <c r="C1015">
        <f t="shared" si="30"/>
        <v>0</v>
      </c>
      <c r="D1015">
        <f t="shared" si="31"/>
        <v>0</v>
      </c>
    </row>
    <row r="1016" spans="1:4" hidden="1" x14ac:dyDescent="0.25">
      <c r="A1016">
        <f>IFERROR(HLOOKUP($A$1,'liste CIRCUIT'!$B:$AM,1016,0)," ")</f>
        <v>1</v>
      </c>
      <c r="B1016">
        <f>IFERROR(HLOOKUP($B$1,'liste CIRCUIT'!$B:$AM,1016,0)," ")</f>
        <v>1</v>
      </c>
      <c r="C1016">
        <f t="shared" si="30"/>
        <v>2</v>
      </c>
      <c r="D1016">
        <f t="shared" si="31"/>
        <v>0</v>
      </c>
    </row>
    <row r="1017" spans="1:4" hidden="1" x14ac:dyDescent="0.25">
      <c r="A1017">
        <f>IFERROR(HLOOKUP($A$1,'liste CIRCUIT'!$B:$AM,1017,0)," ")</f>
        <v>0</v>
      </c>
      <c r="B1017">
        <f>IFERROR(HLOOKUP($B$1,'liste CIRCUIT'!$B:$AM,1017,0)," ")</f>
        <v>0</v>
      </c>
      <c r="C1017">
        <f t="shared" si="30"/>
        <v>0</v>
      </c>
      <c r="D1017">
        <f t="shared" si="31"/>
        <v>0</v>
      </c>
    </row>
    <row r="1018" spans="1:4" hidden="1" x14ac:dyDescent="0.25">
      <c r="A1018">
        <f>IFERROR(HLOOKUP($A$1,'liste CIRCUIT'!$B:$AM,1018,0)," ")</f>
        <v>1</v>
      </c>
      <c r="B1018">
        <f>IFERROR(HLOOKUP($B$1,'liste CIRCUIT'!$B:$AM,1018,0)," ")</f>
        <v>1</v>
      </c>
      <c r="C1018">
        <f t="shared" si="30"/>
        <v>2</v>
      </c>
      <c r="D1018">
        <f t="shared" si="31"/>
        <v>0</v>
      </c>
    </row>
    <row r="1019" spans="1:4" hidden="1" x14ac:dyDescent="0.25">
      <c r="A1019">
        <f>IFERROR(HLOOKUP($A$1,'liste CIRCUIT'!$B:$AM,1019,0)," ")</f>
        <v>0</v>
      </c>
      <c r="B1019">
        <f>IFERROR(HLOOKUP($B$1,'liste CIRCUIT'!$B:$AM,1019,0)," ")</f>
        <v>0</v>
      </c>
      <c r="C1019">
        <f t="shared" si="30"/>
        <v>0</v>
      </c>
      <c r="D1019">
        <f t="shared" si="31"/>
        <v>0</v>
      </c>
    </row>
    <row r="1020" spans="1:4" hidden="1" x14ac:dyDescent="0.25">
      <c r="A1020">
        <f>IFERROR(HLOOKUP($A$1,'liste CIRCUIT'!$B:$AM,1020,0)," ")</f>
        <v>0</v>
      </c>
      <c r="B1020">
        <f>IFERROR(HLOOKUP($B$1,'liste CIRCUIT'!$B:$AM,1020,0)," ")</f>
        <v>0</v>
      </c>
      <c r="C1020">
        <f t="shared" si="30"/>
        <v>0</v>
      </c>
      <c r="D1020">
        <f t="shared" si="31"/>
        <v>0</v>
      </c>
    </row>
    <row r="1021" spans="1:4" hidden="1" x14ac:dyDescent="0.25">
      <c r="A1021">
        <f>IFERROR(HLOOKUP($A$1,'liste CIRCUIT'!$B:$AM,1021,0)," ")</f>
        <v>0</v>
      </c>
      <c r="B1021">
        <f>IFERROR(HLOOKUP($B$1,'liste CIRCUIT'!$B:$AM,1021,0)," ")</f>
        <v>0</v>
      </c>
      <c r="C1021">
        <f t="shared" si="30"/>
        <v>0</v>
      </c>
      <c r="D1021">
        <f t="shared" si="31"/>
        <v>0</v>
      </c>
    </row>
    <row r="1022" spans="1:4" hidden="1" x14ac:dyDescent="0.25">
      <c r="A1022">
        <f>IFERROR(HLOOKUP($A$1,'liste CIRCUIT'!$B:$AM,1022,0)," ")</f>
        <v>1</v>
      </c>
      <c r="B1022">
        <f>IFERROR(HLOOKUP($B$1,'liste CIRCUIT'!$B:$AM,1022,0)," ")</f>
        <v>1</v>
      </c>
      <c r="C1022">
        <f t="shared" si="30"/>
        <v>2</v>
      </c>
      <c r="D1022">
        <f t="shared" si="31"/>
        <v>0</v>
      </c>
    </row>
    <row r="1023" spans="1:4" hidden="1" x14ac:dyDescent="0.25">
      <c r="A1023">
        <f>IFERROR(HLOOKUP($A$1,'liste CIRCUIT'!$B:$AM,1023,0)," ")</f>
        <v>1</v>
      </c>
      <c r="B1023">
        <f>IFERROR(HLOOKUP($B$1,'liste CIRCUIT'!$B:$AM,1023,0)," ")</f>
        <v>1</v>
      </c>
      <c r="C1023">
        <f t="shared" si="30"/>
        <v>2</v>
      </c>
      <c r="D1023">
        <f t="shared" si="31"/>
        <v>0</v>
      </c>
    </row>
    <row r="1024" spans="1:4" hidden="1" x14ac:dyDescent="0.25">
      <c r="A1024">
        <f>IFERROR(HLOOKUP($A$1,'liste CIRCUIT'!$B:$AM,1024,0)," ")</f>
        <v>0</v>
      </c>
      <c r="B1024">
        <f>IFERROR(HLOOKUP($B$1,'liste CIRCUIT'!$B:$AM,1024,0)," ")</f>
        <v>0</v>
      </c>
      <c r="C1024">
        <f t="shared" si="30"/>
        <v>0</v>
      </c>
      <c r="D1024">
        <f t="shared" si="31"/>
        <v>0</v>
      </c>
    </row>
    <row r="1025" spans="1:4" hidden="1" x14ac:dyDescent="0.25">
      <c r="A1025">
        <f>IFERROR(HLOOKUP($A$1,'liste CIRCUIT'!$B:$AM,1025,0)," ")</f>
        <v>0</v>
      </c>
      <c r="B1025">
        <f>IFERROR(HLOOKUP($B$1,'liste CIRCUIT'!$B:$AM,1025,0)," ")</f>
        <v>1</v>
      </c>
      <c r="C1025">
        <f t="shared" si="30"/>
        <v>1</v>
      </c>
      <c r="D1025">
        <f t="shared" si="31"/>
        <v>-1</v>
      </c>
    </row>
    <row r="1026" spans="1:4" hidden="1" x14ac:dyDescent="0.25">
      <c r="A1026">
        <f>IFERROR(HLOOKUP($A$1,'liste CIRCUIT'!$B:$AM,1026,0)," ")</f>
        <v>1</v>
      </c>
      <c r="B1026">
        <f>IFERROR(HLOOKUP($B$1,'liste CIRCUIT'!$B:$AM,1026,0)," ")</f>
        <v>0</v>
      </c>
      <c r="C1026">
        <f t="shared" si="30"/>
        <v>1</v>
      </c>
      <c r="D1026">
        <f t="shared" si="31"/>
        <v>1</v>
      </c>
    </row>
    <row r="1027" spans="1:4" hidden="1" x14ac:dyDescent="0.25">
      <c r="A1027">
        <f>IFERROR(HLOOKUP($A$1,'liste CIRCUIT'!$B:$AM,1027,0)," ")</f>
        <v>0</v>
      </c>
      <c r="B1027">
        <f>IFERROR(HLOOKUP($B$1,'liste CIRCUIT'!$B:$AM,1027,0)," ")</f>
        <v>0</v>
      </c>
      <c r="C1027">
        <f t="shared" ref="C1027:C1090" si="32">SUM(A1027:B1027)</f>
        <v>0</v>
      </c>
      <c r="D1027">
        <f t="shared" ref="D1027:D1090" si="33">A1027-B1027</f>
        <v>0</v>
      </c>
    </row>
    <row r="1028" spans="1:4" hidden="1" x14ac:dyDescent="0.25">
      <c r="A1028">
        <f>IFERROR(HLOOKUP($A$1,'liste CIRCUIT'!$B:$AM,1028,0)," ")</f>
        <v>0</v>
      </c>
      <c r="B1028">
        <f>IFERROR(HLOOKUP($B$1,'liste CIRCUIT'!$B:$AM,1028,0)," ")</f>
        <v>0</v>
      </c>
      <c r="C1028">
        <f t="shared" si="32"/>
        <v>0</v>
      </c>
      <c r="D1028">
        <f t="shared" si="33"/>
        <v>0</v>
      </c>
    </row>
    <row r="1029" spans="1:4" hidden="1" x14ac:dyDescent="0.25">
      <c r="A1029">
        <f>IFERROR(HLOOKUP($A$1,'liste CIRCUIT'!$B:$AM,1029,0)," ")</f>
        <v>0</v>
      </c>
      <c r="B1029">
        <f>IFERROR(HLOOKUP($B$1,'liste CIRCUIT'!$B:$AM,1029,0)," ")</f>
        <v>0</v>
      </c>
      <c r="C1029">
        <f t="shared" si="32"/>
        <v>0</v>
      </c>
      <c r="D1029">
        <f t="shared" si="33"/>
        <v>0</v>
      </c>
    </row>
    <row r="1030" spans="1:4" hidden="1" x14ac:dyDescent="0.25">
      <c r="A1030">
        <f>IFERROR(HLOOKUP($A$1,'liste CIRCUIT'!$B:$AM,1030,0)," ")</f>
        <v>0</v>
      </c>
      <c r="B1030">
        <f>IFERROR(HLOOKUP($B$1,'liste CIRCUIT'!$B:$AM,1030,0)," ")</f>
        <v>0</v>
      </c>
      <c r="C1030">
        <f t="shared" si="32"/>
        <v>0</v>
      </c>
      <c r="D1030">
        <f t="shared" si="33"/>
        <v>0</v>
      </c>
    </row>
    <row r="1031" spans="1:4" hidden="1" x14ac:dyDescent="0.25">
      <c r="A1031">
        <f>IFERROR(HLOOKUP($A$1,'liste CIRCUIT'!$B:$AM,1031,0)," ")</f>
        <v>0</v>
      </c>
      <c r="B1031">
        <f>IFERROR(HLOOKUP($B$1,'liste CIRCUIT'!$B:$AM,1031,0)," ")</f>
        <v>1</v>
      </c>
      <c r="C1031">
        <f t="shared" si="32"/>
        <v>1</v>
      </c>
      <c r="D1031">
        <f t="shared" si="33"/>
        <v>-1</v>
      </c>
    </row>
    <row r="1032" spans="1:4" hidden="1" x14ac:dyDescent="0.25">
      <c r="A1032">
        <f>IFERROR(HLOOKUP($A$1,'liste CIRCUIT'!$B:$AM,1032,0)," ")</f>
        <v>0</v>
      </c>
      <c r="B1032">
        <f>IFERROR(HLOOKUP($B$1,'liste CIRCUIT'!$B:$AM,1032,0)," ")</f>
        <v>0</v>
      </c>
      <c r="C1032">
        <f t="shared" si="32"/>
        <v>0</v>
      </c>
      <c r="D1032">
        <f t="shared" si="33"/>
        <v>0</v>
      </c>
    </row>
    <row r="1033" spans="1:4" hidden="1" x14ac:dyDescent="0.25">
      <c r="A1033">
        <f>IFERROR(HLOOKUP($A$1,'liste CIRCUIT'!$B:$AM,1033,0)," ")</f>
        <v>0</v>
      </c>
      <c r="B1033">
        <f>IFERROR(HLOOKUP($B$1,'liste CIRCUIT'!$B:$AM,1033,0)," ")</f>
        <v>0</v>
      </c>
      <c r="C1033">
        <f t="shared" si="32"/>
        <v>0</v>
      </c>
      <c r="D1033">
        <f t="shared" si="33"/>
        <v>0</v>
      </c>
    </row>
    <row r="1034" spans="1:4" hidden="1" x14ac:dyDescent="0.25">
      <c r="A1034">
        <f>IFERROR(HLOOKUP($A$1,'liste CIRCUIT'!$B:$AM,1034,0)," ")</f>
        <v>0</v>
      </c>
      <c r="B1034">
        <f>IFERROR(HLOOKUP($B$1,'liste CIRCUIT'!$B:$AM,1034,0)," ")</f>
        <v>0</v>
      </c>
      <c r="C1034">
        <f t="shared" si="32"/>
        <v>0</v>
      </c>
      <c r="D1034">
        <f t="shared" si="33"/>
        <v>0</v>
      </c>
    </row>
    <row r="1035" spans="1:4" hidden="1" x14ac:dyDescent="0.25">
      <c r="A1035">
        <f>IFERROR(HLOOKUP($A$1,'liste CIRCUIT'!$B:$AM,1035,0)," ")</f>
        <v>0</v>
      </c>
      <c r="B1035">
        <f>IFERROR(HLOOKUP($B$1,'liste CIRCUIT'!$B:$AM,1035,0)," ")</f>
        <v>0</v>
      </c>
      <c r="C1035">
        <f t="shared" si="32"/>
        <v>0</v>
      </c>
      <c r="D1035">
        <f t="shared" si="33"/>
        <v>0</v>
      </c>
    </row>
    <row r="1036" spans="1:4" hidden="1" x14ac:dyDescent="0.25">
      <c r="A1036">
        <f>IFERROR(HLOOKUP($A$1,'liste CIRCUIT'!$B:$AM,1036,0)," ")</f>
        <v>0</v>
      </c>
      <c r="B1036">
        <f>IFERROR(HLOOKUP($B$1,'liste CIRCUIT'!$B:$AM,1036,0)," ")</f>
        <v>0</v>
      </c>
      <c r="C1036">
        <f t="shared" si="32"/>
        <v>0</v>
      </c>
      <c r="D1036">
        <f t="shared" si="33"/>
        <v>0</v>
      </c>
    </row>
    <row r="1037" spans="1:4" hidden="1" x14ac:dyDescent="0.25">
      <c r="A1037">
        <f>IFERROR(HLOOKUP($A$1,'liste CIRCUIT'!$B:$AM,1037,0)," ")</f>
        <v>1</v>
      </c>
      <c r="B1037">
        <f>IFERROR(HLOOKUP($B$1,'liste CIRCUIT'!$B:$AM,1037,0)," ")</f>
        <v>0</v>
      </c>
      <c r="C1037">
        <f t="shared" si="32"/>
        <v>1</v>
      </c>
      <c r="D1037">
        <f t="shared" si="33"/>
        <v>1</v>
      </c>
    </row>
    <row r="1038" spans="1:4" hidden="1" x14ac:dyDescent="0.25">
      <c r="A1038">
        <f>IFERROR(HLOOKUP($A$1,'liste CIRCUIT'!$B:$AM,1038,0)," ")</f>
        <v>0</v>
      </c>
      <c r="B1038">
        <f>IFERROR(HLOOKUP($B$1,'liste CIRCUIT'!$B:$AM,1038,0)," ")</f>
        <v>0</v>
      </c>
      <c r="C1038">
        <f t="shared" si="32"/>
        <v>0</v>
      </c>
      <c r="D1038">
        <f t="shared" si="33"/>
        <v>0</v>
      </c>
    </row>
    <row r="1039" spans="1:4" hidden="1" x14ac:dyDescent="0.25">
      <c r="A1039">
        <f>IFERROR(HLOOKUP($A$1,'liste CIRCUIT'!$B:$AM,1039,0)," ")</f>
        <v>0</v>
      </c>
      <c r="B1039">
        <f>IFERROR(HLOOKUP($B$1,'liste CIRCUIT'!$B:$AM,1039,0)," ")</f>
        <v>0</v>
      </c>
      <c r="C1039">
        <f t="shared" si="32"/>
        <v>0</v>
      </c>
      <c r="D1039">
        <f t="shared" si="33"/>
        <v>0</v>
      </c>
    </row>
    <row r="1040" spans="1:4" hidden="1" x14ac:dyDescent="0.25">
      <c r="A1040">
        <f>IFERROR(HLOOKUP($A$1,'liste CIRCUIT'!$B:$AM,1040,0)," ")</f>
        <v>0</v>
      </c>
      <c r="B1040">
        <f>IFERROR(HLOOKUP($B$1,'liste CIRCUIT'!$B:$AM,1040,0)," ")</f>
        <v>0</v>
      </c>
      <c r="C1040">
        <f t="shared" si="32"/>
        <v>0</v>
      </c>
      <c r="D1040">
        <f t="shared" si="33"/>
        <v>0</v>
      </c>
    </row>
    <row r="1041" spans="1:4" hidden="1" x14ac:dyDescent="0.25">
      <c r="A1041">
        <f>IFERROR(HLOOKUP($A$1,'liste CIRCUIT'!$B:$AM,1041,0)," ")</f>
        <v>0</v>
      </c>
      <c r="B1041">
        <f>IFERROR(HLOOKUP($B$1,'liste CIRCUIT'!$B:$AM,1041,0)," ")</f>
        <v>0</v>
      </c>
      <c r="C1041">
        <f t="shared" si="32"/>
        <v>0</v>
      </c>
      <c r="D1041">
        <f t="shared" si="33"/>
        <v>0</v>
      </c>
    </row>
    <row r="1042" spans="1:4" hidden="1" x14ac:dyDescent="0.25">
      <c r="A1042">
        <f>IFERROR(HLOOKUP($A$1,'liste CIRCUIT'!$B:$AM,1042,0)," ")</f>
        <v>0</v>
      </c>
      <c r="B1042">
        <f>IFERROR(HLOOKUP($B$1,'liste CIRCUIT'!$B:$AM,1042,0)," ")</f>
        <v>0</v>
      </c>
      <c r="C1042">
        <f t="shared" si="32"/>
        <v>0</v>
      </c>
      <c r="D1042">
        <f t="shared" si="33"/>
        <v>0</v>
      </c>
    </row>
    <row r="1043" spans="1:4" hidden="1" x14ac:dyDescent="0.25">
      <c r="A1043">
        <f>IFERROR(HLOOKUP($A$1,'liste CIRCUIT'!$B:$AM,1043,0)," ")</f>
        <v>0</v>
      </c>
      <c r="B1043">
        <f>IFERROR(HLOOKUP($B$1,'liste CIRCUIT'!$B:$AM,1043,0)," ")</f>
        <v>0</v>
      </c>
      <c r="C1043">
        <f t="shared" si="32"/>
        <v>0</v>
      </c>
      <c r="D1043">
        <f t="shared" si="33"/>
        <v>0</v>
      </c>
    </row>
    <row r="1044" spans="1:4" hidden="1" x14ac:dyDescent="0.25">
      <c r="A1044">
        <f>IFERROR(HLOOKUP($A$1,'liste CIRCUIT'!$B:$AM,1044,0)," ")</f>
        <v>1</v>
      </c>
      <c r="B1044">
        <f>IFERROR(HLOOKUP($B$1,'liste CIRCUIT'!$B:$AM,1044,0)," ")</f>
        <v>1</v>
      </c>
      <c r="C1044">
        <f t="shared" si="32"/>
        <v>2</v>
      </c>
      <c r="D1044">
        <f t="shared" si="33"/>
        <v>0</v>
      </c>
    </row>
    <row r="1045" spans="1:4" hidden="1" x14ac:dyDescent="0.25">
      <c r="A1045">
        <f>IFERROR(HLOOKUP($A$1,'liste CIRCUIT'!$B:$AM,1045,0)," ")</f>
        <v>0</v>
      </c>
      <c r="B1045">
        <f>IFERROR(HLOOKUP($B$1,'liste CIRCUIT'!$B:$AM,1045,0)," ")</f>
        <v>0</v>
      </c>
      <c r="C1045">
        <f t="shared" si="32"/>
        <v>0</v>
      </c>
      <c r="D1045">
        <f t="shared" si="33"/>
        <v>0</v>
      </c>
    </row>
    <row r="1046" spans="1:4" hidden="1" x14ac:dyDescent="0.25">
      <c r="A1046">
        <f>IFERROR(HLOOKUP($A$1,'liste CIRCUIT'!$B:$AM,1046,0)," ")</f>
        <v>1</v>
      </c>
      <c r="B1046">
        <f>IFERROR(HLOOKUP($B$1,'liste CIRCUIT'!$B:$AM,1046,0)," ")</f>
        <v>1</v>
      </c>
      <c r="C1046">
        <f t="shared" si="32"/>
        <v>2</v>
      </c>
      <c r="D1046">
        <f t="shared" si="33"/>
        <v>0</v>
      </c>
    </row>
    <row r="1047" spans="1:4" hidden="1" x14ac:dyDescent="0.25">
      <c r="A1047">
        <f>IFERROR(HLOOKUP($A$1,'liste CIRCUIT'!$B:$AM,1047,0)," ")</f>
        <v>0</v>
      </c>
      <c r="B1047">
        <f>IFERROR(HLOOKUP($B$1,'liste CIRCUIT'!$B:$AM,1047,0)," ")</f>
        <v>0</v>
      </c>
      <c r="C1047">
        <f t="shared" si="32"/>
        <v>0</v>
      </c>
      <c r="D1047">
        <f t="shared" si="33"/>
        <v>0</v>
      </c>
    </row>
    <row r="1048" spans="1:4" hidden="1" x14ac:dyDescent="0.25">
      <c r="A1048">
        <f>IFERROR(HLOOKUP($A$1,'liste CIRCUIT'!$B:$AM,1048,0)," ")</f>
        <v>0</v>
      </c>
      <c r="B1048">
        <f>IFERROR(HLOOKUP($B$1,'liste CIRCUIT'!$B:$AM,1048,0)," ")</f>
        <v>0</v>
      </c>
      <c r="C1048">
        <f t="shared" si="32"/>
        <v>0</v>
      </c>
      <c r="D1048">
        <f t="shared" si="33"/>
        <v>0</v>
      </c>
    </row>
    <row r="1049" spans="1:4" hidden="1" x14ac:dyDescent="0.25">
      <c r="A1049">
        <f>IFERROR(HLOOKUP($A$1,'liste CIRCUIT'!$B:$AM,1049,0)," ")</f>
        <v>0</v>
      </c>
      <c r="B1049">
        <f>IFERROR(HLOOKUP($B$1,'liste CIRCUIT'!$B:$AM,1049,0)," ")</f>
        <v>0</v>
      </c>
      <c r="C1049">
        <f t="shared" si="32"/>
        <v>0</v>
      </c>
      <c r="D1049">
        <f t="shared" si="33"/>
        <v>0</v>
      </c>
    </row>
    <row r="1050" spans="1:4" hidden="1" x14ac:dyDescent="0.25">
      <c r="A1050">
        <f>IFERROR(HLOOKUP($A$1,'liste CIRCUIT'!$B:$AM,1050,0)," ")</f>
        <v>0</v>
      </c>
      <c r="B1050">
        <f>IFERROR(HLOOKUP($B$1,'liste CIRCUIT'!$B:$AM,1050,0)," ")</f>
        <v>0</v>
      </c>
      <c r="C1050">
        <f t="shared" si="32"/>
        <v>0</v>
      </c>
      <c r="D1050">
        <f t="shared" si="33"/>
        <v>0</v>
      </c>
    </row>
    <row r="1051" spans="1:4" hidden="1" x14ac:dyDescent="0.25">
      <c r="A1051">
        <f>IFERROR(HLOOKUP($A$1,'liste CIRCUIT'!$B:$AM,1051,0)," ")</f>
        <v>0</v>
      </c>
      <c r="B1051">
        <f>IFERROR(HLOOKUP($B$1,'liste CIRCUIT'!$B:$AM,1051,0)," ")</f>
        <v>0</v>
      </c>
      <c r="C1051">
        <f t="shared" si="32"/>
        <v>0</v>
      </c>
      <c r="D1051">
        <f t="shared" si="33"/>
        <v>0</v>
      </c>
    </row>
    <row r="1052" spans="1:4" hidden="1" x14ac:dyDescent="0.25">
      <c r="A1052">
        <f>IFERROR(HLOOKUP($A$1,'liste CIRCUIT'!$B:$AM,1052,0)," ")</f>
        <v>0</v>
      </c>
      <c r="B1052">
        <f>IFERROR(HLOOKUP($B$1,'liste CIRCUIT'!$B:$AM,1052,0)," ")</f>
        <v>0</v>
      </c>
      <c r="C1052">
        <f t="shared" si="32"/>
        <v>0</v>
      </c>
      <c r="D1052">
        <f t="shared" si="33"/>
        <v>0</v>
      </c>
    </row>
    <row r="1053" spans="1:4" hidden="1" x14ac:dyDescent="0.25">
      <c r="A1053">
        <f>IFERROR(HLOOKUP($A$1,'liste CIRCUIT'!$B:$AM,1053,0)," ")</f>
        <v>0</v>
      </c>
      <c r="B1053">
        <f>IFERROR(HLOOKUP($B$1,'liste CIRCUIT'!$B:$AM,1053,0)," ")</f>
        <v>0</v>
      </c>
      <c r="C1053">
        <f t="shared" si="32"/>
        <v>0</v>
      </c>
      <c r="D1053">
        <f t="shared" si="33"/>
        <v>0</v>
      </c>
    </row>
    <row r="1054" spans="1:4" hidden="1" x14ac:dyDescent="0.25">
      <c r="A1054">
        <f>IFERROR(HLOOKUP($A$1,'liste CIRCUIT'!$B:$AM,1054,0)," ")</f>
        <v>1</v>
      </c>
      <c r="B1054">
        <f>IFERROR(HLOOKUP($B$1,'liste CIRCUIT'!$B:$AM,1054,0)," ")</f>
        <v>0</v>
      </c>
      <c r="C1054">
        <f t="shared" si="32"/>
        <v>1</v>
      </c>
      <c r="D1054">
        <f t="shared" si="33"/>
        <v>1</v>
      </c>
    </row>
    <row r="1055" spans="1:4" hidden="1" x14ac:dyDescent="0.25">
      <c r="A1055">
        <f>IFERROR(HLOOKUP($A$1,'liste CIRCUIT'!$B:$AM,1055,0)," ")</f>
        <v>0</v>
      </c>
      <c r="B1055">
        <f>IFERROR(HLOOKUP($B$1,'liste CIRCUIT'!$B:$AM,1055,0)," ")</f>
        <v>0</v>
      </c>
      <c r="C1055">
        <f t="shared" si="32"/>
        <v>0</v>
      </c>
      <c r="D1055">
        <f t="shared" si="33"/>
        <v>0</v>
      </c>
    </row>
    <row r="1056" spans="1:4" hidden="1" x14ac:dyDescent="0.25">
      <c r="A1056">
        <f>IFERROR(HLOOKUP($A$1,'liste CIRCUIT'!$B:$AM,1056,0)," ")</f>
        <v>0</v>
      </c>
      <c r="B1056">
        <f>IFERROR(HLOOKUP($B$1,'liste CIRCUIT'!$B:$AM,1056,0)," ")</f>
        <v>1</v>
      </c>
      <c r="C1056">
        <f t="shared" si="32"/>
        <v>1</v>
      </c>
      <c r="D1056">
        <f t="shared" si="33"/>
        <v>-1</v>
      </c>
    </row>
    <row r="1057" spans="1:4" hidden="1" x14ac:dyDescent="0.25">
      <c r="A1057">
        <f>IFERROR(HLOOKUP($A$1,'liste CIRCUIT'!$B:$AM,1057,0)," ")</f>
        <v>0</v>
      </c>
      <c r="B1057">
        <f>IFERROR(HLOOKUP($B$1,'liste CIRCUIT'!$B:$AM,1057,0)," ")</f>
        <v>0</v>
      </c>
      <c r="C1057">
        <f t="shared" si="32"/>
        <v>0</v>
      </c>
      <c r="D1057">
        <f t="shared" si="33"/>
        <v>0</v>
      </c>
    </row>
    <row r="1058" spans="1:4" hidden="1" x14ac:dyDescent="0.25">
      <c r="A1058">
        <f>IFERROR(HLOOKUP($A$1,'liste CIRCUIT'!$B:$AM,1058,0)," ")</f>
        <v>0</v>
      </c>
      <c r="B1058">
        <f>IFERROR(HLOOKUP($B$1,'liste CIRCUIT'!$B:$AM,1058,0)," ")</f>
        <v>0</v>
      </c>
      <c r="C1058">
        <f t="shared" si="32"/>
        <v>0</v>
      </c>
      <c r="D1058">
        <f t="shared" si="33"/>
        <v>0</v>
      </c>
    </row>
    <row r="1059" spans="1:4" hidden="1" x14ac:dyDescent="0.25">
      <c r="A1059">
        <f>IFERROR(HLOOKUP($A$1,'liste CIRCUIT'!$B:$AM,1059,0)," ")</f>
        <v>0</v>
      </c>
      <c r="B1059">
        <f>IFERROR(HLOOKUP($B$1,'liste CIRCUIT'!$B:$AM,1059,0)," ")</f>
        <v>0</v>
      </c>
      <c r="C1059">
        <f t="shared" si="32"/>
        <v>0</v>
      </c>
      <c r="D1059">
        <f t="shared" si="33"/>
        <v>0</v>
      </c>
    </row>
    <row r="1060" spans="1:4" hidden="1" x14ac:dyDescent="0.25">
      <c r="A1060">
        <f>IFERROR(HLOOKUP($A$1,'liste CIRCUIT'!$B:$AM,1060,0)," ")</f>
        <v>1</v>
      </c>
      <c r="B1060">
        <f>IFERROR(HLOOKUP($B$1,'liste CIRCUIT'!$B:$AM,1060,0)," ")</f>
        <v>1</v>
      </c>
      <c r="C1060">
        <f t="shared" si="32"/>
        <v>2</v>
      </c>
      <c r="D1060">
        <f t="shared" si="33"/>
        <v>0</v>
      </c>
    </row>
    <row r="1061" spans="1:4" hidden="1" x14ac:dyDescent="0.25">
      <c r="A1061">
        <f>IFERROR(HLOOKUP($A$1,'liste CIRCUIT'!$B:$AM,1061,0)," ")</f>
        <v>0</v>
      </c>
      <c r="B1061">
        <f>IFERROR(HLOOKUP($B$1,'liste CIRCUIT'!$B:$AM,1061,0)," ")</f>
        <v>0</v>
      </c>
      <c r="C1061">
        <f t="shared" si="32"/>
        <v>0</v>
      </c>
      <c r="D1061">
        <f t="shared" si="33"/>
        <v>0</v>
      </c>
    </row>
    <row r="1062" spans="1:4" hidden="1" x14ac:dyDescent="0.25">
      <c r="A1062">
        <f>IFERROR(HLOOKUP($A$1,'liste CIRCUIT'!$B:$AM,1062,0)," ")</f>
        <v>1</v>
      </c>
      <c r="B1062">
        <f>IFERROR(HLOOKUP($B$1,'liste CIRCUIT'!$B:$AM,1062,0)," ")</f>
        <v>1</v>
      </c>
      <c r="C1062">
        <f t="shared" si="32"/>
        <v>2</v>
      </c>
      <c r="D1062">
        <f t="shared" si="33"/>
        <v>0</v>
      </c>
    </row>
    <row r="1063" spans="1:4" hidden="1" x14ac:dyDescent="0.25">
      <c r="A1063">
        <f>IFERROR(HLOOKUP($A$1,'liste CIRCUIT'!$B:$AM,1063,0)," ")</f>
        <v>1</v>
      </c>
      <c r="B1063">
        <f>IFERROR(HLOOKUP($B$1,'liste CIRCUIT'!$B:$AM,1063,0)," ")</f>
        <v>1</v>
      </c>
      <c r="C1063">
        <f t="shared" si="32"/>
        <v>2</v>
      </c>
      <c r="D1063">
        <f t="shared" si="33"/>
        <v>0</v>
      </c>
    </row>
    <row r="1064" spans="1:4" hidden="1" x14ac:dyDescent="0.25">
      <c r="A1064">
        <f>IFERROR(HLOOKUP($A$1,'liste CIRCUIT'!$B:$AM,1064,0)," ")</f>
        <v>1</v>
      </c>
      <c r="B1064">
        <f>IFERROR(HLOOKUP($B$1,'liste CIRCUIT'!$B:$AM,1064,0)," ")</f>
        <v>1</v>
      </c>
      <c r="C1064">
        <f t="shared" si="32"/>
        <v>2</v>
      </c>
      <c r="D1064">
        <f t="shared" si="33"/>
        <v>0</v>
      </c>
    </row>
    <row r="1065" spans="1:4" hidden="1" x14ac:dyDescent="0.25">
      <c r="A1065">
        <f>IFERROR(HLOOKUP($A$1,'liste CIRCUIT'!$B:$AM,1065,0)," ")</f>
        <v>1</v>
      </c>
      <c r="B1065">
        <f>IFERROR(HLOOKUP($B$1,'liste CIRCUIT'!$B:$AM,1065,0)," ")</f>
        <v>1</v>
      </c>
      <c r="C1065">
        <f t="shared" si="32"/>
        <v>2</v>
      </c>
      <c r="D1065">
        <f t="shared" si="33"/>
        <v>0</v>
      </c>
    </row>
    <row r="1066" spans="1:4" hidden="1" x14ac:dyDescent="0.25">
      <c r="A1066">
        <f>IFERROR(HLOOKUP($A$1,'liste CIRCUIT'!$B:$AM,1066,0)," ")</f>
        <v>1</v>
      </c>
      <c r="B1066">
        <f>IFERROR(HLOOKUP($B$1,'liste CIRCUIT'!$B:$AM,1066,0)," ")</f>
        <v>1</v>
      </c>
      <c r="C1066">
        <f t="shared" si="32"/>
        <v>2</v>
      </c>
      <c r="D1066">
        <f t="shared" si="33"/>
        <v>0</v>
      </c>
    </row>
    <row r="1067" spans="1:4" hidden="1" x14ac:dyDescent="0.25">
      <c r="A1067">
        <f>IFERROR(HLOOKUP($A$1,'liste CIRCUIT'!$B:$AM,1067,0)," ")</f>
        <v>1</v>
      </c>
      <c r="B1067">
        <f>IFERROR(HLOOKUP($B$1,'liste CIRCUIT'!$B:$AM,1067,0)," ")</f>
        <v>1</v>
      </c>
      <c r="C1067">
        <f t="shared" si="32"/>
        <v>2</v>
      </c>
      <c r="D1067">
        <f t="shared" si="33"/>
        <v>0</v>
      </c>
    </row>
    <row r="1068" spans="1:4" hidden="1" x14ac:dyDescent="0.25">
      <c r="A1068">
        <f>IFERROR(HLOOKUP($A$1,'liste CIRCUIT'!$B:$AM,1068,0)," ")</f>
        <v>1</v>
      </c>
      <c r="B1068">
        <f>IFERROR(HLOOKUP($B$1,'liste CIRCUIT'!$B:$AM,1068,0)," ")</f>
        <v>1</v>
      </c>
      <c r="C1068">
        <f t="shared" si="32"/>
        <v>2</v>
      </c>
      <c r="D1068">
        <f t="shared" si="33"/>
        <v>0</v>
      </c>
    </row>
    <row r="1069" spans="1:4" hidden="1" x14ac:dyDescent="0.25">
      <c r="A1069">
        <f>IFERROR(HLOOKUP($A$1,'liste CIRCUIT'!$B:$AM,1069,0)," ")</f>
        <v>1</v>
      </c>
      <c r="B1069">
        <f>IFERROR(HLOOKUP($B$1,'liste CIRCUIT'!$B:$AM,1069,0)," ")</f>
        <v>1</v>
      </c>
      <c r="C1069">
        <f t="shared" si="32"/>
        <v>2</v>
      </c>
      <c r="D1069">
        <f t="shared" si="33"/>
        <v>0</v>
      </c>
    </row>
    <row r="1070" spans="1:4" hidden="1" x14ac:dyDescent="0.25">
      <c r="A1070">
        <f>IFERROR(HLOOKUP($A$1,'liste CIRCUIT'!$B:$AM,1070,0)," ")</f>
        <v>1</v>
      </c>
      <c r="B1070">
        <f>IFERROR(HLOOKUP($B$1,'liste CIRCUIT'!$B:$AM,1070,0)," ")</f>
        <v>1</v>
      </c>
      <c r="C1070">
        <f t="shared" si="32"/>
        <v>2</v>
      </c>
      <c r="D1070">
        <f t="shared" si="33"/>
        <v>0</v>
      </c>
    </row>
    <row r="1071" spans="1:4" hidden="1" x14ac:dyDescent="0.25">
      <c r="A1071">
        <f>IFERROR(HLOOKUP($A$1,'liste CIRCUIT'!$B:$AM,1071,0)," ")</f>
        <v>1</v>
      </c>
      <c r="B1071">
        <f>IFERROR(HLOOKUP($B$1,'liste CIRCUIT'!$B:$AM,1071,0)," ")</f>
        <v>1</v>
      </c>
      <c r="C1071">
        <f t="shared" si="32"/>
        <v>2</v>
      </c>
      <c r="D1071">
        <f t="shared" si="33"/>
        <v>0</v>
      </c>
    </row>
    <row r="1072" spans="1:4" hidden="1" x14ac:dyDescent="0.25">
      <c r="A1072">
        <f>IFERROR(HLOOKUP($A$1,'liste CIRCUIT'!$B:$AM,1072,0)," ")</f>
        <v>1</v>
      </c>
      <c r="B1072">
        <f>IFERROR(HLOOKUP($B$1,'liste CIRCUIT'!$B:$AM,1072,0)," ")</f>
        <v>1</v>
      </c>
      <c r="C1072">
        <f t="shared" si="32"/>
        <v>2</v>
      </c>
      <c r="D1072">
        <f t="shared" si="33"/>
        <v>0</v>
      </c>
    </row>
    <row r="1073" spans="1:4" hidden="1" x14ac:dyDescent="0.25">
      <c r="A1073">
        <f>IFERROR(HLOOKUP($A$1,'liste CIRCUIT'!$B:$AM,1073,0)," ")</f>
        <v>0</v>
      </c>
      <c r="B1073">
        <f>IFERROR(HLOOKUP($B$1,'liste CIRCUIT'!$B:$AM,1073,0)," ")</f>
        <v>0</v>
      </c>
      <c r="C1073">
        <f t="shared" si="32"/>
        <v>0</v>
      </c>
      <c r="D1073">
        <f t="shared" si="33"/>
        <v>0</v>
      </c>
    </row>
    <row r="1074" spans="1:4" hidden="1" x14ac:dyDescent="0.25">
      <c r="A1074">
        <f>IFERROR(HLOOKUP($A$1,'liste CIRCUIT'!$B:$AM,1074,0)," ")</f>
        <v>0</v>
      </c>
      <c r="B1074">
        <f>IFERROR(HLOOKUP($B$1,'liste CIRCUIT'!$B:$AM,1074,0)," ")</f>
        <v>0</v>
      </c>
      <c r="C1074">
        <f t="shared" si="32"/>
        <v>0</v>
      </c>
      <c r="D1074">
        <f t="shared" si="33"/>
        <v>0</v>
      </c>
    </row>
    <row r="1075" spans="1:4" hidden="1" x14ac:dyDescent="0.25">
      <c r="A1075">
        <f>IFERROR(HLOOKUP($A$1,'liste CIRCUIT'!$B:$AM,1075,0)," ")</f>
        <v>1</v>
      </c>
      <c r="B1075">
        <f>IFERROR(HLOOKUP($B$1,'liste CIRCUIT'!$B:$AM,1075,0)," ")</f>
        <v>0</v>
      </c>
      <c r="C1075">
        <f t="shared" si="32"/>
        <v>1</v>
      </c>
      <c r="D1075">
        <f t="shared" si="33"/>
        <v>1</v>
      </c>
    </row>
    <row r="1076" spans="1:4" hidden="1" x14ac:dyDescent="0.25">
      <c r="A1076">
        <f>IFERROR(HLOOKUP($A$1,'liste CIRCUIT'!$B:$AM,1076,0)," ")</f>
        <v>0</v>
      </c>
      <c r="B1076">
        <f>IFERROR(HLOOKUP($B$1,'liste CIRCUIT'!$B:$AM,1076,0)," ")</f>
        <v>0</v>
      </c>
      <c r="C1076">
        <f t="shared" si="32"/>
        <v>0</v>
      </c>
      <c r="D1076">
        <f t="shared" si="33"/>
        <v>0</v>
      </c>
    </row>
    <row r="1077" spans="1:4" hidden="1" x14ac:dyDescent="0.25">
      <c r="A1077">
        <f>IFERROR(HLOOKUP($A$1,'liste CIRCUIT'!$B:$AM,1077,0)," ")</f>
        <v>0</v>
      </c>
      <c r="B1077">
        <f>IFERROR(HLOOKUP($B$1,'liste CIRCUIT'!$B:$AM,1077,0)," ")</f>
        <v>1</v>
      </c>
      <c r="C1077">
        <f t="shared" si="32"/>
        <v>1</v>
      </c>
      <c r="D1077">
        <f t="shared" si="33"/>
        <v>-1</v>
      </c>
    </row>
    <row r="1078" spans="1:4" hidden="1" x14ac:dyDescent="0.25">
      <c r="A1078">
        <f>IFERROR(HLOOKUP($A$1,'liste CIRCUIT'!$B:$AM,1078,0)," ")</f>
        <v>0</v>
      </c>
      <c r="B1078">
        <f>IFERROR(HLOOKUP($B$1,'liste CIRCUIT'!$B:$AM,1078,0)," ")</f>
        <v>0</v>
      </c>
      <c r="C1078">
        <f t="shared" si="32"/>
        <v>0</v>
      </c>
      <c r="D1078">
        <f t="shared" si="33"/>
        <v>0</v>
      </c>
    </row>
    <row r="1079" spans="1:4" hidden="1" x14ac:dyDescent="0.25">
      <c r="A1079">
        <f>IFERROR(HLOOKUP($A$1,'liste CIRCUIT'!$B:$AM,1079,0)," ")</f>
        <v>0</v>
      </c>
      <c r="B1079">
        <f>IFERROR(HLOOKUP($B$1,'liste CIRCUIT'!$B:$AM,1079,0)," ")</f>
        <v>0</v>
      </c>
      <c r="C1079">
        <f t="shared" si="32"/>
        <v>0</v>
      </c>
      <c r="D1079">
        <f t="shared" si="33"/>
        <v>0</v>
      </c>
    </row>
    <row r="1080" spans="1:4" hidden="1" x14ac:dyDescent="0.25">
      <c r="A1080">
        <f>IFERROR(HLOOKUP($A$1,'liste CIRCUIT'!$B:$AM,1080,0)," ")</f>
        <v>0</v>
      </c>
      <c r="B1080">
        <f>IFERROR(HLOOKUP($B$1,'liste CIRCUIT'!$B:$AM,1080,0)," ")</f>
        <v>0</v>
      </c>
      <c r="C1080">
        <f t="shared" si="32"/>
        <v>0</v>
      </c>
      <c r="D1080">
        <f t="shared" si="33"/>
        <v>0</v>
      </c>
    </row>
    <row r="1081" spans="1:4" hidden="1" x14ac:dyDescent="0.25">
      <c r="A1081">
        <f>IFERROR(HLOOKUP($A$1,'liste CIRCUIT'!$B:$AM,1081,0)," ")</f>
        <v>1</v>
      </c>
      <c r="B1081">
        <f>IFERROR(HLOOKUP($B$1,'liste CIRCUIT'!$B:$AM,1081,0)," ")</f>
        <v>1</v>
      </c>
      <c r="C1081">
        <f t="shared" si="32"/>
        <v>2</v>
      </c>
      <c r="D1081">
        <f t="shared" si="33"/>
        <v>0</v>
      </c>
    </row>
    <row r="1082" spans="1:4" hidden="1" x14ac:dyDescent="0.25">
      <c r="A1082">
        <f>IFERROR(HLOOKUP($A$1,'liste CIRCUIT'!$B:$AM,1082,0)," ")</f>
        <v>1</v>
      </c>
      <c r="B1082">
        <f>IFERROR(HLOOKUP($B$1,'liste CIRCUIT'!$B:$AM,1082,0)," ")</f>
        <v>1</v>
      </c>
      <c r="C1082">
        <f t="shared" si="32"/>
        <v>2</v>
      </c>
      <c r="D1082">
        <f t="shared" si="33"/>
        <v>0</v>
      </c>
    </row>
    <row r="1083" spans="1:4" hidden="1" x14ac:dyDescent="0.25">
      <c r="A1083">
        <f>IFERROR(HLOOKUP($A$1,'liste CIRCUIT'!$B:$AM,1083,0)," ")</f>
        <v>1</v>
      </c>
      <c r="B1083">
        <f>IFERROR(HLOOKUP($B$1,'liste CIRCUIT'!$B:$AM,1083,0)," ")</f>
        <v>1</v>
      </c>
      <c r="C1083">
        <f t="shared" si="32"/>
        <v>2</v>
      </c>
      <c r="D1083">
        <f t="shared" si="33"/>
        <v>0</v>
      </c>
    </row>
    <row r="1084" spans="1:4" hidden="1" x14ac:dyDescent="0.25">
      <c r="A1084">
        <f>IFERROR(HLOOKUP($A$1,'liste CIRCUIT'!$B:$AM,1084,0)," ")</f>
        <v>1</v>
      </c>
      <c r="B1084">
        <f>IFERROR(HLOOKUP($B$1,'liste CIRCUIT'!$B:$AM,1084,0)," ")</f>
        <v>1</v>
      </c>
      <c r="C1084">
        <f t="shared" si="32"/>
        <v>2</v>
      </c>
      <c r="D1084">
        <f t="shared" si="33"/>
        <v>0</v>
      </c>
    </row>
    <row r="1085" spans="1:4" hidden="1" x14ac:dyDescent="0.25">
      <c r="A1085">
        <f>IFERROR(HLOOKUP($A$1,'liste CIRCUIT'!$B:$AM,1085,0)," ")</f>
        <v>1</v>
      </c>
      <c r="B1085">
        <f>IFERROR(HLOOKUP($B$1,'liste CIRCUIT'!$B:$AM,1085,0)," ")</f>
        <v>1</v>
      </c>
      <c r="C1085">
        <f t="shared" si="32"/>
        <v>2</v>
      </c>
      <c r="D1085">
        <f t="shared" si="33"/>
        <v>0</v>
      </c>
    </row>
    <row r="1086" spans="1:4" hidden="1" x14ac:dyDescent="0.25">
      <c r="A1086">
        <f>IFERROR(HLOOKUP($A$1,'liste CIRCUIT'!$B:$AM,1086,0)," ")</f>
        <v>0</v>
      </c>
      <c r="B1086">
        <f>IFERROR(HLOOKUP($B$1,'liste CIRCUIT'!$B:$AM,1086,0)," ")</f>
        <v>1</v>
      </c>
      <c r="C1086">
        <f t="shared" si="32"/>
        <v>1</v>
      </c>
      <c r="D1086">
        <f t="shared" si="33"/>
        <v>-1</v>
      </c>
    </row>
    <row r="1087" spans="1:4" hidden="1" x14ac:dyDescent="0.25">
      <c r="A1087">
        <f>IFERROR(HLOOKUP($A$1,'liste CIRCUIT'!$B:$AM,1087,0)," ")</f>
        <v>0</v>
      </c>
      <c r="B1087">
        <f>IFERROR(HLOOKUP($B$1,'liste CIRCUIT'!$B:$AM,1087,0)," ")</f>
        <v>0</v>
      </c>
      <c r="C1087">
        <f t="shared" si="32"/>
        <v>0</v>
      </c>
      <c r="D1087">
        <f t="shared" si="33"/>
        <v>0</v>
      </c>
    </row>
    <row r="1088" spans="1:4" hidden="1" x14ac:dyDescent="0.25">
      <c r="A1088">
        <f>IFERROR(HLOOKUP($A$1,'liste CIRCUIT'!$B:$AM,1088,0)," ")</f>
        <v>0</v>
      </c>
      <c r="B1088">
        <f>IFERROR(HLOOKUP($B$1,'liste CIRCUIT'!$B:$AM,1088,0)," ")</f>
        <v>0</v>
      </c>
      <c r="C1088">
        <f t="shared" si="32"/>
        <v>0</v>
      </c>
      <c r="D1088">
        <f t="shared" si="33"/>
        <v>0</v>
      </c>
    </row>
    <row r="1089" spans="1:4" hidden="1" x14ac:dyDescent="0.25">
      <c r="A1089">
        <f>IFERROR(HLOOKUP($A$1,'liste CIRCUIT'!$B:$AM,1089,0)," ")</f>
        <v>0</v>
      </c>
      <c r="B1089">
        <f>IFERROR(HLOOKUP($B$1,'liste CIRCUIT'!$B:$AM,1089,0)," ")</f>
        <v>1</v>
      </c>
      <c r="C1089">
        <f t="shared" si="32"/>
        <v>1</v>
      </c>
      <c r="D1089">
        <f t="shared" si="33"/>
        <v>-1</v>
      </c>
    </row>
    <row r="1090" spans="1:4" hidden="1" x14ac:dyDescent="0.25">
      <c r="A1090">
        <f>IFERROR(HLOOKUP($A$1,'liste CIRCUIT'!$B:$AM,1090,0)," ")</f>
        <v>0</v>
      </c>
      <c r="B1090">
        <f>IFERROR(HLOOKUP($B$1,'liste CIRCUIT'!$B:$AM,1090,0)," ")</f>
        <v>0</v>
      </c>
      <c r="C1090">
        <f t="shared" si="32"/>
        <v>0</v>
      </c>
      <c r="D1090">
        <f t="shared" si="33"/>
        <v>0</v>
      </c>
    </row>
    <row r="1091" spans="1:4" hidden="1" x14ac:dyDescent="0.25">
      <c r="A1091">
        <f>IFERROR(HLOOKUP($A$1,'liste CIRCUIT'!$B:$AM,1091,0)," ")</f>
        <v>0</v>
      </c>
      <c r="B1091">
        <f>IFERROR(HLOOKUP($B$1,'liste CIRCUIT'!$B:$AM,1091,0)," ")</f>
        <v>0</v>
      </c>
      <c r="C1091">
        <f t="shared" ref="C1091:C1154" si="34">SUM(A1091:B1091)</f>
        <v>0</v>
      </c>
      <c r="D1091">
        <f t="shared" ref="D1091:D1154" si="35">A1091-B1091</f>
        <v>0</v>
      </c>
    </row>
    <row r="1092" spans="1:4" hidden="1" x14ac:dyDescent="0.25">
      <c r="A1092">
        <f>IFERROR(HLOOKUP($A$1,'liste CIRCUIT'!$B:$AM,1092,0)," ")</f>
        <v>1</v>
      </c>
      <c r="B1092">
        <f>IFERROR(HLOOKUP($B$1,'liste CIRCUIT'!$B:$AM,1092,0)," ")</f>
        <v>1</v>
      </c>
      <c r="C1092">
        <f t="shared" si="34"/>
        <v>2</v>
      </c>
      <c r="D1092">
        <f t="shared" si="35"/>
        <v>0</v>
      </c>
    </row>
    <row r="1093" spans="1:4" hidden="1" x14ac:dyDescent="0.25">
      <c r="A1093">
        <f>IFERROR(HLOOKUP($A$1,'liste CIRCUIT'!$B:$AM,1093,0)," ")</f>
        <v>0</v>
      </c>
      <c r="B1093">
        <f>IFERROR(HLOOKUP($B$1,'liste CIRCUIT'!$B:$AM,1093,0)," ")</f>
        <v>0</v>
      </c>
      <c r="C1093">
        <f t="shared" si="34"/>
        <v>0</v>
      </c>
      <c r="D1093">
        <f t="shared" si="35"/>
        <v>0</v>
      </c>
    </row>
    <row r="1094" spans="1:4" hidden="1" x14ac:dyDescent="0.25">
      <c r="A1094">
        <f>IFERROR(HLOOKUP($A$1,'liste CIRCUIT'!$B:$AM,1094,0)," ")</f>
        <v>1</v>
      </c>
      <c r="B1094">
        <f>IFERROR(HLOOKUP($B$1,'liste CIRCUIT'!$B:$AM,1094,0)," ")</f>
        <v>1</v>
      </c>
      <c r="C1094">
        <f t="shared" si="34"/>
        <v>2</v>
      </c>
      <c r="D1094">
        <f t="shared" si="35"/>
        <v>0</v>
      </c>
    </row>
    <row r="1095" spans="1:4" hidden="1" x14ac:dyDescent="0.25">
      <c r="A1095">
        <f>IFERROR(HLOOKUP($A$1,'liste CIRCUIT'!$B:$AM,1095,0)," ")</f>
        <v>0</v>
      </c>
      <c r="B1095">
        <f>IFERROR(HLOOKUP($B$1,'liste CIRCUIT'!$B:$AM,1095,0)," ")</f>
        <v>0</v>
      </c>
      <c r="C1095">
        <f t="shared" si="34"/>
        <v>0</v>
      </c>
      <c r="D1095">
        <f t="shared" si="35"/>
        <v>0</v>
      </c>
    </row>
    <row r="1096" spans="1:4" hidden="1" x14ac:dyDescent="0.25">
      <c r="A1096">
        <f>IFERROR(HLOOKUP($A$1,'liste CIRCUIT'!$B:$AM,1096,0)," ")</f>
        <v>0</v>
      </c>
      <c r="B1096">
        <f>IFERROR(HLOOKUP($B$1,'liste CIRCUIT'!$B:$AM,1096,0)," ")</f>
        <v>0</v>
      </c>
      <c r="C1096">
        <f t="shared" si="34"/>
        <v>0</v>
      </c>
      <c r="D1096">
        <f t="shared" si="35"/>
        <v>0</v>
      </c>
    </row>
    <row r="1097" spans="1:4" hidden="1" x14ac:dyDescent="0.25">
      <c r="A1097">
        <f>IFERROR(HLOOKUP($A$1,'liste CIRCUIT'!$B:$AM,1097,0)," ")</f>
        <v>1</v>
      </c>
      <c r="B1097">
        <f>IFERROR(HLOOKUP($B$1,'liste CIRCUIT'!$B:$AM,1097,0)," ")</f>
        <v>1</v>
      </c>
      <c r="C1097">
        <f t="shared" si="34"/>
        <v>2</v>
      </c>
      <c r="D1097">
        <f t="shared" si="35"/>
        <v>0</v>
      </c>
    </row>
    <row r="1098" spans="1:4" hidden="1" x14ac:dyDescent="0.25">
      <c r="A1098">
        <f>IFERROR(HLOOKUP($A$1,'liste CIRCUIT'!$B:$AM,1098,0)," ")</f>
        <v>0</v>
      </c>
      <c r="B1098">
        <f>IFERROR(HLOOKUP($B$1,'liste CIRCUIT'!$B:$AM,1098,0)," ")</f>
        <v>0</v>
      </c>
      <c r="C1098">
        <f t="shared" si="34"/>
        <v>0</v>
      </c>
      <c r="D1098">
        <f t="shared" si="35"/>
        <v>0</v>
      </c>
    </row>
    <row r="1099" spans="1:4" hidden="1" x14ac:dyDescent="0.25">
      <c r="A1099">
        <f>IFERROR(HLOOKUP($A$1,'liste CIRCUIT'!$B:$AM,1099,0)," ")</f>
        <v>0</v>
      </c>
      <c r="B1099">
        <f>IFERROR(HLOOKUP($B$1,'liste CIRCUIT'!$B:$AM,1099,0)," ")</f>
        <v>0</v>
      </c>
      <c r="C1099">
        <f t="shared" si="34"/>
        <v>0</v>
      </c>
      <c r="D1099">
        <f t="shared" si="35"/>
        <v>0</v>
      </c>
    </row>
    <row r="1100" spans="1:4" hidden="1" x14ac:dyDescent="0.25">
      <c r="A1100">
        <f>IFERROR(HLOOKUP($A$1,'liste CIRCUIT'!$B:$AM,1100,0)," ")</f>
        <v>0</v>
      </c>
      <c r="B1100">
        <f>IFERROR(HLOOKUP($B$1,'liste CIRCUIT'!$B:$AM,1100,0)," ")</f>
        <v>0</v>
      </c>
      <c r="C1100">
        <f t="shared" si="34"/>
        <v>0</v>
      </c>
      <c r="D1100">
        <f t="shared" si="35"/>
        <v>0</v>
      </c>
    </row>
    <row r="1101" spans="1:4" hidden="1" x14ac:dyDescent="0.25">
      <c r="A1101">
        <f>IFERROR(HLOOKUP($A$1,'liste CIRCUIT'!$B:$AM,1101,0)," ")</f>
        <v>0</v>
      </c>
      <c r="B1101">
        <f>IFERROR(HLOOKUP($B$1,'liste CIRCUIT'!$B:$AM,1101,0)," ")</f>
        <v>0</v>
      </c>
      <c r="C1101">
        <f t="shared" si="34"/>
        <v>0</v>
      </c>
      <c r="D1101">
        <f t="shared" si="35"/>
        <v>0</v>
      </c>
    </row>
    <row r="1102" spans="1:4" hidden="1" x14ac:dyDescent="0.25">
      <c r="A1102">
        <f>IFERROR(HLOOKUP($A$1,'liste CIRCUIT'!$B:$AM,1102,0)," ")</f>
        <v>0</v>
      </c>
      <c r="B1102">
        <f>IFERROR(HLOOKUP($B$1,'liste CIRCUIT'!$B:$AM,1102,0)," ")</f>
        <v>0</v>
      </c>
      <c r="C1102">
        <f t="shared" si="34"/>
        <v>0</v>
      </c>
      <c r="D1102">
        <f t="shared" si="35"/>
        <v>0</v>
      </c>
    </row>
    <row r="1103" spans="1:4" hidden="1" x14ac:dyDescent="0.25">
      <c r="A1103">
        <f>IFERROR(HLOOKUP($A$1,'liste CIRCUIT'!$B:$AM,1103,0)," ")</f>
        <v>0</v>
      </c>
      <c r="B1103">
        <f>IFERROR(HLOOKUP($B$1,'liste CIRCUIT'!$B:$AM,1103,0)," ")</f>
        <v>1</v>
      </c>
      <c r="C1103">
        <f t="shared" si="34"/>
        <v>1</v>
      </c>
      <c r="D1103">
        <f t="shared" si="35"/>
        <v>-1</v>
      </c>
    </row>
    <row r="1104" spans="1:4" hidden="1" x14ac:dyDescent="0.25">
      <c r="A1104">
        <f>IFERROR(HLOOKUP($A$1,'liste CIRCUIT'!$B:$AM,1104,0)," ")</f>
        <v>0</v>
      </c>
      <c r="B1104">
        <f>IFERROR(HLOOKUP($B$1,'liste CIRCUIT'!$B:$AM,1104,0)," ")</f>
        <v>0</v>
      </c>
      <c r="C1104">
        <f t="shared" si="34"/>
        <v>0</v>
      </c>
      <c r="D1104">
        <f t="shared" si="35"/>
        <v>0</v>
      </c>
    </row>
    <row r="1105" spans="1:4" hidden="1" x14ac:dyDescent="0.25">
      <c r="A1105">
        <f>IFERROR(HLOOKUP($A$1,'liste CIRCUIT'!$B:$AM,1105,0)," ")</f>
        <v>0</v>
      </c>
      <c r="B1105">
        <f>IFERROR(HLOOKUP($B$1,'liste CIRCUIT'!$B:$AM,1105,0)," ")</f>
        <v>0</v>
      </c>
      <c r="C1105">
        <f t="shared" si="34"/>
        <v>0</v>
      </c>
      <c r="D1105">
        <f t="shared" si="35"/>
        <v>0</v>
      </c>
    </row>
    <row r="1106" spans="1:4" hidden="1" x14ac:dyDescent="0.25">
      <c r="A1106">
        <f>IFERROR(HLOOKUP($A$1,'liste CIRCUIT'!$B:$AM,1106,0)," ")</f>
        <v>0</v>
      </c>
      <c r="B1106">
        <f>IFERROR(HLOOKUP($B$1,'liste CIRCUIT'!$B:$AM,1106,0)," ")</f>
        <v>0</v>
      </c>
      <c r="C1106">
        <f t="shared" si="34"/>
        <v>0</v>
      </c>
      <c r="D1106">
        <f t="shared" si="35"/>
        <v>0</v>
      </c>
    </row>
    <row r="1107" spans="1:4" hidden="1" x14ac:dyDescent="0.25">
      <c r="A1107">
        <f>IFERROR(HLOOKUP($A$1,'liste CIRCUIT'!$B:$AM,1107,0)," ")</f>
        <v>0</v>
      </c>
      <c r="B1107">
        <f>IFERROR(HLOOKUP($B$1,'liste CIRCUIT'!$B:$AM,1107,0)," ")</f>
        <v>0</v>
      </c>
      <c r="C1107">
        <f t="shared" si="34"/>
        <v>0</v>
      </c>
      <c r="D1107">
        <f t="shared" si="35"/>
        <v>0</v>
      </c>
    </row>
    <row r="1108" spans="1:4" hidden="1" x14ac:dyDescent="0.25">
      <c r="A1108">
        <f>IFERROR(HLOOKUP($A$1,'liste CIRCUIT'!$B:$AM,1108,0)," ")</f>
        <v>0</v>
      </c>
      <c r="B1108">
        <f>IFERROR(HLOOKUP($B$1,'liste CIRCUIT'!$B:$AM,1108,0)," ")</f>
        <v>0</v>
      </c>
      <c r="C1108">
        <f t="shared" si="34"/>
        <v>0</v>
      </c>
      <c r="D1108">
        <f t="shared" si="35"/>
        <v>0</v>
      </c>
    </row>
    <row r="1109" spans="1:4" hidden="1" x14ac:dyDescent="0.25">
      <c r="A1109">
        <f>IFERROR(HLOOKUP($A$1,'liste CIRCUIT'!$B:$AM,1109,0)," ")</f>
        <v>1</v>
      </c>
      <c r="B1109">
        <f>IFERROR(HLOOKUP($B$1,'liste CIRCUIT'!$B:$AM,1109,0)," ")</f>
        <v>0</v>
      </c>
      <c r="C1109">
        <f t="shared" si="34"/>
        <v>1</v>
      </c>
      <c r="D1109">
        <f t="shared" si="35"/>
        <v>1</v>
      </c>
    </row>
    <row r="1110" spans="1:4" hidden="1" x14ac:dyDescent="0.25">
      <c r="A1110">
        <f>IFERROR(HLOOKUP($A$1,'liste CIRCUIT'!$B:$AM,1110,0)," ")</f>
        <v>0</v>
      </c>
      <c r="B1110">
        <f>IFERROR(HLOOKUP($B$1,'liste CIRCUIT'!$B:$AM,1110,0)," ")</f>
        <v>0</v>
      </c>
      <c r="C1110">
        <f t="shared" si="34"/>
        <v>0</v>
      </c>
      <c r="D1110">
        <f t="shared" si="35"/>
        <v>0</v>
      </c>
    </row>
    <row r="1111" spans="1:4" hidden="1" x14ac:dyDescent="0.25">
      <c r="A1111">
        <f>IFERROR(HLOOKUP($A$1,'liste CIRCUIT'!$B:$AM,1111,0)," ")</f>
        <v>0</v>
      </c>
      <c r="B1111">
        <f>IFERROR(HLOOKUP($B$1,'liste CIRCUIT'!$B:$AM,1111,0)," ")</f>
        <v>0</v>
      </c>
      <c r="C1111">
        <f t="shared" si="34"/>
        <v>0</v>
      </c>
      <c r="D1111">
        <f t="shared" si="35"/>
        <v>0</v>
      </c>
    </row>
    <row r="1112" spans="1:4" hidden="1" x14ac:dyDescent="0.25">
      <c r="A1112">
        <f>IFERROR(HLOOKUP($A$1,'liste CIRCUIT'!$B:$AM,1112,0)," ")</f>
        <v>0</v>
      </c>
      <c r="B1112">
        <f>IFERROR(HLOOKUP($B$1,'liste CIRCUIT'!$B:$AM,1112,0)," ")</f>
        <v>0</v>
      </c>
      <c r="C1112">
        <f t="shared" si="34"/>
        <v>0</v>
      </c>
      <c r="D1112">
        <f t="shared" si="35"/>
        <v>0</v>
      </c>
    </row>
    <row r="1113" spans="1:4" hidden="1" x14ac:dyDescent="0.25">
      <c r="A1113">
        <f>IFERROR(HLOOKUP($A$1,'liste CIRCUIT'!$B:$AM,1113,0)," ")</f>
        <v>0</v>
      </c>
      <c r="B1113">
        <f>IFERROR(HLOOKUP($B$1,'liste CIRCUIT'!$B:$AM,1113,0)," ")</f>
        <v>0</v>
      </c>
      <c r="C1113">
        <f t="shared" si="34"/>
        <v>0</v>
      </c>
      <c r="D1113">
        <f t="shared" si="35"/>
        <v>0</v>
      </c>
    </row>
    <row r="1114" spans="1:4" hidden="1" x14ac:dyDescent="0.25">
      <c r="A1114">
        <f>IFERROR(HLOOKUP($A$1,'liste CIRCUIT'!$B:$AM,1114,0)," ")</f>
        <v>0</v>
      </c>
      <c r="B1114">
        <f>IFERROR(HLOOKUP($B$1,'liste CIRCUIT'!$B:$AM,1114,0)," ")</f>
        <v>0</v>
      </c>
      <c r="C1114">
        <f t="shared" si="34"/>
        <v>0</v>
      </c>
      <c r="D1114">
        <f t="shared" si="35"/>
        <v>0</v>
      </c>
    </row>
    <row r="1115" spans="1:4" hidden="1" x14ac:dyDescent="0.25">
      <c r="A1115">
        <f>IFERROR(HLOOKUP($A$1,'liste CIRCUIT'!$B:$AM,1115,0)," ")</f>
        <v>0</v>
      </c>
      <c r="B1115">
        <f>IFERROR(HLOOKUP($B$1,'liste CIRCUIT'!$B:$AM,1115,0)," ")</f>
        <v>0</v>
      </c>
      <c r="C1115">
        <f t="shared" si="34"/>
        <v>0</v>
      </c>
      <c r="D1115">
        <f t="shared" si="35"/>
        <v>0</v>
      </c>
    </row>
    <row r="1116" spans="1:4" hidden="1" x14ac:dyDescent="0.25">
      <c r="A1116">
        <f>IFERROR(HLOOKUP($A$1,'liste CIRCUIT'!$B:$AM,1116,0)," ")</f>
        <v>0</v>
      </c>
      <c r="B1116">
        <f>IFERROR(HLOOKUP($B$1,'liste CIRCUIT'!$B:$AM,1116,0)," ")</f>
        <v>0</v>
      </c>
      <c r="C1116">
        <f t="shared" si="34"/>
        <v>0</v>
      </c>
      <c r="D1116">
        <f t="shared" si="35"/>
        <v>0</v>
      </c>
    </row>
    <row r="1117" spans="1:4" hidden="1" x14ac:dyDescent="0.25">
      <c r="A1117">
        <f>IFERROR(HLOOKUP($A$1,'liste CIRCUIT'!$B:$AM,1117,0)," ")</f>
        <v>0</v>
      </c>
      <c r="B1117">
        <f>IFERROR(HLOOKUP($B$1,'liste CIRCUIT'!$B:$AM,1117,0)," ")</f>
        <v>0</v>
      </c>
      <c r="C1117">
        <f t="shared" si="34"/>
        <v>0</v>
      </c>
      <c r="D1117">
        <f t="shared" si="35"/>
        <v>0</v>
      </c>
    </row>
    <row r="1118" spans="1:4" hidden="1" x14ac:dyDescent="0.25">
      <c r="A1118">
        <f>IFERROR(HLOOKUP($A$1,'liste CIRCUIT'!$B:$AM,1118,0)," ")</f>
        <v>1</v>
      </c>
      <c r="B1118">
        <f>IFERROR(HLOOKUP($B$1,'liste CIRCUIT'!$B:$AM,1118,0)," ")</f>
        <v>0</v>
      </c>
      <c r="C1118">
        <f t="shared" si="34"/>
        <v>1</v>
      </c>
      <c r="D1118">
        <f t="shared" si="35"/>
        <v>1</v>
      </c>
    </row>
    <row r="1119" spans="1:4" hidden="1" x14ac:dyDescent="0.25">
      <c r="A1119">
        <f>IFERROR(HLOOKUP($A$1,'liste CIRCUIT'!$B:$AM,1119,0)," ")</f>
        <v>0</v>
      </c>
      <c r="B1119">
        <f>IFERROR(HLOOKUP($B$1,'liste CIRCUIT'!$B:$AM,1119,0)," ")</f>
        <v>0</v>
      </c>
      <c r="C1119">
        <f t="shared" si="34"/>
        <v>0</v>
      </c>
      <c r="D1119">
        <f t="shared" si="35"/>
        <v>0</v>
      </c>
    </row>
    <row r="1120" spans="1:4" hidden="1" x14ac:dyDescent="0.25">
      <c r="A1120">
        <f>IFERROR(HLOOKUP($A$1,'liste CIRCUIT'!$B:$AM,1120,0)," ")</f>
        <v>0</v>
      </c>
      <c r="B1120">
        <f>IFERROR(HLOOKUP($B$1,'liste CIRCUIT'!$B:$AM,1120,0)," ")</f>
        <v>1</v>
      </c>
      <c r="C1120">
        <f t="shared" si="34"/>
        <v>1</v>
      </c>
      <c r="D1120">
        <f t="shared" si="35"/>
        <v>-1</v>
      </c>
    </row>
    <row r="1121" spans="1:4" hidden="1" x14ac:dyDescent="0.25">
      <c r="A1121">
        <f>IFERROR(HLOOKUP($A$1,'liste CIRCUIT'!$B:$AM,1121,0)," ")</f>
        <v>0</v>
      </c>
      <c r="B1121">
        <f>IFERROR(HLOOKUP($B$1,'liste CIRCUIT'!$B:$AM,1121,0)," ")</f>
        <v>0</v>
      </c>
      <c r="C1121">
        <f t="shared" si="34"/>
        <v>0</v>
      </c>
      <c r="D1121">
        <f t="shared" si="35"/>
        <v>0</v>
      </c>
    </row>
    <row r="1122" spans="1:4" hidden="1" x14ac:dyDescent="0.25">
      <c r="A1122">
        <f>IFERROR(HLOOKUP($A$1,'liste CIRCUIT'!$B:$AM,1122,0)," ")</f>
        <v>0</v>
      </c>
      <c r="B1122">
        <f>IFERROR(HLOOKUP($B$1,'liste CIRCUIT'!$B:$AM,1122,0)," ")</f>
        <v>0</v>
      </c>
      <c r="C1122">
        <f t="shared" si="34"/>
        <v>0</v>
      </c>
      <c r="D1122">
        <f t="shared" si="35"/>
        <v>0</v>
      </c>
    </row>
    <row r="1123" spans="1:4" hidden="1" x14ac:dyDescent="0.25">
      <c r="A1123">
        <f>IFERROR(HLOOKUP($A$1,'liste CIRCUIT'!$B:$AM,1123,0)," ")</f>
        <v>0</v>
      </c>
      <c r="B1123">
        <f>IFERROR(HLOOKUP($B$1,'liste CIRCUIT'!$B:$AM,1123,0)," ")</f>
        <v>0</v>
      </c>
      <c r="C1123">
        <f t="shared" si="34"/>
        <v>0</v>
      </c>
      <c r="D1123">
        <f t="shared" si="35"/>
        <v>0</v>
      </c>
    </row>
    <row r="1124" spans="1:4" hidden="1" x14ac:dyDescent="0.25">
      <c r="A1124">
        <f>IFERROR(HLOOKUP($A$1,'liste CIRCUIT'!$B:$AM,1124,0)," ")</f>
        <v>0</v>
      </c>
      <c r="B1124">
        <f>IFERROR(HLOOKUP($B$1,'liste CIRCUIT'!$B:$AM,1124,0)," ")</f>
        <v>1</v>
      </c>
      <c r="C1124">
        <f t="shared" si="34"/>
        <v>1</v>
      </c>
      <c r="D1124">
        <f t="shared" si="35"/>
        <v>-1</v>
      </c>
    </row>
    <row r="1125" spans="1:4" hidden="1" x14ac:dyDescent="0.25">
      <c r="A1125">
        <f>IFERROR(HLOOKUP($A$1,'liste CIRCUIT'!$B:$AM,1125,0)," ")</f>
        <v>0</v>
      </c>
      <c r="B1125">
        <f>IFERROR(HLOOKUP($B$1,'liste CIRCUIT'!$B:$AM,1125,0)," ")</f>
        <v>0</v>
      </c>
      <c r="C1125">
        <f t="shared" si="34"/>
        <v>0</v>
      </c>
      <c r="D1125">
        <f t="shared" si="35"/>
        <v>0</v>
      </c>
    </row>
    <row r="1126" spans="1:4" hidden="1" x14ac:dyDescent="0.25">
      <c r="A1126">
        <f>IFERROR(HLOOKUP($A$1,'liste CIRCUIT'!$B:$AM,1126,0)," ")</f>
        <v>0</v>
      </c>
      <c r="B1126">
        <f>IFERROR(HLOOKUP($B$1,'liste CIRCUIT'!$B:$AM,1126,0)," ")</f>
        <v>0</v>
      </c>
      <c r="C1126">
        <f t="shared" si="34"/>
        <v>0</v>
      </c>
      <c r="D1126">
        <f t="shared" si="35"/>
        <v>0</v>
      </c>
    </row>
    <row r="1127" spans="1:4" hidden="1" x14ac:dyDescent="0.25">
      <c r="A1127">
        <f>IFERROR(HLOOKUP($A$1,'liste CIRCUIT'!$B:$AM,1127,0)," ")</f>
        <v>0</v>
      </c>
      <c r="B1127">
        <f>IFERROR(HLOOKUP($B$1,'liste CIRCUIT'!$B:$AM,1127,0)," ")</f>
        <v>0</v>
      </c>
      <c r="C1127">
        <f t="shared" si="34"/>
        <v>0</v>
      </c>
      <c r="D1127">
        <f t="shared" si="35"/>
        <v>0</v>
      </c>
    </row>
    <row r="1128" spans="1:4" hidden="1" x14ac:dyDescent="0.25">
      <c r="A1128">
        <f>IFERROR(HLOOKUP($A$1,'liste CIRCUIT'!$B:$AM,1128,0)," ")</f>
        <v>0</v>
      </c>
      <c r="B1128">
        <f>IFERROR(HLOOKUP($B$1,'liste CIRCUIT'!$B:$AM,1128,0)," ")</f>
        <v>0</v>
      </c>
      <c r="C1128">
        <f t="shared" si="34"/>
        <v>0</v>
      </c>
      <c r="D1128">
        <f t="shared" si="35"/>
        <v>0</v>
      </c>
    </row>
    <row r="1129" spans="1:4" hidden="1" x14ac:dyDescent="0.25">
      <c r="A1129">
        <f>IFERROR(HLOOKUP($A$1,'liste CIRCUIT'!$B:$AM,1129,0)," ")</f>
        <v>1</v>
      </c>
      <c r="B1129">
        <f>IFERROR(HLOOKUP($B$1,'liste CIRCUIT'!$B:$AM,1129,0)," ")</f>
        <v>0</v>
      </c>
      <c r="C1129">
        <f t="shared" si="34"/>
        <v>1</v>
      </c>
      <c r="D1129">
        <f t="shared" si="35"/>
        <v>1</v>
      </c>
    </row>
    <row r="1130" spans="1:4" hidden="1" x14ac:dyDescent="0.25">
      <c r="A1130">
        <f>IFERROR(HLOOKUP($A$1,'liste CIRCUIT'!$B:$AM,1130,0)," ")</f>
        <v>0</v>
      </c>
      <c r="B1130">
        <f>IFERROR(HLOOKUP($B$1,'liste CIRCUIT'!$B:$AM,1130,0)," ")</f>
        <v>0</v>
      </c>
      <c r="C1130">
        <f t="shared" si="34"/>
        <v>0</v>
      </c>
      <c r="D1130">
        <f t="shared" si="35"/>
        <v>0</v>
      </c>
    </row>
    <row r="1131" spans="1:4" hidden="1" x14ac:dyDescent="0.25">
      <c r="A1131">
        <f>IFERROR(HLOOKUP($A$1,'liste CIRCUIT'!$B:$AM,1131,0)," ")</f>
        <v>0</v>
      </c>
      <c r="B1131">
        <f>IFERROR(HLOOKUP($B$1,'liste CIRCUIT'!$B:$AM,1131,0)," ")</f>
        <v>1</v>
      </c>
      <c r="C1131">
        <f t="shared" si="34"/>
        <v>1</v>
      </c>
      <c r="D1131">
        <f t="shared" si="35"/>
        <v>-1</v>
      </c>
    </row>
    <row r="1132" spans="1:4" hidden="1" x14ac:dyDescent="0.25">
      <c r="A1132">
        <f>IFERROR(HLOOKUP($A$1,'liste CIRCUIT'!$B:$AM,1132,0)," ")</f>
        <v>0</v>
      </c>
      <c r="B1132">
        <f>IFERROR(HLOOKUP($B$1,'liste CIRCUIT'!$B:$AM,1132,0)," ")</f>
        <v>0</v>
      </c>
      <c r="C1132">
        <f t="shared" si="34"/>
        <v>0</v>
      </c>
      <c r="D1132">
        <f t="shared" si="35"/>
        <v>0</v>
      </c>
    </row>
    <row r="1133" spans="1:4" hidden="1" x14ac:dyDescent="0.25">
      <c r="A1133">
        <f>IFERROR(HLOOKUP($A$1,'liste CIRCUIT'!$B:$AM,1133,0)," ")</f>
        <v>0</v>
      </c>
      <c r="B1133">
        <f>IFERROR(HLOOKUP($B$1,'liste CIRCUIT'!$B:$AM,1133,0)," ")</f>
        <v>0</v>
      </c>
      <c r="C1133">
        <f t="shared" si="34"/>
        <v>0</v>
      </c>
      <c r="D1133">
        <f t="shared" si="35"/>
        <v>0</v>
      </c>
    </row>
    <row r="1134" spans="1:4" hidden="1" x14ac:dyDescent="0.25">
      <c r="A1134">
        <f>IFERROR(HLOOKUP($A$1,'liste CIRCUIT'!$B:$AM,1134,0)," ")</f>
        <v>0</v>
      </c>
      <c r="B1134">
        <f>IFERROR(HLOOKUP($B$1,'liste CIRCUIT'!$B:$AM,1134,0)," ")</f>
        <v>0</v>
      </c>
      <c r="C1134">
        <f t="shared" si="34"/>
        <v>0</v>
      </c>
      <c r="D1134">
        <f t="shared" si="35"/>
        <v>0</v>
      </c>
    </row>
    <row r="1135" spans="1:4" hidden="1" x14ac:dyDescent="0.25">
      <c r="A1135">
        <f>IFERROR(HLOOKUP($A$1,'liste CIRCUIT'!$B:$AM,1135,0)," ")</f>
        <v>0</v>
      </c>
      <c r="B1135">
        <f>IFERROR(HLOOKUP($B$1,'liste CIRCUIT'!$B:$AM,1135,0)," ")</f>
        <v>0</v>
      </c>
      <c r="C1135">
        <f t="shared" si="34"/>
        <v>0</v>
      </c>
      <c r="D1135">
        <f t="shared" si="35"/>
        <v>0</v>
      </c>
    </row>
    <row r="1136" spans="1:4" hidden="1" x14ac:dyDescent="0.25">
      <c r="A1136">
        <f>IFERROR(HLOOKUP($A$1,'liste CIRCUIT'!$B:$AM,1136,0)," ")</f>
        <v>0</v>
      </c>
      <c r="B1136">
        <f>IFERROR(HLOOKUP($B$1,'liste CIRCUIT'!$B:$AM,1136,0)," ")</f>
        <v>0</v>
      </c>
      <c r="C1136">
        <f t="shared" si="34"/>
        <v>0</v>
      </c>
      <c r="D1136">
        <f t="shared" si="35"/>
        <v>0</v>
      </c>
    </row>
    <row r="1137" spans="1:4" hidden="1" x14ac:dyDescent="0.25">
      <c r="A1137">
        <f>IFERROR(HLOOKUP($A$1,'liste CIRCUIT'!$B:$AM,1137,0)," ")</f>
        <v>1</v>
      </c>
      <c r="B1137">
        <f>IFERROR(HLOOKUP($B$1,'liste CIRCUIT'!$B:$AM,1137,0)," ")</f>
        <v>0</v>
      </c>
      <c r="C1137">
        <f t="shared" si="34"/>
        <v>1</v>
      </c>
      <c r="D1137">
        <f t="shared" si="35"/>
        <v>1</v>
      </c>
    </row>
    <row r="1138" spans="1:4" hidden="1" x14ac:dyDescent="0.25">
      <c r="A1138">
        <f>IFERROR(HLOOKUP($A$1,'liste CIRCUIT'!$B:$AM,1138,0)," ")</f>
        <v>0</v>
      </c>
      <c r="B1138">
        <f>IFERROR(HLOOKUP($B$1,'liste CIRCUIT'!$B:$AM,1138,0)," ")</f>
        <v>0</v>
      </c>
      <c r="C1138">
        <f t="shared" si="34"/>
        <v>0</v>
      </c>
      <c r="D1138">
        <f t="shared" si="35"/>
        <v>0</v>
      </c>
    </row>
    <row r="1139" spans="1:4" hidden="1" x14ac:dyDescent="0.25">
      <c r="A1139">
        <f>IFERROR(HLOOKUP($A$1,'liste CIRCUIT'!$B:$AM,1139,0)," ")</f>
        <v>0</v>
      </c>
      <c r="B1139">
        <f>IFERROR(HLOOKUP($B$1,'liste CIRCUIT'!$B:$AM,1139,0)," ")</f>
        <v>1</v>
      </c>
      <c r="C1139">
        <f t="shared" si="34"/>
        <v>1</v>
      </c>
      <c r="D1139">
        <f t="shared" si="35"/>
        <v>-1</v>
      </c>
    </row>
    <row r="1140" spans="1:4" hidden="1" x14ac:dyDescent="0.25">
      <c r="A1140">
        <f>IFERROR(HLOOKUP($A$1,'liste CIRCUIT'!$B:$AM,1140,0)," ")</f>
        <v>0</v>
      </c>
      <c r="B1140">
        <f>IFERROR(HLOOKUP($B$1,'liste CIRCUIT'!$B:$AM,1140,0)," ")</f>
        <v>0</v>
      </c>
      <c r="C1140">
        <f t="shared" si="34"/>
        <v>0</v>
      </c>
      <c r="D1140">
        <f t="shared" si="35"/>
        <v>0</v>
      </c>
    </row>
    <row r="1141" spans="1:4" hidden="1" x14ac:dyDescent="0.25">
      <c r="A1141">
        <f>IFERROR(HLOOKUP($A$1,'liste CIRCUIT'!$B:$AM,1141,0)," ")</f>
        <v>0</v>
      </c>
      <c r="B1141">
        <f>IFERROR(HLOOKUP($B$1,'liste CIRCUIT'!$B:$AM,1141,0)," ")</f>
        <v>0</v>
      </c>
      <c r="C1141">
        <f t="shared" si="34"/>
        <v>0</v>
      </c>
      <c r="D1141">
        <f t="shared" si="35"/>
        <v>0</v>
      </c>
    </row>
    <row r="1142" spans="1:4" hidden="1" x14ac:dyDescent="0.25">
      <c r="A1142">
        <f>IFERROR(HLOOKUP($A$1,'liste CIRCUIT'!$B:$AM,1142,0)," ")</f>
        <v>0</v>
      </c>
      <c r="B1142">
        <f>IFERROR(HLOOKUP($B$1,'liste CIRCUIT'!$B:$AM,1142,0)," ")</f>
        <v>0</v>
      </c>
      <c r="C1142">
        <f t="shared" si="34"/>
        <v>0</v>
      </c>
      <c r="D1142">
        <f t="shared" si="35"/>
        <v>0</v>
      </c>
    </row>
    <row r="1143" spans="1:4" hidden="1" x14ac:dyDescent="0.25">
      <c r="A1143">
        <f>IFERROR(HLOOKUP($A$1,'liste CIRCUIT'!$B:$AM,1143,0)," ")</f>
        <v>1</v>
      </c>
      <c r="B1143">
        <f>IFERROR(HLOOKUP($B$1,'liste CIRCUIT'!$B:$AM,1143,0)," ")</f>
        <v>1</v>
      </c>
      <c r="C1143">
        <f t="shared" si="34"/>
        <v>2</v>
      </c>
      <c r="D1143">
        <f t="shared" si="35"/>
        <v>0</v>
      </c>
    </row>
    <row r="1144" spans="1:4" hidden="1" x14ac:dyDescent="0.25">
      <c r="A1144">
        <f>IFERROR(HLOOKUP($A$1,'liste CIRCUIT'!$B:$AM,1144,0)," ")</f>
        <v>1</v>
      </c>
      <c r="B1144">
        <f>IFERROR(HLOOKUP($B$1,'liste CIRCUIT'!$B:$AM,1144,0)," ")</f>
        <v>1</v>
      </c>
      <c r="C1144">
        <f t="shared" si="34"/>
        <v>2</v>
      </c>
      <c r="D1144">
        <f t="shared" si="35"/>
        <v>0</v>
      </c>
    </row>
    <row r="1145" spans="1:4" hidden="1" x14ac:dyDescent="0.25">
      <c r="A1145">
        <f>IFERROR(HLOOKUP($A$1,'liste CIRCUIT'!$B:$AM,1145,0)," ")</f>
        <v>1</v>
      </c>
      <c r="B1145">
        <f>IFERROR(HLOOKUP($B$1,'liste CIRCUIT'!$B:$AM,1145,0)," ")</f>
        <v>1</v>
      </c>
      <c r="C1145">
        <f t="shared" si="34"/>
        <v>2</v>
      </c>
      <c r="D1145">
        <f t="shared" si="35"/>
        <v>0</v>
      </c>
    </row>
    <row r="1146" spans="1:4" hidden="1" x14ac:dyDescent="0.25">
      <c r="A1146">
        <f>IFERROR(HLOOKUP($A$1,'liste CIRCUIT'!$B:$AM,1146,0)," ")</f>
        <v>0</v>
      </c>
      <c r="B1146">
        <f>IFERROR(HLOOKUP($B$1,'liste CIRCUIT'!$B:$AM,1146,0)," ")</f>
        <v>0</v>
      </c>
      <c r="C1146">
        <f t="shared" si="34"/>
        <v>0</v>
      </c>
      <c r="D1146">
        <f t="shared" si="35"/>
        <v>0</v>
      </c>
    </row>
    <row r="1147" spans="1:4" hidden="1" x14ac:dyDescent="0.25">
      <c r="A1147">
        <f>IFERROR(HLOOKUP($A$1,'liste CIRCUIT'!$B:$AM,1147,0)," ")</f>
        <v>1</v>
      </c>
      <c r="B1147">
        <f>IFERROR(HLOOKUP($B$1,'liste CIRCUIT'!$B:$AM,1147,0)," ")</f>
        <v>1</v>
      </c>
      <c r="C1147">
        <f t="shared" si="34"/>
        <v>2</v>
      </c>
      <c r="D1147">
        <f t="shared" si="35"/>
        <v>0</v>
      </c>
    </row>
    <row r="1148" spans="1:4" hidden="1" x14ac:dyDescent="0.25">
      <c r="A1148">
        <f>IFERROR(HLOOKUP($A$1,'liste CIRCUIT'!$B:$AM,1148,0)," ")</f>
        <v>0</v>
      </c>
      <c r="B1148">
        <f>IFERROR(HLOOKUP($B$1,'liste CIRCUIT'!$B:$AM,1148,0)," ")</f>
        <v>0</v>
      </c>
      <c r="C1148">
        <f t="shared" si="34"/>
        <v>0</v>
      </c>
      <c r="D1148">
        <f t="shared" si="35"/>
        <v>0</v>
      </c>
    </row>
    <row r="1149" spans="1:4" hidden="1" x14ac:dyDescent="0.25">
      <c r="A1149">
        <f>IFERROR(HLOOKUP($A$1,'liste CIRCUIT'!$B:$AM,1149,0)," ")</f>
        <v>0</v>
      </c>
      <c r="B1149">
        <f>IFERROR(HLOOKUP($B$1,'liste CIRCUIT'!$B:$AM,1149,0)," ")</f>
        <v>0</v>
      </c>
      <c r="C1149">
        <f t="shared" si="34"/>
        <v>0</v>
      </c>
      <c r="D1149">
        <f t="shared" si="35"/>
        <v>0</v>
      </c>
    </row>
    <row r="1150" spans="1:4" hidden="1" x14ac:dyDescent="0.25">
      <c r="A1150">
        <f>IFERROR(HLOOKUP($A$1,'liste CIRCUIT'!$B:$AM,1150,0)," ")</f>
        <v>0</v>
      </c>
      <c r="B1150">
        <f>IFERROR(HLOOKUP($B$1,'liste CIRCUIT'!$B:$AM,1150,0)," ")</f>
        <v>0</v>
      </c>
      <c r="C1150">
        <f t="shared" si="34"/>
        <v>0</v>
      </c>
      <c r="D1150">
        <f t="shared" si="35"/>
        <v>0</v>
      </c>
    </row>
    <row r="1151" spans="1:4" hidden="1" x14ac:dyDescent="0.25">
      <c r="A1151">
        <f>IFERROR(HLOOKUP($A$1,'liste CIRCUIT'!$B:$AM,1151,0)," ")</f>
        <v>0</v>
      </c>
      <c r="B1151">
        <f>IFERROR(HLOOKUP($B$1,'liste CIRCUIT'!$B:$AM,1151,0)," ")</f>
        <v>0</v>
      </c>
      <c r="C1151">
        <f t="shared" si="34"/>
        <v>0</v>
      </c>
      <c r="D1151">
        <f t="shared" si="35"/>
        <v>0</v>
      </c>
    </row>
    <row r="1152" spans="1:4" hidden="1" x14ac:dyDescent="0.25">
      <c r="A1152">
        <f>IFERROR(HLOOKUP($A$1,'liste CIRCUIT'!$B:$AM,1152,0)," ")</f>
        <v>0</v>
      </c>
      <c r="B1152">
        <f>IFERROR(HLOOKUP($B$1,'liste CIRCUIT'!$B:$AM,1152,0)," ")</f>
        <v>0</v>
      </c>
      <c r="C1152">
        <f t="shared" si="34"/>
        <v>0</v>
      </c>
      <c r="D1152">
        <f t="shared" si="35"/>
        <v>0</v>
      </c>
    </row>
    <row r="1153" spans="1:4" hidden="1" x14ac:dyDescent="0.25">
      <c r="A1153">
        <f>IFERROR(HLOOKUP($A$1,'liste CIRCUIT'!$B:$AM,1153,0)," ")</f>
        <v>0</v>
      </c>
      <c r="B1153">
        <f>IFERROR(HLOOKUP($B$1,'liste CIRCUIT'!$B:$AM,1153,0)," ")</f>
        <v>0</v>
      </c>
      <c r="C1153">
        <f t="shared" si="34"/>
        <v>0</v>
      </c>
      <c r="D1153">
        <f t="shared" si="35"/>
        <v>0</v>
      </c>
    </row>
    <row r="1154" spans="1:4" hidden="1" x14ac:dyDescent="0.25">
      <c r="A1154">
        <f>IFERROR(HLOOKUP($A$1,'liste CIRCUIT'!$B:$AM,1154,0)," ")</f>
        <v>0</v>
      </c>
      <c r="B1154">
        <f>IFERROR(HLOOKUP($B$1,'liste CIRCUIT'!$B:$AM,1154,0)," ")</f>
        <v>0</v>
      </c>
      <c r="C1154">
        <f t="shared" si="34"/>
        <v>0</v>
      </c>
      <c r="D1154">
        <f t="shared" si="35"/>
        <v>0</v>
      </c>
    </row>
    <row r="1155" spans="1:4" hidden="1" x14ac:dyDescent="0.25">
      <c r="A1155">
        <f>IFERROR(HLOOKUP($A$1,'liste CIRCUIT'!$B:$AM,1155,0)," ")</f>
        <v>0</v>
      </c>
      <c r="B1155">
        <f>IFERROR(HLOOKUP($B$1,'liste CIRCUIT'!$B:$AM,1155,0)," ")</f>
        <v>0</v>
      </c>
      <c r="C1155">
        <f t="shared" ref="C1155:C1218" si="36">SUM(A1155:B1155)</f>
        <v>0</v>
      </c>
      <c r="D1155">
        <f t="shared" ref="D1155:D1218" si="37">A1155-B1155</f>
        <v>0</v>
      </c>
    </row>
    <row r="1156" spans="1:4" hidden="1" x14ac:dyDescent="0.25">
      <c r="A1156">
        <f>IFERROR(HLOOKUP($A$1,'liste CIRCUIT'!$B:$AM,1156,0)," ")</f>
        <v>1</v>
      </c>
      <c r="B1156">
        <f>IFERROR(HLOOKUP($B$1,'liste CIRCUIT'!$B:$AM,1156,0)," ")</f>
        <v>1</v>
      </c>
      <c r="C1156">
        <f t="shared" si="36"/>
        <v>2</v>
      </c>
      <c r="D1156">
        <f t="shared" si="37"/>
        <v>0</v>
      </c>
    </row>
    <row r="1157" spans="1:4" hidden="1" x14ac:dyDescent="0.25">
      <c r="A1157">
        <f>IFERROR(HLOOKUP($A$1,'liste CIRCUIT'!$B:$AM,1157,0)," ")</f>
        <v>1</v>
      </c>
      <c r="B1157">
        <f>IFERROR(HLOOKUP($B$1,'liste CIRCUIT'!$B:$AM,1157,0)," ")</f>
        <v>1</v>
      </c>
      <c r="C1157">
        <f t="shared" si="36"/>
        <v>2</v>
      </c>
      <c r="D1157">
        <f t="shared" si="37"/>
        <v>0</v>
      </c>
    </row>
    <row r="1158" spans="1:4" hidden="1" x14ac:dyDescent="0.25">
      <c r="A1158">
        <f>IFERROR(HLOOKUP($A$1,'liste CIRCUIT'!$B:$AM,1158,0)," ")</f>
        <v>1</v>
      </c>
      <c r="B1158">
        <f>IFERROR(HLOOKUP($B$1,'liste CIRCUIT'!$B:$AM,1158,0)," ")</f>
        <v>1</v>
      </c>
      <c r="C1158">
        <f t="shared" si="36"/>
        <v>2</v>
      </c>
      <c r="D1158">
        <f t="shared" si="37"/>
        <v>0</v>
      </c>
    </row>
    <row r="1159" spans="1:4" hidden="1" x14ac:dyDescent="0.25">
      <c r="A1159">
        <f>IFERROR(HLOOKUP($A$1,'liste CIRCUIT'!$B:$AM,1159,0)," ")</f>
        <v>1</v>
      </c>
      <c r="B1159">
        <f>IFERROR(HLOOKUP($B$1,'liste CIRCUIT'!$B:$AM,1159,0)," ")</f>
        <v>1</v>
      </c>
      <c r="C1159">
        <f t="shared" si="36"/>
        <v>2</v>
      </c>
      <c r="D1159">
        <f t="shared" si="37"/>
        <v>0</v>
      </c>
    </row>
    <row r="1160" spans="1:4" hidden="1" x14ac:dyDescent="0.25">
      <c r="A1160">
        <f>IFERROR(HLOOKUP($A$1,'liste CIRCUIT'!$B:$AM,1160,0)," ")</f>
        <v>1</v>
      </c>
      <c r="B1160">
        <f>IFERROR(HLOOKUP($B$1,'liste CIRCUIT'!$B:$AM,1160,0)," ")</f>
        <v>1</v>
      </c>
      <c r="C1160">
        <f t="shared" si="36"/>
        <v>2</v>
      </c>
      <c r="D1160">
        <f t="shared" si="37"/>
        <v>0</v>
      </c>
    </row>
    <row r="1161" spans="1:4" hidden="1" x14ac:dyDescent="0.25">
      <c r="A1161">
        <f>IFERROR(HLOOKUP($A$1,'liste CIRCUIT'!$B:$AM,1161,0)," ")</f>
        <v>1</v>
      </c>
      <c r="B1161">
        <f>IFERROR(HLOOKUP($B$1,'liste CIRCUIT'!$B:$AM,1161,0)," ")</f>
        <v>1</v>
      </c>
      <c r="C1161">
        <f t="shared" si="36"/>
        <v>2</v>
      </c>
      <c r="D1161">
        <f t="shared" si="37"/>
        <v>0</v>
      </c>
    </row>
    <row r="1162" spans="1:4" hidden="1" x14ac:dyDescent="0.25">
      <c r="A1162">
        <f>IFERROR(HLOOKUP($A$1,'liste CIRCUIT'!$B:$AM,1162,0)," ")</f>
        <v>1</v>
      </c>
      <c r="B1162">
        <f>IFERROR(HLOOKUP($B$1,'liste CIRCUIT'!$B:$AM,1162,0)," ")</f>
        <v>1</v>
      </c>
      <c r="C1162">
        <f t="shared" si="36"/>
        <v>2</v>
      </c>
      <c r="D1162">
        <f t="shared" si="37"/>
        <v>0</v>
      </c>
    </row>
    <row r="1163" spans="1:4" hidden="1" x14ac:dyDescent="0.25">
      <c r="A1163">
        <f>IFERROR(HLOOKUP($A$1,'liste CIRCUIT'!$B:$AM,1163,0)," ")</f>
        <v>0</v>
      </c>
      <c r="B1163">
        <f>IFERROR(HLOOKUP($B$1,'liste CIRCUIT'!$B:$AM,1163,0)," ")</f>
        <v>0</v>
      </c>
      <c r="C1163">
        <f t="shared" si="36"/>
        <v>0</v>
      </c>
      <c r="D1163">
        <f t="shared" si="37"/>
        <v>0</v>
      </c>
    </row>
    <row r="1164" spans="1:4" hidden="1" x14ac:dyDescent="0.25">
      <c r="A1164">
        <f>IFERROR(HLOOKUP($A$1,'liste CIRCUIT'!$B:$AM,1164,0)," ")</f>
        <v>0</v>
      </c>
      <c r="B1164">
        <f>IFERROR(HLOOKUP($B$1,'liste CIRCUIT'!$B:$AM,1164,0)," ")</f>
        <v>0</v>
      </c>
      <c r="C1164">
        <f t="shared" si="36"/>
        <v>0</v>
      </c>
      <c r="D1164">
        <f t="shared" si="37"/>
        <v>0</v>
      </c>
    </row>
    <row r="1165" spans="1:4" hidden="1" x14ac:dyDescent="0.25">
      <c r="A1165">
        <f>IFERROR(HLOOKUP($A$1,'liste CIRCUIT'!$B:$AM,1165,0)," ")</f>
        <v>1</v>
      </c>
      <c r="B1165">
        <f>IFERROR(HLOOKUP($B$1,'liste CIRCUIT'!$B:$AM,1165,0)," ")</f>
        <v>0</v>
      </c>
      <c r="C1165">
        <f t="shared" si="36"/>
        <v>1</v>
      </c>
      <c r="D1165">
        <f t="shared" si="37"/>
        <v>1</v>
      </c>
    </row>
    <row r="1166" spans="1:4" hidden="1" x14ac:dyDescent="0.25">
      <c r="A1166">
        <f>IFERROR(HLOOKUP($A$1,'liste CIRCUIT'!$B:$AM,1166,0)," ")</f>
        <v>0</v>
      </c>
      <c r="B1166">
        <f>IFERROR(HLOOKUP($B$1,'liste CIRCUIT'!$B:$AM,1166,0)," ")</f>
        <v>0</v>
      </c>
      <c r="C1166">
        <f t="shared" si="36"/>
        <v>0</v>
      </c>
      <c r="D1166">
        <f t="shared" si="37"/>
        <v>0</v>
      </c>
    </row>
    <row r="1167" spans="1:4" hidden="1" x14ac:dyDescent="0.25">
      <c r="A1167">
        <f>IFERROR(HLOOKUP($A$1,'liste CIRCUIT'!$B:$AM,1167,0)," ")</f>
        <v>0</v>
      </c>
      <c r="B1167">
        <f>IFERROR(HLOOKUP($B$1,'liste CIRCUIT'!$B:$AM,1167,0)," ")</f>
        <v>1</v>
      </c>
      <c r="C1167">
        <f t="shared" si="36"/>
        <v>1</v>
      </c>
      <c r="D1167">
        <f t="shared" si="37"/>
        <v>-1</v>
      </c>
    </row>
    <row r="1168" spans="1:4" hidden="1" x14ac:dyDescent="0.25">
      <c r="A1168">
        <f>IFERROR(HLOOKUP($A$1,'liste CIRCUIT'!$B:$AM,1168,0)," ")</f>
        <v>0</v>
      </c>
      <c r="B1168">
        <f>IFERROR(HLOOKUP($B$1,'liste CIRCUIT'!$B:$AM,1168,0)," ")</f>
        <v>0</v>
      </c>
      <c r="C1168">
        <f t="shared" si="36"/>
        <v>0</v>
      </c>
      <c r="D1168">
        <f t="shared" si="37"/>
        <v>0</v>
      </c>
    </row>
    <row r="1169" spans="1:4" hidden="1" x14ac:dyDescent="0.25">
      <c r="A1169">
        <f>IFERROR(HLOOKUP($A$1,'liste CIRCUIT'!$B:$AM,1169,0)," ")</f>
        <v>0</v>
      </c>
      <c r="B1169">
        <f>IFERROR(HLOOKUP($B$1,'liste CIRCUIT'!$B:$AM,1169,0)," ")</f>
        <v>0</v>
      </c>
      <c r="C1169">
        <f t="shared" si="36"/>
        <v>0</v>
      </c>
      <c r="D1169">
        <f t="shared" si="37"/>
        <v>0</v>
      </c>
    </row>
    <row r="1170" spans="1:4" hidden="1" x14ac:dyDescent="0.25">
      <c r="A1170">
        <f>IFERROR(HLOOKUP($A$1,'liste CIRCUIT'!$B:$AM,1170,0)," ")</f>
        <v>0</v>
      </c>
      <c r="B1170">
        <f>IFERROR(HLOOKUP($B$1,'liste CIRCUIT'!$B:$AM,1170,0)," ")</f>
        <v>0</v>
      </c>
      <c r="C1170">
        <f t="shared" si="36"/>
        <v>0</v>
      </c>
      <c r="D1170">
        <f t="shared" si="37"/>
        <v>0</v>
      </c>
    </row>
    <row r="1171" spans="1:4" hidden="1" x14ac:dyDescent="0.25">
      <c r="A1171">
        <f>IFERROR(HLOOKUP($A$1,'liste CIRCUIT'!$B:$AM,1171,0)," ")</f>
        <v>0</v>
      </c>
      <c r="B1171">
        <f>IFERROR(HLOOKUP($B$1,'liste CIRCUIT'!$B:$AM,1171,0)," ")</f>
        <v>0</v>
      </c>
      <c r="C1171">
        <f t="shared" si="36"/>
        <v>0</v>
      </c>
      <c r="D1171">
        <f t="shared" si="37"/>
        <v>0</v>
      </c>
    </row>
    <row r="1172" spans="1:4" hidden="1" x14ac:dyDescent="0.25">
      <c r="A1172">
        <f>IFERROR(HLOOKUP($A$1,'liste CIRCUIT'!$B:$AM,1172,0)," ")</f>
        <v>0</v>
      </c>
      <c r="B1172">
        <f>IFERROR(HLOOKUP($B$1,'liste CIRCUIT'!$B:$AM,1172,0)," ")</f>
        <v>0</v>
      </c>
      <c r="C1172">
        <f t="shared" si="36"/>
        <v>0</v>
      </c>
      <c r="D1172">
        <f t="shared" si="37"/>
        <v>0</v>
      </c>
    </row>
    <row r="1173" spans="1:4" hidden="1" x14ac:dyDescent="0.25">
      <c r="A1173">
        <f>IFERROR(HLOOKUP($A$1,'liste CIRCUIT'!$B:$AM,1173,0)," ")</f>
        <v>1</v>
      </c>
      <c r="B1173">
        <f>IFERROR(HLOOKUP($B$1,'liste CIRCUIT'!$B:$AM,1173,0)," ")</f>
        <v>0</v>
      </c>
      <c r="C1173">
        <f t="shared" si="36"/>
        <v>1</v>
      </c>
      <c r="D1173">
        <f t="shared" si="37"/>
        <v>1</v>
      </c>
    </row>
    <row r="1174" spans="1:4" hidden="1" x14ac:dyDescent="0.25">
      <c r="A1174">
        <f>IFERROR(HLOOKUP($A$1,'liste CIRCUIT'!$B:$AM,1174,0)," ")</f>
        <v>0</v>
      </c>
      <c r="B1174">
        <f>IFERROR(HLOOKUP($B$1,'liste CIRCUIT'!$B:$AM,1174,0)," ")</f>
        <v>0</v>
      </c>
      <c r="C1174">
        <f t="shared" si="36"/>
        <v>0</v>
      </c>
      <c r="D1174">
        <f t="shared" si="37"/>
        <v>0</v>
      </c>
    </row>
    <row r="1175" spans="1:4" hidden="1" x14ac:dyDescent="0.25">
      <c r="A1175">
        <f>IFERROR(HLOOKUP($A$1,'liste CIRCUIT'!$B:$AM,1175,0)," ")</f>
        <v>0</v>
      </c>
      <c r="B1175">
        <f>IFERROR(HLOOKUP($B$1,'liste CIRCUIT'!$B:$AM,1175,0)," ")</f>
        <v>1</v>
      </c>
      <c r="C1175">
        <f t="shared" si="36"/>
        <v>1</v>
      </c>
      <c r="D1175">
        <f t="shared" si="37"/>
        <v>-1</v>
      </c>
    </row>
    <row r="1176" spans="1:4" hidden="1" x14ac:dyDescent="0.25">
      <c r="A1176">
        <f>IFERROR(HLOOKUP($A$1,'liste CIRCUIT'!$B:$AM,1176,0)," ")</f>
        <v>0</v>
      </c>
      <c r="B1176">
        <f>IFERROR(HLOOKUP($B$1,'liste CIRCUIT'!$B:$AM,1176,0)," ")</f>
        <v>0</v>
      </c>
      <c r="C1176">
        <f t="shared" si="36"/>
        <v>0</v>
      </c>
      <c r="D1176">
        <f t="shared" si="37"/>
        <v>0</v>
      </c>
    </row>
    <row r="1177" spans="1:4" hidden="1" x14ac:dyDescent="0.25">
      <c r="A1177">
        <f>IFERROR(HLOOKUP($A$1,'liste CIRCUIT'!$B:$AM,1177,0)," ")</f>
        <v>0</v>
      </c>
      <c r="B1177">
        <f>IFERROR(HLOOKUP($B$1,'liste CIRCUIT'!$B:$AM,1177,0)," ")</f>
        <v>0</v>
      </c>
      <c r="C1177">
        <f t="shared" si="36"/>
        <v>0</v>
      </c>
      <c r="D1177">
        <f t="shared" si="37"/>
        <v>0</v>
      </c>
    </row>
    <row r="1178" spans="1:4" hidden="1" x14ac:dyDescent="0.25">
      <c r="A1178">
        <f>IFERROR(HLOOKUP($A$1,'liste CIRCUIT'!$B:$AM,1178,0)," ")</f>
        <v>0</v>
      </c>
      <c r="B1178">
        <f>IFERROR(HLOOKUP($B$1,'liste CIRCUIT'!$B:$AM,1178,0)," ")</f>
        <v>0</v>
      </c>
      <c r="C1178">
        <f t="shared" si="36"/>
        <v>0</v>
      </c>
      <c r="D1178">
        <f t="shared" si="37"/>
        <v>0</v>
      </c>
    </row>
    <row r="1179" spans="1:4" hidden="1" x14ac:dyDescent="0.25">
      <c r="A1179">
        <f>IFERROR(HLOOKUP($A$1,'liste CIRCUIT'!$B:$AM,1179,0)," ")</f>
        <v>1</v>
      </c>
      <c r="B1179">
        <f>IFERROR(HLOOKUP($B$1,'liste CIRCUIT'!$B:$AM,1179,0)," ")</f>
        <v>1</v>
      </c>
      <c r="C1179">
        <f t="shared" si="36"/>
        <v>2</v>
      </c>
      <c r="D1179">
        <f t="shared" si="37"/>
        <v>0</v>
      </c>
    </row>
    <row r="1180" spans="1:4" hidden="1" x14ac:dyDescent="0.25">
      <c r="A1180">
        <f>IFERROR(HLOOKUP($A$1,'liste CIRCUIT'!$B:$AM,1180,0)," ")</f>
        <v>0</v>
      </c>
      <c r="B1180">
        <f>IFERROR(HLOOKUP($B$1,'liste CIRCUIT'!$B:$AM,1180,0)," ")</f>
        <v>0</v>
      </c>
      <c r="C1180">
        <f t="shared" si="36"/>
        <v>0</v>
      </c>
      <c r="D1180">
        <f t="shared" si="37"/>
        <v>0</v>
      </c>
    </row>
    <row r="1181" spans="1:4" hidden="1" x14ac:dyDescent="0.25">
      <c r="A1181">
        <f>IFERROR(HLOOKUP($A$1,'liste CIRCUIT'!$B:$AM,1181,0)," ")</f>
        <v>0</v>
      </c>
      <c r="B1181">
        <f>IFERROR(HLOOKUP($B$1,'liste CIRCUIT'!$B:$AM,1181,0)," ")</f>
        <v>0</v>
      </c>
      <c r="C1181">
        <f t="shared" si="36"/>
        <v>0</v>
      </c>
      <c r="D1181">
        <f t="shared" si="37"/>
        <v>0</v>
      </c>
    </row>
    <row r="1182" spans="1:4" hidden="1" x14ac:dyDescent="0.25">
      <c r="A1182">
        <f>IFERROR(HLOOKUP($A$1,'liste CIRCUIT'!$B:$AM,1182,0)," ")</f>
        <v>1</v>
      </c>
      <c r="B1182">
        <f>IFERROR(HLOOKUP($B$1,'liste CIRCUIT'!$B:$AM,1182,0)," ")</f>
        <v>0</v>
      </c>
      <c r="C1182">
        <f t="shared" si="36"/>
        <v>1</v>
      </c>
      <c r="D1182">
        <f t="shared" si="37"/>
        <v>1</v>
      </c>
    </row>
    <row r="1183" spans="1:4" hidden="1" x14ac:dyDescent="0.25">
      <c r="A1183">
        <f>IFERROR(HLOOKUP($A$1,'liste CIRCUIT'!$B:$AM,1183,0)," ")</f>
        <v>0</v>
      </c>
      <c r="B1183">
        <f>IFERROR(HLOOKUP($B$1,'liste CIRCUIT'!$B:$AM,1183,0)," ")</f>
        <v>0</v>
      </c>
      <c r="C1183">
        <f t="shared" si="36"/>
        <v>0</v>
      </c>
      <c r="D1183">
        <f t="shared" si="37"/>
        <v>0</v>
      </c>
    </row>
    <row r="1184" spans="1:4" hidden="1" x14ac:dyDescent="0.25">
      <c r="A1184">
        <f>IFERROR(HLOOKUP($A$1,'liste CIRCUIT'!$B:$AM,1184,0)," ")</f>
        <v>0</v>
      </c>
      <c r="B1184">
        <f>IFERROR(HLOOKUP($B$1,'liste CIRCUIT'!$B:$AM,1184,0)," ")</f>
        <v>1</v>
      </c>
      <c r="C1184">
        <f t="shared" si="36"/>
        <v>1</v>
      </c>
      <c r="D1184">
        <f t="shared" si="37"/>
        <v>-1</v>
      </c>
    </row>
    <row r="1185" spans="1:4" hidden="1" x14ac:dyDescent="0.25">
      <c r="A1185">
        <f>IFERROR(HLOOKUP($A$1,'liste CIRCUIT'!$B:$AM,1185,0)," ")</f>
        <v>0</v>
      </c>
      <c r="B1185">
        <f>IFERROR(HLOOKUP($B$1,'liste CIRCUIT'!$B:$AM,1185,0)," ")</f>
        <v>0</v>
      </c>
      <c r="C1185">
        <f t="shared" si="36"/>
        <v>0</v>
      </c>
      <c r="D1185">
        <f t="shared" si="37"/>
        <v>0</v>
      </c>
    </row>
    <row r="1186" spans="1:4" hidden="1" x14ac:dyDescent="0.25">
      <c r="A1186">
        <f>IFERROR(HLOOKUP($A$1,'liste CIRCUIT'!$B:$AM,1186,0)," ")</f>
        <v>0</v>
      </c>
      <c r="B1186">
        <f>IFERROR(HLOOKUP($B$1,'liste CIRCUIT'!$B:$AM,1186,0)," ")</f>
        <v>0</v>
      </c>
      <c r="C1186">
        <f t="shared" si="36"/>
        <v>0</v>
      </c>
      <c r="D1186">
        <f t="shared" si="37"/>
        <v>0</v>
      </c>
    </row>
    <row r="1187" spans="1:4" hidden="1" x14ac:dyDescent="0.25">
      <c r="A1187">
        <f>IFERROR(HLOOKUP($A$1,'liste CIRCUIT'!$B:$AM,1187,0)," ")</f>
        <v>0</v>
      </c>
      <c r="B1187">
        <f>IFERROR(HLOOKUP($B$1,'liste CIRCUIT'!$B:$AM,1187,0)," ")</f>
        <v>0</v>
      </c>
      <c r="C1187">
        <f t="shared" si="36"/>
        <v>0</v>
      </c>
      <c r="D1187">
        <f t="shared" si="37"/>
        <v>0</v>
      </c>
    </row>
    <row r="1188" spans="1:4" hidden="1" x14ac:dyDescent="0.25">
      <c r="A1188">
        <f>IFERROR(HLOOKUP($A$1,'liste CIRCUIT'!$B:$AM,1188,0)," ")</f>
        <v>1</v>
      </c>
      <c r="B1188">
        <f>IFERROR(HLOOKUP($B$1,'liste CIRCUIT'!$B:$AM,1188,0)," ")</f>
        <v>1</v>
      </c>
      <c r="C1188">
        <f t="shared" si="36"/>
        <v>2</v>
      </c>
      <c r="D1188">
        <f t="shared" si="37"/>
        <v>0</v>
      </c>
    </row>
    <row r="1189" spans="1:4" hidden="1" x14ac:dyDescent="0.25">
      <c r="A1189">
        <f>IFERROR(HLOOKUP($A$1,'liste CIRCUIT'!$B:$AM,1189,0)," ")</f>
        <v>1</v>
      </c>
      <c r="B1189">
        <f>IFERROR(HLOOKUP($B$1,'liste CIRCUIT'!$B:$AM,1189,0)," ")</f>
        <v>1</v>
      </c>
      <c r="C1189">
        <f t="shared" si="36"/>
        <v>2</v>
      </c>
      <c r="D1189">
        <f t="shared" si="37"/>
        <v>0</v>
      </c>
    </row>
    <row r="1190" spans="1:4" hidden="1" x14ac:dyDescent="0.25">
      <c r="A1190">
        <f>IFERROR(HLOOKUP($A$1,'liste CIRCUIT'!$B:$AM,1190,0)," ")</f>
        <v>1</v>
      </c>
      <c r="B1190">
        <f>IFERROR(HLOOKUP($B$1,'liste CIRCUIT'!$B:$AM,1190,0)," ")</f>
        <v>1</v>
      </c>
      <c r="C1190">
        <f t="shared" si="36"/>
        <v>2</v>
      </c>
      <c r="D1190">
        <f t="shared" si="37"/>
        <v>0</v>
      </c>
    </row>
    <row r="1191" spans="1:4" hidden="1" x14ac:dyDescent="0.25">
      <c r="A1191">
        <f>IFERROR(HLOOKUP($A$1,'liste CIRCUIT'!$B:$AM,1191,0)," ")</f>
        <v>1</v>
      </c>
      <c r="B1191">
        <f>IFERROR(HLOOKUP($B$1,'liste CIRCUIT'!$B:$AM,1191,0)," ")</f>
        <v>1</v>
      </c>
      <c r="C1191">
        <f t="shared" si="36"/>
        <v>2</v>
      </c>
      <c r="D1191">
        <f t="shared" si="37"/>
        <v>0</v>
      </c>
    </row>
    <row r="1192" spans="1:4" hidden="1" x14ac:dyDescent="0.25">
      <c r="A1192">
        <f>IFERROR(HLOOKUP($A$1,'liste CIRCUIT'!$B:$AM,1192,0)," ")</f>
        <v>1</v>
      </c>
      <c r="B1192">
        <f>IFERROR(HLOOKUP($B$1,'liste CIRCUIT'!$B:$AM,1192,0)," ")</f>
        <v>1</v>
      </c>
      <c r="C1192">
        <f t="shared" si="36"/>
        <v>2</v>
      </c>
      <c r="D1192">
        <f t="shared" si="37"/>
        <v>0</v>
      </c>
    </row>
    <row r="1193" spans="1:4" hidden="1" x14ac:dyDescent="0.25">
      <c r="A1193">
        <f>IFERROR(HLOOKUP($A$1,'liste CIRCUIT'!$B:$AM,1193,0)," ")</f>
        <v>0</v>
      </c>
      <c r="B1193">
        <f>IFERROR(HLOOKUP($B$1,'liste CIRCUIT'!$B:$AM,1193,0)," ")</f>
        <v>0</v>
      </c>
      <c r="C1193">
        <f t="shared" si="36"/>
        <v>0</v>
      </c>
      <c r="D1193">
        <f t="shared" si="37"/>
        <v>0</v>
      </c>
    </row>
    <row r="1194" spans="1:4" hidden="1" x14ac:dyDescent="0.25">
      <c r="A1194">
        <f>IFERROR(HLOOKUP($A$1,'liste CIRCUIT'!$B:$AM,1194,0)," ")</f>
        <v>1</v>
      </c>
      <c r="B1194">
        <f>IFERROR(HLOOKUP($B$1,'liste CIRCUIT'!$B:$AM,1194,0)," ")</f>
        <v>1</v>
      </c>
      <c r="C1194">
        <f t="shared" si="36"/>
        <v>2</v>
      </c>
      <c r="D1194">
        <f t="shared" si="37"/>
        <v>0</v>
      </c>
    </row>
    <row r="1195" spans="1:4" hidden="1" x14ac:dyDescent="0.25">
      <c r="A1195">
        <f>IFERROR(HLOOKUP($A$1,'liste CIRCUIT'!$B:$AM,1195,0)," ")</f>
        <v>0</v>
      </c>
      <c r="B1195">
        <f>IFERROR(HLOOKUP($B$1,'liste CIRCUIT'!$B:$AM,1195,0)," ")</f>
        <v>0</v>
      </c>
      <c r="C1195">
        <f t="shared" si="36"/>
        <v>0</v>
      </c>
      <c r="D1195">
        <f t="shared" si="37"/>
        <v>0</v>
      </c>
    </row>
    <row r="1196" spans="1:4" hidden="1" x14ac:dyDescent="0.25">
      <c r="A1196">
        <f>IFERROR(HLOOKUP($A$1,'liste CIRCUIT'!$B:$AM,1196,0)," ")</f>
        <v>1</v>
      </c>
      <c r="B1196">
        <f>IFERROR(HLOOKUP($B$1,'liste CIRCUIT'!$B:$AM,1196,0)," ")</f>
        <v>1</v>
      </c>
      <c r="C1196">
        <f t="shared" si="36"/>
        <v>2</v>
      </c>
      <c r="D1196">
        <f t="shared" si="37"/>
        <v>0</v>
      </c>
    </row>
    <row r="1197" spans="1:4" hidden="1" x14ac:dyDescent="0.25">
      <c r="A1197">
        <f>IFERROR(HLOOKUP($A$1,'liste CIRCUIT'!$B:$AM,1197,0)," ")</f>
        <v>0</v>
      </c>
      <c r="B1197">
        <f>IFERROR(HLOOKUP($B$1,'liste CIRCUIT'!$B:$AM,1197,0)," ")</f>
        <v>0</v>
      </c>
      <c r="C1197">
        <f t="shared" si="36"/>
        <v>0</v>
      </c>
      <c r="D1197">
        <f t="shared" si="37"/>
        <v>0</v>
      </c>
    </row>
    <row r="1198" spans="1:4" hidden="1" x14ac:dyDescent="0.25">
      <c r="A1198">
        <f>IFERROR(HLOOKUP($A$1,'liste CIRCUIT'!$B:$AM,1198,0)," ")</f>
        <v>1</v>
      </c>
      <c r="B1198">
        <f>IFERROR(HLOOKUP($B$1,'liste CIRCUIT'!$B:$AM,1198,0)," ")</f>
        <v>1</v>
      </c>
      <c r="C1198">
        <f t="shared" si="36"/>
        <v>2</v>
      </c>
      <c r="D1198">
        <f t="shared" si="37"/>
        <v>0</v>
      </c>
    </row>
    <row r="1199" spans="1:4" hidden="1" x14ac:dyDescent="0.25">
      <c r="A1199">
        <f>IFERROR(HLOOKUP($A$1,'liste CIRCUIT'!$B:$AM,1199,0)," ")</f>
        <v>1</v>
      </c>
      <c r="B1199">
        <f>IFERROR(HLOOKUP($B$1,'liste CIRCUIT'!$B:$AM,1199,0)," ")</f>
        <v>1</v>
      </c>
      <c r="C1199">
        <f t="shared" si="36"/>
        <v>2</v>
      </c>
      <c r="D1199">
        <f t="shared" si="37"/>
        <v>0</v>
      </c>
    </row>
    <row r="1200" spans="1:4" hidden="1" x14ac:dyDescent="0.25">
      <c r="A1200">
        <f>IFERROR(HLOOKUP($A$1,'liste CIRCUIT'!$B:$AM,1200,0)," ")</f>
        <v>1</v>
      </c>
      <c r="B1200">
        <f>IFERROR(HLOOKUP($B$1,'liste CIRCUIT'!$B:$AM,1200,0)," ")</f>
        <v>1</v>
      </c>
      <c r="C1200">
        <f t="shared" si="36"/>
        <v>2</v>
      </c>
      <c r="D1200">
        <f t="shared" si="37"/>
        <v>0</v>
      </c>
    </row>
    <row r="1201" spans="1:4" hidden="1" x14ac:dyDescent="0.25">
      <c r="A1201">
        <f>IFERROR(HLOOKUP($A$1,'liste CIRCUIT'!$B:$AM,1201,0)," ")</f>
        <v>0</v>
      </c>
      <c r="B1201">
        <f>IFERROR(HLOOKUP($B$1,'liste CIRCUIT'!$B:$AM,1201,0)," ")</f>
        <v>0</v>
      </c>
      <c r="C1201">
        <f t="shared" si="36"/>
        <v>0</v>
      </c>
      <c r="D1201">
        <f t="shared" si="37"/>
        <v>0</v>
      </c>
    </row>
    <row r="1202" spans="1:4" hidden="1" x14ac:dyDescent="0.25">
      <c r="A1202">
        <f>IFERROR(HLOOKUP($A$1,'liste CIRCUIT'!$B:$AM,1202,0)," ")</f>
        <v>1</v>
      </c>
      <c r="B1202">
        <f>IFERROR(HLOOKUP($B$1,'liste CIRCUIT'!$B:$AM,1202,0)," ")</f>
        <v>1</v>
      </c>
      <c r="C1202">
        <f t="shared" si="36"/>
        <v>2</v>
      </c>
      <c r="D1202">
        <f t="shared" si="37"/>
        <v>0</v>
      </c>
    </row>
    <row r="1203" spans="1:4" hidden="1" x14ac:dyDescent="0.25">
      <c r="A1203">
        <f>IFERROR(HLOOKUP($A$1,'liste CIRCUIT'!$B:$AM,1203,0)," ")</f>
        <v>0</v>
      </c>
      <c r="B1203">
        <f>IFERROR(HLOOKUP($B$1,'liste CIRCUIT'!$B:$AM,1203,0)," ")</f>
        <v>0</v>
      </c>
      <c r="C1203">
        <f t="shared" si="36"/>
        <v>0</v>
      </c>
      <c r="D1203">
        <f t="shared" si="37"/>
        <v>0</v>
      </c>
    </row>
    <row r="1204" spans="1:4" hidden="1" x14ac:dyDescent="0.25">
      <c r="A1204">
        <f>IFERROR(HLOOKUP($A$1,'liste CIRCUIT'!$B:$AM,1204,0)," ")</f>
        <v>0</v>
      </c>
      <c r="B1204">
        <f>IFERROR(HLOOKUP($B$1,'liste CIRCUIT'!$B:$AM,1204,0)," ")</f>
        <v>0</v>
      </c>
      <c r="C1204">
        <f t="shared" si="36"/>
        <v>0</v>
      </c>
      <c r="D1204">
        <f t="shared" si="37"/>
        <v>0</v>
      </c>
    </row>
    <row r="1205" spans="1:4" hidden="1" x14ac:dyDescent="0.25">
      <c r="A1205">
        <f>IFERROR(HLOOKUP($A$1,'liste CIRCUIT'!$B:$AM,1205,0)," ")</f>
        <v>0</v>
      </c>
      <c r="B1205">
        <f>IFERROR(HLOOKUP($B$1,'liste CIRCUIT'!$B:$AM,1205,0)," ")</f>
        <v>0</v>
      </c>
      <c r="C1205">
        <f t="shared" si="36"/>
        <v>0</v>
      </c>
      <c r="D1205">
        <f t="shared" si="37"/>
        <v>0</v>
      </c>
    </row>
    <row r="1206" spans="1:4" hidden="1" x14ac:dyDescent="0.25">
      <c r="A1206">
        <f>IFERROR(HLOOKUP($A$1,'liste CIRCUIT'!$B:$AM,1206,0)," ")</f>
        <v>0</v>
      </c>
      <c r="B1206">
        <f>IFERROR(HLOOKUP($B$1,'liste CIRCUIT'!$B:$AM,1206,0)," ")</f>
        <v>0</v>
      </c>
      <c r="C1206">
        <f t="shared" si="36"/>
        <v>0</v>
      </c>
      <c r="D1206">
        <f t="shared" si="37"/>
        <v>0</v>
      </c>
    </row>
    <row r="1207" spans="1:4" hidden="1" x14ac:dyDescent="0.25">
      <c r="A1207">
        <f>IFERROR(HLOOKUP($A$1,'liste CIRCUIT'!$B:$AM,1207,0)," ")</f>
        <v>0</v>
      </c>
      <c r="B1207">
        <f>IFERROR(HLOOKUP($B$1,'liste CIRCUIT'!$B:$AM,1207,0)," ")</f>
        <v>0</v>
      </c>
      <c r="C1207">
        <f t="shared" si="36"/>
        <v>0</v>
      </c>
      <c r="D1207">
        <f t="shared" si="37"/>
        <v>0</v>
      </c>
    </row>
    <row r="1208" spans="1:4" hidden="1" x14ac:dyDescent="0.25">
      <c r="A1208">
        <f>IFERROR(HLOOKUP($A$1,'liste CIRCUIT'!$B:$AM,1208,0)," ")</f>
        <v>0</v>
      </c>
      <c r="B1208">
        <f>IFERROR(HLOOKUP($B$1,'liste CIRCUIT'!$B:$AM,1208,0)," ")</f>
        <v>0</v>
      </c>
      <c r="C1208">
        <f t="shared" si="36"/>
        <v>0</v>
      </c>
      <c r="D1208">
        <f t="shared" si="37"/>
        <v>0</v>
      </c>
    </row>
    <row r="1209" spans="1:4" hidden="1" x14ac:dyDescent="0.25">
      <c r="A1209">
        <f>IFERROR(HLOOKUP($A$1,'liste CIRCUIT'!$B:$AM,1209,0)," ")</f>
        <v>0</v>
      </c>
      <c r="B1209">
        <f>IFERROR(HLOOKUP($B$1,'liste CIRCUIT'!$B:$AM,1209,0)," ")</f>
        <v>0</v>
      </c>
      <c r="C1209">
        <f t="shared" si="36"/>
        <v>0</v>
      </c>
      <c r="D1209">
        <f t="shared" si="37"/>
        <v>0</v>
      </c>
    </row>
    <row r="1210" spans="1:4" hidden="1" x14ac:dyDescent="0.25">
      <c r="A1210">
        <f>IFERROR(HLOOKUP($A$1,'liste CIRCUIT'!$B:$AM,1210,0)," ")</f>
        <v>0</v>
      </c>
      <c r="B1210">
        <f>IFERROR(HLOOKUP($B$1,'liste CIRCUIT'!$B:$AM,1210,0)," ")</f>
        <v>0</v>
      </c>
      <c r="C1210">
        <f t="shared" si="36"/>
        <v>0</v>
      </c>
      <c r="D1210">
        <f t="shared" si="37"/>
        <v>0</v>
      </c>
    </row>
    <row r="1211" spans="1:4" hidden="1" x14ac:dyDescent="0.25">
      <c r="A1211">
        <f>IFERROR(HLOOKUP($A$1,'liste CIRCUIT'!$B:$AM,1211,0)," ")</f>
        <v>1</v>
      </c>
      <c r="B1211">
        <f>IFERROR(HLOOKUP($B$1,'liste CIRCUIT'!$B:$AM,1211,0)," ")</f>
        <v>1</v>
      </c>
      <c r="C1211">
        <f t="shared" si="36"/>
        <v>2</v>
      </c>
      <c r="D1211">
        <f t="shared" si="37"/>
        <v>0</v>
      </c>
    </row>
    <row r="1212" spans="1:4" hidden="1" x14ac:dyDescent="0.25">
      <c r="A1212">
        <f>IFERROR(HLOOKUP($A$1,'liste CIRCUIT'!$B:$AM,1212,0)," ")</f>
        <v>0</v>
      </c>
      <c r="B1212">
        <f>IFERROR(HLOOKUP($B$1,'liste CIRCUIT'!$B:$AM,1212,0)," ")</f>
        <v>0</v>
      </c>
      <c r="C1212">
        <f t="shared" si="36"/>
        <v>0</v>
      </c>
      <c r="D1212">
        <f t="shared" si="37"/>
        <v>0</v>
      </c>
    </row>
    <row r="1213" spans="1:4" hidden="1" x14ac:dyDescent="0.25">
      <c r="A1213">
        <f>IFERROR(HLOOKUP($A$1,'liste CIRCUIT'!$B:$AM,1213,0)," ")</f>
        <v>1</v>
      </c>
      <c r="B1213">
        <f>IFERROR(HLOOKUP($B$1,'liste CIRCUIT'!$B:$AM,1213,0)," ")</f>
        <v>0</v>
      </c>
      <c r="C1213">
        <f t="shared" si="36"/>
        <v>1</v>
      </c>
      <c r="D1213">
        <f t="shared" si="37"/>
        <v>1</v>
      </c>
    </row>
    <row r="1214" spans="1:4" hidden="1" x14ac:dyDescent="0.25">
      <c r="A1214">
        <f>IFERROR(HLOOKUP($A$1,'liste CIRCUIT'!$B:$AM,1214,0)," ")</f>
        <v>0</v>
      </c>
      <c r="B1214">
        <f>IFERROR(HLOOKUP($B$1,'liste CIRCUIT'!$B:$AM,1214,0)," ")</f>
        <v>0</v>
      </c>
      <c r="C1214">
        <f t="shared" si="36"/>
        <v>0</v>
      </c>
      <c r="D1214">
        <f t="shared" si="37"/>
        <v>0</v>
      </c>
    </row>
    <row r="1215" spans="1:4" hidden="1" x14ac:dyDescent="0.25">
      <c r="A1215">
        <f>IFERROR(HLOOKUP($A$1,'liste CIRCUIT'!$B:$AM,1215,0)," ")</f>
        <v>0</v>
      </c>
      <c r="B1215">
        <f>IFERROR(HLOOKUP($B$1,'liste CIRCUIT'!$B:$AM,1215,0)," ")</f>
        <v>1</v>
      </c>
      <c r="C1215">
        <f t="shared" si="36"/>
        <v>1</v>
      </c>
      <c r="D1215">
        <f t="shared" si="37"/>
        <v>-1</v>
      </c>
    </row>
    <row r="1216" spans="1:4" hidden="1" x14ac:dyDescent="0.25">
      <c r="A1216">
        <f>IFERROR(HLOOKUP($A$1,'liste CIRCUIT'!$B:$AM,1216,0)," ")</f>
        <v>0</v>
      </c>
      <c r="B1216">
        <f>IFERROR(HLOOKUP($B$1,'liste CIRCUIT'!$B:$AM,1216,0)," ")</f>
        <v>0</v>
      </c>
      <c r="C1216">
        <f t="shared" si="36"/>
        <v>0</v>
      </c>
      <c r="D1216">
        <f t="shared" si="37"/>
        <v>0</v>
      </c>
    </row>
    <row r="1217" spans="1:4" hidden="1" x14ac:dyDescent="0.25">
      <c r="A1217">
        <f>IFERROR(HLOOKUP($A$1,'liste CIRCUIT'!$B:$AM,1217,0)," ")</f>
        <v>0</v>
      </c>
      <c r="B1217">
        <f>IFERROR(HLOOKUP($B$1,'liste CIRCUIT'!$B:$AM,1217,0)," ")</f>
        <v>0</v>
      </c>
      <c r="C1217">
        <f t="shared" si="36"/>
        <v>0</v>
      </c>
      <c r="D1217">
        <f t="shared" si="37"/>
        <v>0</v>
      </c>
    </row>
    <row r="1218" spans="1:4" hidden="1" x14ac:dyDescent="0.25">
      <c r="A1218">
        <f>IFERROR(HLOOKUP($A$1,'liste CIRCUIT'!$B:$AM,1218,0)," ")</f>
        <v>1</v>
      </c>
      <c r="B1218">
        <f>IFERROR(HLOOKUP($B$1,'liste CIRCUIT'!$B:$AM,1218,0)," ")</f>
        <v>0</v>
      </c>
      <c r="C1218">
        <f t="shared" si="36"/>
        <v>1</v>
      </c>
      <c r="D1218">
        <f t="shared" si="37"/>
        <v>1</v>
      </c>
    </row>
    <row r="1219" spans="1:4" hidden="1" x14ac:dyDescent="0.25">
      <c r="A1219">
        <f>IFERROR(HLOOKUP($A$1,'liste CIRCUIT'!$B:$AM,1219,0)," ")</f>
        <v>0</v>
      </c>
      <c r="B1219">
        <f>IFERROR(HLOOKUP($B$1,'liste CIRCUIT'!$B:$AM,1219,0)," ")</f>
        <v>0</v>
      </c>
      <c r="C1219">
        <f t="shared" ref="C1219:C1282" si="38">SUM(A1219:B1219)</f>
        <v>0</v>
      </c>
      <c r="D1219">
        <f t="shared" ref="D1219:D1282" si="39">A1219-B1219</f>
        <v>0</v>
      </c>
    </row>
    <row r="1220" spans="1:4" hidden="1" x14ac:dyDescent="0.25">
      <c r="A1220">
        <f>IFERROR(HLOOKUP($A$1,'liste CIRCUIT'!$B:$AM,1220,0)," ")</f>
        <v>0</v>
      </c>
      <c r="B1220">
        <f>IFERROR(HLOOKUP($B$1,'liste CIRCUIT'!$B:$AM,1220,0)," ")</f>
        <v>1</v>
      </c>
      <c r="C1220">
        <f t="shared" si="38"/>
        <v>1</v>
      </c>
      <c r="D1220">
        <f t="shared" si="39"/>
        <v>-1</v>
      </c>
    </row>
    <row r="1221" spans="1:4" hidden="1" x14ac:dyDescent="0.25">
      <c r="A1221">
        <f>IFERROR(HLOOKUP($A$1,'liste CIRCUIT'!$B:$AM,1221,0)," ")</f>
        <v>0</v>
      </c>
      <c r="B1221">
        <f>IFERROR(HLOOKUP($B$1,'liste CIRCUIT'!$B:$AM,1221,0)," ")</f>
        <v>0</v>
      </c>
      <c r="C1221">
        <f t="shared" si="38"/>
        <v>0</v>
      </c>
      <c r="D1221">
        <f t="shared" si="39"/>
        <v>0</v>
      </c>
    </row>
    <row r="1222" spans="1:4" hidden="1" x14ac:dyDescent="0.25">
      <c r="A1222">
        <f>IFERROR(HLOOKUP($A$1,'liste CIRCUIT'!$B:$AM,1222,0)," ")</f>
        <v>1</v>
      </c>
      <c r="B1222">
        <f>IFERROR(HLOOKUP($B$1,'liste CIRCUIT'!$B:$AM,1222,0)," ")</f>
        <v>1</v>
      </c>
      <c r="C1222">
        <f t="shared" si="38"/>
        <v>2</v>
      </c>
      <c r="D1222">
        <f t="shared" si="39"/>
        <v>0</v>
      </c>
    </row>
    <row r="1223" spans="1:4" hidden="1" x14ac:dyDescent="0.25">
      <c r="A1223">
        <f>IFERROR(HLOOKUP($A$1,'liste CIRCUIT'!$B:$AM,1223,0)," ")</f>
        <v>0</v>
      </c>
      <c r="B1223">
        <f>IFERROR(HLOOKUP($B$1,'liste CIRCUIT'!$B:$AM,1223,0)," ")</f>
        <v>0</v>
      </c>
      <c r="C1223">
        <f t="shared" si="38"/>
        <v>0</v>
      </c>
      <c r="D1223">
        <f t="shared" si="39"/>
        <v>0</v>
      </c>
    </row>
    <row r="1224" spans="1:4" hidden="1" x14ac:dyDescent="0.25">
      <c r="A1224">
        <f>IFERROR(HLOOKUP($A$1,'liste CIRCUIT'!$B:$AM,1224,0)," ")</f>
        <v>0</v>
      </c>
      <c r="B1224">
        <f>IFERROR(HLOOKUP($B$1,'liste CIRCUIT'!$B:$AM,1224,0)," ")</f>
        <v>0</v>
      </c>
      <c r="C1224">
        <f t="shared" si="38"/>
        <v>0</v>
      </c>
      <c r="D1224">
        <f t="shared" si="39"/>
        <v>0</v>
      </c>
    </row>
    <row r="1225" spans="1:4" hidden="1" x14ac:dyDescent="0.25">
      <c r="A1225">
        <f>IFERROR(HLOOKUP($A$1,'liste CIRCUIT'!$B:$AM,1225,0)," ")</f>
        <v>1</v>
      </c>
      <c r="B1225">
        <f>IFERROR(HLOOKUP($B$1,'liste CIRCUIT'!$B:$AM,1225,0)," ")</f>
        <v>1</v>
      </c>
      <c r="C1225">
        <f t="shared" si="38"/>
        <v>2</v>
      </c>
      <c r="D1225">
        <f t="shared" si="39"/>
        <v>0</v>
      </c>
    </row>
    <row r="1226" spans="1:4" hidden="1" x14ac:dyDescent="0.25">
      <c r="A1226">
        <f>IFERROR(HLOOKUP($A$1,'liste CIRCUIT'!$B:$AM,1226,0)," ")</f>
        <v>1</v>
      </c>
      <c r="B1226">
        <f>IFERROR(HLOOKUP($B$1,'liste CIRCUIT'!$B:$AM,1226,0)," ")</f>
        <v>1</v>
      </c>
      <c r="C1226">
        <f t="shared" si="38"/>
        <v>2</v>
      </c>
      <c r="D1226">
        <f t="shared" si="39"/>
        <v>0</v>
      </c>
    </row>
    <row r="1227" spans="1:4" hidden="1" x14ac:dyDescent="0.25">
      <c r="A1227">
        <f>IFERROR(HLOOKUP($A$1,'liste CIRCUIT'!$B:$AM,1227,0)," ")</f>
        <v>0</v>
      </c>
      <c r="B1227">
        <f>IFERROR(HLOOKUP($B$1,'liste CIRCUIT'!$B:$AM,1227,0)," ")</f>
        <v>1</v>
      </c>
      <c r="C1227">
        <f t="shared" si="38"/>
        <v>1</v>
      </c>
      <c r="D1227">
        <f t="shared" si="39"/>
        <v>-1</v>
      </c>
    </row>
    <row r="1228" spans="1:4" hidden="1" x14ac:dyDescent="0.25">
      <c r="A1228">
        <f>IFERROR(HLOOKUP($A$1,'liste CIRCUIT'!$B:$AM,1228,0)," ")</f>
        <v>1</v>
      </c>
      <c r="B1228">
        <f>IFERROR(HLOOKUP($B$1,'liste CIRCUIT'!$B:$AM,1228,0)," ")</f>
        <v>0</v>
      </c>
      <c r="C1228">
        <f t="shared" si="38"/>
        <v>1</v>
      </c>
      <c r="D1228">
        <f t="shared" si="39"/>
        <v>1</v>
      </c>
    </row>
    <row r="1229" spans="1:4" hidden="1" x14ac:dyDescent="0.25">
      <c r="A1229">
        <f>IFERROR(HLOOKUP($A$1,'liste CIRCUIT'!$B:$AM,1229,0)," ")</f>
        <v>1</v>
      </c>
      <c r="B1229">
        <f>IFERROR(HLOOKUP($B$1,'liste CIRCUIT'!$B:$AM,1229,0)," ")</f>
        <v>1</v>
      </c>
      <c r="C1229">
        <f t="shared" si="38"/>
        <v>2</v>
      </c>
      <c r="D1229">
        <f t="shared" si="39"/>
        <v>0</v>
      </c>
    </row>
    <row r="1230" spans="1:4" hidden="1" x14ac:dyDescent="0.25">
      <c r="A1230">
        <f>IFERROR(HLOOKUP($A$1,'liste CIRCUIT'!$B:$AM,1230,0)," ")</f>
        <v>1</v>
      </c>
      <c r="B1230">
        <f>IFERROR(HLOOKUP($B$1,'liste CIRCUIT'!$B:$AM,1230,0)," ")</f>
        <v>1</v>
      </c>
      <c r="C1230">
        <f t="shared" si="38"/>
        <v>2</v>
      </c>
      <c r="D1230">
        <f t="shared" si="39"/>
        <v>0</v>
      </c>
    </row>
    <row r="1231" spans="1:4" hidden="1" x14ac:dyDescent="0.25">
      <c r="A1231">
        <f>IFERROR(HLOOKUP($A$1,'liste CIRCUIT'!$B:$AM,1231,0)," ")</f>
        <v>1</v>
      </c>
      <c r="B1231">
        <f>IFERROR(HLOOKUP($B$1,'liste CIRCUIT'!$B:$AM,1231,0)," ")</f>
        <v>1</v>
      </c>
      <c r="C1231">
        <f t="shared" si="38"/>
        <v>2</v>
      </c>
      <c r="D1231">
        <f t="shared" si="39"/>
        <v>0</v>
      </c>
    </row>
    <row r="1232" spans="1:4" hidden="1" x14ac:dyDescent="0.25">
      <c r="A1232">
        <f>IFERROR(HLOOKUP($A$1,'liste CIRCUIT'!$B:$AM,1232,0)," ")</f>
        <v>1</v>
      </c>
      <c r="B1232">
        <f>IFERROR(HLOOKUP($B$1,'liste CIRCUIT'!$B:$AM,1232,0)," ")</f>
        <v>1</v>
      </c>
      <c r="C1232">
        <f t="shared" si="38"/>
        <v>2</v>
      </c>
      <c r="D1232">
        <f t="shared" si="39"/>
        <v>0</v>
      </c>
    </row>
    <row r="1233" spans="1:4" hidden="1" x14ac:dyDescent="0.25">
      <c r="A1233">
        <f>IFERROR(HLOOKUP($A$1,'liste CIRCUIT'!$B:$AM,1233,0)," ")</f>
        <v>0</v>
      </c>
      <c r="B1233">
        <f>IFERROR(HLOOKUP($B$1,'liste CIRCUIT'!$B:$AM,1233,0)," ")</f>
        <v>0</v>
      </c>
      <c r="C1233">
        <f t="shared" si="38"/>
        <v>0</v>
      </c>
      <c r="D1233">
        <f t="shared" si="39"/>
        <v>0</v>
      </c>
    </row>
    <row r="1234" spans="1:4" hidden="1" x14ac:dyDescent="0.25">
      <c r="A1234">
        <f>IFERROR(HLOOKUP($A$1,'liste CIRCUIT'!$B:$AM,1234,0)," ")</f>
        <v>0</v>
      </c>
      <c r="B1234">
        <f>IFERROR(HLOOKUP($B$1,'liste CIRCUIT'!$B:$AM,1234,0)," ")</f>
        <v>0</v>
      </c>
      <c r="C1234">
        <f t="shared" si="38"/>
        <v>0</v>
      </c>
      <c r="D1234">
        <f t="shared" si="39"/>
        <v>0</v>
      </c>
    </row>
    <row r="1235" spans="1:4" hidden="1" x14ac:dyDescent="0.25">
      <c r="A1235">
        <f>IFERROR(HLOOKUP($A$1,'liste CIRCUIT'!$B:$AM,1235,0)," ")</f>
        <v>0</v>
      </c>
      <c r="B1235">
        <f>IFERROR(HLOOKUP($B$1,'liste CIRCUIT'!$B:$AM,1235,0)," ")</f>
        <v>0</v>
      </c>
      <c r="C1235">
        <f t="shared" si="38"/>
        <v>0</v>
      </c>
      <c r="D1235">
        <f t="shared" si="39"/>
        <v>0</v>
      </c>
    </row>
    <row r="1236" spans="1:4" hidden="1" x14ac:dyDescent="0.25">
      <c r="A1236">
        <f>IFERROR(HLOOKUP($A$1,'liste CIRCUIT'!$B:$AM,1236,0)," ")</f>
        <v>0</v>
      </c>
      <c r="B1236">
        <f>IFERROR(HLOOKUP($B$1,'liste CIRCUIT'!$B:$AM,1236,0)," ")</f>
        <v>0</v>
      </c>
      <c r="C1236">
        <f t="shared" si="38"/>
        <v>0</v>
      </c>
      <c r="D1236">
        <f t="shared" si="39"/>
        <v>0</v>
      </c>
    </row>
    <row r="1237" spans="1:4" hidden="1" x14ac:dyDescent="0.25">
      <c r="A1237">
        <f>IFERROR(HLOOKUP($A$1,'liste CIRCUIT'!$B:$AM,1237,0)," ")</f>
        <v>1</v>
      </c>
      <c r="B1237">
        <f>IFERROR(HLOOKUP($B$1,'liste CIRCUIT'!$B:$AM,1237,0)," ")</f>
        <v>0</v>
      </c>
      <c r="C1237">
        <f t="shared" si="38"/>
        <v>1</v>
      </c>
      <c r="D1237">
        <f t="shared" si="39"/>
        <v>1</v>
      </c>
    </row>
    <row r="1238" spans="1:4" hidden="1" x14ac:dyDescent="0.25">
      <c r="A1238">
        <f>IFERROR(HLOOKUP($A$1,'liste CIRCUIT'!$B:$AM,1238,0)," ")</f>
        <v>0</v>
      </c>
      <c r="B1238">
        <f>IFERROR(HLOOKUP($B$1,'liste CIRCUIT'!$B:$AM,1238,0)," ")</f>
        <v>0</v>
      </c>
      <c r="C1238">
        <f t="shared" si="38"/>
        <v>0</v>
      </c>
      <c r="D1238">
        <f t="shared" si="39"/>
        <v>0</v>
      </c>
    </row>
    <row r="1239" spans="1:4" hidden="1" x14ac:dyDescent="0.25">
      <c r="A1239">
        <f>IFERROR(HLOOKUP($A$1,'liste CIRCUIT'!$B:$AM,1239,0)," ")</f>
        <v>0</v>
      </c>
      <c r="B1239">
        <f>IFERROR(HLOOKUP($B$1,'liste CIRCUIT'!$B:$AM,1239,0)," ")</f>
        <v>1</v>
      </c>
      <c r="C1239">
        <f t="shared" si="38"/>
        <v>1</v>
      </c>
      <c r="D1239">
        <f t="shared" si="39"/>
        <v>-1</v>
      </c>
    </row>
    <row r="1240" spans="1:4" hidden="1" x14ac:dyDescent="0.25">
      <c r="A1240">
        <f>IFERROR(HLOOKUP($A$1,'liste CIRCUIT'!$B:$AM,1240,0)," ")</f>
        <v>0</v>
      </c>
      <c r="B1240">
        <f>IFERROR(HLOOKUP($B$1,'liste CIRCUIT'!$B:$AM,1240,0)," ")</f>
        <v>0</v>
      </c>
      <c r="C1240">
        <f t="shared" si="38"/>
        <v>0</v>
      </c>
      <c r="D1240">
        <f t="shared" si="39"/>
        <v>0</v>
      </c>
    </row>
    <row r="1241" spans="1:4" hidden="1" x14ac:dyDescent="0.25">
      <c r="A1241">
        <f>IFERROR(HLOOKUP($A$1,'liste CIRCUIT'!$B:$AM,1241,0)," ")</f>
        <v>0</v>
      </c>
      <c r="B1241">
        <f>IFERROR(HLOOKUP($B$1,'liste CIRCUIT'!$B:$AM,1241,0)," ")</f>
        <v>0</v>
      </c>
      <c r="C1241">
        <f t="shared" si="38"/>
        <v>0</v>
      </c>
      <c r="D1241">
        <f t="shared" si="39"/>
        <v>0</v>
      </c>
    </row>
    <row r="1242" spans="1:4" hidden="1" x14ac:dyDescent="0.25">
      <c r="A1242">
        <f>IFERROR(HLOOKUP($A$1,'liste CIRCUIT'!$B:$AM,1242,0)," ")</f>
        <v>0</v>
      </c>
      <c r="B1242">
        <f>IFERROR(HLOOKUP($B$1,'liste CIRCUIT'!$B:$AM,1242,0)," ")</f>
        <v>0</v>
      </c>
      <c r="C1242">
        <f t="shared" si="38"/>
        <v>0</v>
      </c>
      <c r="D1242">
        <f t="shared" si="39"/>
        <v>0</v>
      </c>
    </row>
    <row r="1243" spans="1:4" hidden="1" x14ac:dyDescent="0.25">
      <c r="A1243">
        <f>IFERROR(HLOOKUP($A$1,'liste CIRCUIT'!$B:$AM,1243,0)," ")</f>
        <v>0</v>
      </c>
      <c r="B1243">
        <f>IFERROR(HLOOKUP($B$1,'liste CIRCUIT'!$B:$AM,1243,0)," ")</f>
        <v>0</v>
      </c>
      <c r="C1243">
        <f t="shared" si="38"/>
        <v>0</v>
      </c>
      <c r="D1243">
        <f t="shared" si="39"/>
        <v>0</v>
      </c>
    </row>
    <row r="1244" spans="1:4" hidden="1" x14ac:dyDescent="0.25">
      <c r="A1244">
        <f>IFERROR(HLOOKUP($A$1,'liste CIRCUIT'!$B:$AM,1244,0)," ")</f>
        <v>0</v>
      </c>
      <c r="B1244">
        <f>IFERROR(HLOOKUP($B$1,'liste CIRCUIT'!$B:$AM,1244,0)," ")</f>
        <v>0</v>
      </c>
      <c r="C1244">
        <f t="shared" si="38"/>
        <v>0</v>
      </c>
      <c r="D1244">
        <f t="shared" si="39"/>
        <v>0</v>
      </c>
    </row>
    <row r="1245" spans="1:4" hidden="1" x14ac:dyDescent="0.25">
      <c r="A1245">
        <f>IFERROR(HLOOKUP($A$1,'liste CIRCUIT'!$B:$AM,1245,0)," ")</f>
        <v>1</v>
      </c>
      <c r="B1245">
        <f>IFERROR(HLOOKUP($B$1,'liste CIRCUIT'!$B:$AM,1245,0)," ")</f>
        <v>0</v>
      </c>
      <c r="C1245">
        <f t="shared" si="38"/>
        <v>1</v>
      </c>
      <c r="D1245">
        <f t="shared" si="39"/>
        <v>1</v>
      </c>
    </row>
    <row r="1246" spans="1:4" hidden="1" x14ac:dyDescent="0.25">
      <c r="A1246">
        <f>IFERROR(HLOOKUP($A$1,'liste CIRCUIT'!$B:$AM,1246,0)," ")</f>
        <v>0</v>
      </c>
      <c r="B1246">
        <f>IFERROR(HLOOKUP($B$1,'liste CIRCUIT'!$B:$AM,1246,0)," ")</f>
        <v>1</v>
      </c>
      <c r="C1246">
        <f t="shared" si="38"/>
        <v>1</v>
      </c>
      <c r="D1246">
        <f t="shared" si="39"/>
        <v>-1</v>
      </c>
    </row>
    <row r="1247" spans="1:4" hidden="1" x14ac:dyDescent="0.25">
      <c r="A1247">
        <f>IFERROR(HLOOKUP($A$1,'liste CIRCUIT'!$B:$AM,1247,0)," ")</f>
        <v>0</v>
      </c>
      <c r="B1247">
        <f>IFERROR(HLOOKUP($B$1,'liste CIRCUIT'!$B:$AM,1247,0)," ")</f>
        <v>0</v>
      </c>
      <c r="C1247">
        <f t="shared" si="38"/>
        <v>0</v>
      </c>
      <c r="D1247">
        <f t="shared" si="39"/>
        <v>0</v>
      </c>
    </row>
    <row r="1248" spans="1:4" hidden="1" x14ac:dyDescent="0.25">
      <c r="A1248">
        <f>IFERROR(HLOOKUP($A$1,'liste CIRCUIT'!$B:$AM,1248,0)," ")</f>
        <v>0</v>
      </c>
      <c r="B1248">
        <f>IFERROR(HLOOKUP($B$1,'liste CIRCUIT'!$B:$AM,1248,0)," ")</f>
        <v>0</v>
      </c>
      <c r="C1248">
        <f t="shared" si="38"/>
        <v>0</v>
      </c>
      <c r="D1248">
        <f t="shared" si="39"/>
        <v>0</v>
      </c>
    </row>
    <row r="1249" spans="1:4" hidden="1" x14ac:dyDescent="0.25">
      <c r="A1249">
        <f>IFERROR(HLOOKUP($A$1,'liste CIRCUIT'!$B:$AM,1249,0)," ")</f>
        <v>1</v>
      </c>
      <c r="B1249">
        <f>IFERROR(HLOOKUP($B$1,'liste CIRCUIT'!$B:$AM,1249,0)," ")</f>
        <v>1</v>
      </c>
      <c r="C1249">
        <f t="shared" si="38"/>
        <v>2</v>
      </c>
      <c r="D1249">
        <f t="shared" si="39"/>
        <v>0</v>
      </c>
    </row>
    <row r="1250" spans="1:4" hidden="1" x14ac:dyDescent="0.25">
      <c r="A1250">
        <f>IFERROR(HLOOKUP($A$1,'liste CIRCUIT'!$B:$AM,1250,0)," ")</f>
        <v>0</v>
      </c>
      <c r="B1250">
        <f>IFERROR(HLOOKUP($B$1,'liste CIRCUIT'!$B:$AM,1250,0)," ")</f>
        <v>0</v>
      </c>
      <c r="C1250">
        <f t="shared" si="38"/>
        <v>0</v>
      </c>
      <c r="D1250">
        <f t="shared" si="39"/>
        <v>0</v>
      </c>
    </row>
    <row r="1251" spans="1:4" hidden="1" x14ac:dyDescent="0.25">
      <c r="A1251">
        <f>IFERROR(HLOOKUP($A$1,'liste CIRCUIT'!$B:$AM,1251,0)," ")</f>
        <v>0</v>
      </c>
      <c r="B1251">
        <f>IFERROR(HLOOKUP($B$1,'liste CIRCUIT'!$B:$AM,1251,0)," ")</f>
        <v>0</v>
      </c>
      <c r="C1251">
        <f t="shared" si="38"/>
        <v>0</v>
      </c>
      <c r="D1251">
        <f t="shared" si="39"/>
        <v>0</v>
      </c>
    </row>
    <row r="1252" spans="1:4" hidden="1" x14ac:dyDescent="0.25">
      <c r="A1252">
        <f>IFERROR(HLOOKUP($A$1,'liste CIRCUIT'!$B:$AM,1252,0)," ")</f>
        <v>0</v>
      </c>
      <c r="B1252">
        <f>IFERROR(HLOOKUP($B$1,'liste CIRCUIT'!$B:$AM,1252,0)," ")</f>
        <v>0</v>
      </c>
      <c r="C1252">
        <f t="shared" si="38"/>
        <v>0</v>
      </c>
      <c r="D1252">
        <f t="shared" si="39"/>
        <v>0</v>
      </c>
    </row>
    <row r="1253" spans="1:4" hidden="1" x14ac:dyDescent="0.25">
      <c r="A1253">
        <f>IFERROR(HLOOKUP($A$1,'liste CIRCUIT'!$B:$AM,1253,0)," ")</f>
        <v>1</v>
      </c>
      <c r="B1253">
        <f>IFERROR(HLOOKUP($B$1,'liste CIRCUIT'!$B:$AM,1253,0)," ")</f>
        <v>1</v>
      </c>
      <c r="C1253">
        <f t="shared" si="38"/>
        <v>2</v>
      </c>
      <c r="D1253">
        <f t="shared" si="39"/>
        <v>0</v>
      </c>
    </row>
    <row r="1254" spans="1:4" hidden="1" x14ac:dyDescent="0.25">
      <c r="A1254">
        <f>IFERROR(HLOOKUP($A$1,'liste CIRCUIT'!$B:$AM,1254,0)," ")</f>
        <v>1</v>
      </c>
      <c r="B1254">
        <f>IFERROR(HLOOKUP($B$1,'liste CIRCUIT'!$B:$AM,1254,0)," ")</f>
        <v>1</v>
      </c>
      <c r="C1254">
        <f t="shared" si="38"/>
        <v>2</v>
      </c>
      <c r="D1254">
        <f t="shared" si="39"/>
        <v>0</v>
      </c>
    </row>
    <row r="1255" spans="1:4" hidden="1" x14ac:dyDescent="0.25">
      <c r="A1255">
        <f>IFERROR(HLOOKUP($A$1,'liste CIRCUIT'!$B:$AM,1255,0)," ")</f>
        <v>1</v>
      </c>
      <c r="B1255">
        <f>IFERROR(HLOOKUP($B$1,'liste CIRCUIT'!$B:$AM,1255,0)," ")</f>
        <v>1</v>
      </c>
      <c r="C1255">
        <f t="shared" si="38"/>
        <v>2</v>
      </c>
      <c r="D1255">
        <f t="shared" si="39"/>
        <v>0</v>
      </c>
    </row>
    <row r="1256" spans="1:4" hidden="1" x14ac:dyDescent="0.25">
      <c r="A1256">
        <f>IFERROR(HLOOKUP($A$1,'liste CIRCUIT'!$B:$AM,1256,0)," ")</f>
        <v>0</v>
      </c>
      <c r="B1256">
        <f>IFERROR(HLOOKUP($B$1,'liste CIRCUIT'!$B:$AM,1256,0)," ")</f>
        <v>0</v>
      </c>
      <c r="C1256">
        <f t="shared" si="38"/>
        <v>0</v>
      </c>
      <c r="D1256">
        <f t="shared" si="39"/>
        <v>0</v>
      </c>
    </row>
    <row r="1257" spans="1:4" hidden="1" x14ac:dyDescent="0.25">
      <c r="A1257">
        <f>IFERROR(HLOOKUP($A$1,'liste CIRCUIT'!$B:$AM,1257,0)," ")</f>
        <v>0</v>
      </c>
      <c r="B1257">
        <f>IFERROR(HLOOKUP($B$1,'liste CIRCUIT'!$B:$AM,1257,0)," ")</f>
        <v>0</v>
      </c>
      <c r="C1257">
        <f t="shared" si="38"/>
        <v>0</v>
      </c>
      <c r="D1257">
        <f t="shared" si="39"/>
        <v>0</v>
      </c>
    </row>
    <row r="1258" spans="1:4" hidden="1" x14ac:dyDescent="0.25">
      <c r="A1258">
        <f>IFERROR(HLOOKUP($A$1,'liste CIRCUIT'!$B:$AM,1258,0)," ")</f>
        <v>0</v>
      </c>
      <c r="B1258">
        <f>IFERROR(HLOOKUP($B$1,'liste CIRCUIT'!$B:$AM,1258,0)," ")</f>
        <v>0</v>
      </c>
      <c r="C1258">
        <f t="shared" si="38"/>
        <v>0</v>
      </c>
      <c r="D1258">
        <f t="shared" si="39"/>
        <v>0</v>
      </c>
    </row>
    <row r="1259" spans="1:4" hidden="1" x14ac:dyDescent="0.25">
      <c r="A1259">
        <f>IFERROR(HLOOKUP($A$1,'liste CIRCUIT'!$B:$AM,1259,0)," ")</f>
        <v>0</v>
      </c>
      <c r="B1259">
        <f>IFERROR(HLOOKUP($B$1,'liste CIRCUIT'!$B:$AM,1259,0)," ")</f>
        <v>0</v>
      </c>
      <c r="C1259">
        <f t="shared" si="38"/>
        <v>0</v>
      </c>
      <c r="D1259">
        <f t="shared" si="39"/>
        <v>0</v>
      </c>
    </row>
    <row r="1260" spans="1:4" hidden="1" x14ac:dyDescent="0.25">
      <c r="A1260">
        <f>IFERROR(HLOOKUP($A$1,'liste CIRCUIT'!$B:$AM,1260,0)," ")</f>
        <v>0</v>
      </c>
      <c r="B1260">
        <f>IFERROR(HLOOKUP($B$1,'liste CIRCUIT'!$B:$AM,1260,0)," ")</f>
        <v>0</v>
      </c>
      <c r="C1260">
        <f t="shared" si="38"/>
        <v>0</v>
      </c>
      <c r="D1260">
        <f t="shared" si="39"/>
        <v>0</v>
      </c>
    </row>
    <row r="1261" spans="1:4" hidden="1" x14ac:dyDescent="0.25">
      <c r="A1261">
        <f>IFERROR(HLOOKUP($A$1,'liste CIRCUIT'!$B:$AM,1261,0)," ")</f>
        <v>0</v>
      </c>
      <c r="B1261">
        <f>IFERROR(HLOOKUP($B$1,'liste CIRCUIT'!$B:$AM,1261,0)," ")</f>
        <v>0</v>
      </c>
      <c r="C1261">
        <f t="shared" si="38"/>
        <v>0</v>
      </c>
      <c r="D1261">
        <f t="shared" si="39"/>
        <v>0</v>
      </c>
    </row>
    <row r="1262" spans="1:4" hidden="1" x14ac:dyDescent="0.25">
      <c r="A1262">
        <f>IFERROR(HLOOKUP($A$1,'liste CIRCUIT'!$B:$AM,1262,0)," ")</f>
        <v>0</v>
      </c>
      <c r="B1262">
        <f>IFERROR(HLOOKUP($B$1,'liste CIRCUIT'!$B:$AM,1262,0)," ")</f>
        <v>0</v>
      </c>
      <c r="C1262">
        <f t="shared" si="38"/>
        <v>0</v>
      </c>
      <c r="D1262">
        <f t="shared" si="39"/>
        <v>0</v>
      </c>
    </row>
    <row r="1263" spans="1:4" hidden="1" x14ac:dyDescent="0.25">
      <c r="A1263">
        <f>IFERROR(HLOOKUP($A$1,'liste CIRCUIT'!$B:$AM,1263,0)," ")</f>
        <v>0</v>
      </c>
      <c r="B1263">
        <f>IFERROR(HLOOKUP($B$1,'liste CIRCUIT'!$B:$AM,1263,0)," ")</f>
        <v>0</v>
      </c>
      <c r="C1263">
        <f t="shared" si="38"/>
        <v>0</v>
      </c>
      <c r="D1263">
        <f t="shared" si="39"/>
        <v>0</v>
      </c>
    </row>
    <row r="1264" spans="1:4" hidden="1" x14ac:dyDescent="0.25">
      <c r="A1264">
        <f>IFERROR(HLOOKUP($A$1,'liste CIRCUIT'!$B:$AM,1264,0)," ")</f>
        <v>0</v>
      </c>
      <c r="B1264">
        <f>IFERROR(HLOOKUP($B$1,'liste CIRCUIT'!$B:$AM,1264,0)," ")</f>
        <v>0</v>
      </c>
      <c r="C1264">
        <f t="shared" si="38"/>
        <v>0</v>
      </c>
      <c r="D1264">
        <f t="shared" si="39"/>
        <v>0</v>
      </c>
    </row>
    <row r="1265" spans="1:4" hidden="1" x14ac:dyDescent="0.25">
      <c r="A1265">
        <f>IFERROR(HLOOKUP($A$1,'liste CIRCUIT'!$B:$AM,1265,0)," ")</f>
        <v>0</v>
      </c>
      <c r="B1265">
        <f>IFERROR(HLOOKUP($B$1,'liste CIRCUIT'!$B:$AM,1265,0)," ")</f>
        <v>0</v>
      </c>
      <c r="C1265">
        <f t="shared" si="38"/>
        <v>0</v>
      </c>
      <c r="D1265">
        <f t="shared" si="39"/>
        <v>0</v>
      </c>
    </row>
    <row r="1266" spans="1:4" hidden="1" x14ac:dyDescent="0.25">
      <c r="A1266">
        <f>IFERROR(HLOOKUP($A$1,'liste CIRCUIT'!$B:$AM,1266,0)," ")</f>
        <v>0</v>
      </c>
      <c r="B1266">
        <f>IFERROR(HLOOKUP($B$1,'liste CIRCUIT'!$B:$AM,1266,0)," ")</f>
        <v>0</v>
      </c>
      <c r="C1266">
        <f t="shared" si="38"/>
        <v>0</v>
      </c>
      <c r="D1266">
        <f t="shared" si="39"/>
        <v>0</v>
      </c>
    </row>
    <row r="1267" spans="1:4" hidden="1" x14ac:dyDescent="0.25">
      <c r="A1267">
        <f>IFERROR(HLOOKUP($A$1,'liste CIRCUIT'!$B:$AM,1267,0)," ")</f>
        <v>0</v>
      </c>
      <c r="B1267">
        <f>IFERROR(HLOOKUP($B$1,'liste CIRCUIT'!$B:$AM,1267,0)," ")</f>
        <v>0</v>
      </c>
      <c r="C1267">
        <f t="shared" si="38"/>
        <v>0</v>
      </c>
      <c r="D1267">
        <f t="shared" si="39"/>
        <v>0</v>
      </c>
    </row>
    <row r="1268" spans="1:4" hidden="1" x14ac:dyDescent="0.25">
      <c r="A1268">
        <f>IFERROR(HLOOKUP($A$1,'liste CIRCUIT'!$B:$AM,1268,0)," ")</f>
        <v>0</v>
      </c>
      <c r="B1268">
        <f>IFERROR(HLOOKUP($B$1,'liste CIRCUIT'!$B:$AM,1268,0)," ")</f>
        <v>0</v>
      </c>
      <c r="C1268">
        <f t="shared" si="38"/>
        <v>0</v>
      </c>
      <c r="D1268">
        <f t="shared" si="39"/>
        <v>0</v>
      </c>
    </row>
    <row r="1269" spans="1:4" hidden="1" x14ac:dyDescent="0.25">
      <c r="A1269">
        <f>IFERROR(HLOOKUP($A$1,'liste CIRCUIT'!$B:$AM,1269,0)," ")</f>
        <v>0</v>
      </c>
      <c r="B1269">
        <f>IFERROR(HLOOKUP($B$1,'liste CIRCUIT'!$B:$AM,1269,0)," ")</f>
        <v>0</v>
      </c>
      <c r="C1269">
        <f t="shared" si="38"/>
        <v>0</v>
      </c>
      <c r="D1269">
        <f t="shared" si="39"/>
        <v>0</v>
      </c>
    </row>
    <row r="1270" spans="1:4" hidden="1" x14ac:dyDescent="0.25">
      <c r="A1270">
        <f>IFERROR(HLOOKUP($A$1,'liste CIRCUIT'!$B:$AM,1270,0)," ")</f>
        <v>0</v>
      </c>
      <c r="B1270">
        <f>IFERROR(HLOOKUP($B$1,'liste CIRCUIT'!$B:$AM,1270,0)," ")</f>
        <v>0</v>
      </c>
      <c r="C1270">
        <f t="shared" si="38"/>
        <v>0</v>
      </c>
      <c r="D1270">
        <f t="shared" si="39"/>
        <v>0</v>
      </c>
    </row>
    <row r="1271" spans="1:4" hidden="1" x14ac:dyDescent="0.25">
      <c r="A1271">
        <f>IFERROR(HLOOKUP($A$1,'liste CIRCUIT'!$B:$AM,1271,0)," ")</f>
        <v>0</v>
      </c>
      <c r="B1271">
        <f>IFERROR(HLOOKUP($B$1,'liste CIRCUIT'!$B:$AM,1271,0)," ")</f>
        <v>0</v>
      </c>
      <c r="C1271">
        <f t="shared" si="38"/>
        <v>0</v>
      </c>
      <c r="D1271">
        <f t="shared" si="39"/>
        <v>0</v>
      </c>
    </row>
    <row r="1272" spans="1:4" hidden="1" x14ac:dyDescent="0.25">
      <c r="A1272">
        <f>IFERROR(HLOOKUP($A$1,'liste CIRCUIT'!$B:$AM,1272,0)," ")</f>
        <v>1</v>
      </c>
      <c r="B1272">
        <f>IFERROR(HLOOKUP($B$1,'liste CIRCUIT'!$B:$AM,1272,0)," ")</f>
        <v>1</v>
      </c>
      <c r="C1272">
        <f t="shared" si="38"/>
        <v>2</v>
      </c>
      <c r="D1272">
        <f t="shared" si="39"/>
        <v>0</v>
      </c>
    </row>
    <row r="1273" spans="1:4" hidden="1" x14ac:dyDescent="0.25">
      <c r="A1273">
        <f>IFERROR(HLOOKUP($A$1,'liste CIRCUIT'!$B:$AM,1273,0)," ")</f>
        <v>1</v>
      </c>
      <c r="B1273">
        <f>IFERROR(HLOOKUP($B$1,'liste CIRCUIT'!$B:$AM,1273,0)," ")</f>
        <v>1</v>
      </c>
      <c r="C1273">
        <f t="shared" si="38"/>
        <v>2</v>
      </c>
      <c r="D1273">
        <f t="shared" si="39"/>
        <v>0</v>
      </c>
    </row>
    <row r="1274" spans="1:4" hidden="1" x14ac:dyDescent="0.25">
      <c r="A1274">
        <f>IFERROR(HLOOKUP($A$1,'liste CIRCUIT'!$B:$AM,1274,0)," ")</f>
        <v>1</v>
      </c>
      <c r="B1274">
        <f>IFERROR(HLOOKUP($B$1,'liste CIRCUIT'!$B:$AM,1274,0)," ")</f>
        <v>1</v>
      </c>
      <c r="C1274">
        <f t="shared" si="38"/>
        <v>2</v>
      </c>
      <c r="D1274">
        <f t="shared" si="39"/>
        <v>0</v>
      </c>
    </row>
    <row r="1275" spans="1:4" hidden="1" x14ac:dyDescent="0.25">
      <c r="A1275">
        <f>IFERROR(HLOOKUP($A$1,'liste CIRCUIT'!$B:$AM,1275,0)," ")</f>
        <v>1</v>
      </c>
      <c r="B1275">
        <f>IFERROR(HLOOKUP($B$1,'liste CIRCUIT'!$B:$AM,1275,0)," ")</f>
        <v>1</v>
      </c>
      <c r="C1275">
        <f t="shared" si="38"/>
        <v>2</v>
      </c>
      <c r="D1275">
        <f t="shared" si="39"/>
        <v>0</v>
      </c>
    </row>
    <row r="1276" spans="1:4" hidden="1" x14ac:dyDescent="0.25">
      <c r="A1276">
        <f>IFERROR(HLOOKUP($A$1,'liste CIRCUIT'!$B:$AM,1276,0)," ")</f>
        <v>1</v>
      </c>
      <c r="B1276">
        <f>IFERROR(HLOOKUP($B$1,'liste CIRCUIT'!$B:$AM,1276,0)," ")</f>
        <v>1</v>
      </c>
      <c r="C1276">
        <f t="shared" si="38"/>
        <v>2</v>
      </c>
      <c r="D1276">
        <f t="shared" si="39"/>
        <v>0</v>
      </c>
    </row>
    <row r="1277" spans="1:4" hidden="1" x14ac:dyDescent="0.25">
      <c r="A1277">
        <f>IFERROR(HLOOKUP($A$1,'liste CIRCUIT'!$B:$AM,1277,0)," ")</f>
        <v>0</v>
      </c>
      <c r="B1277">
        <f>IFERROR(HLOOKUP($B$1,'liste CIRCUIT'!$B:$AM,1277,0)," ")</f>
        <v>0</v>
      </c>
      <c r="C1277">
        <f t="shared" si="38"/>
        <v>0</v>
      </c>
      <c r="D1277">
        <f t="shared" si="39"/>
        <v>0</v>
      </c>
    </row>
    <row r="1278" spans="1:4" hidden="1" x14ac:dyDescent="0.25">
      <c r="A1278">
        <f>IFERROR(HLOOKUP($A$1,'liste CIRCUIT'!$B:$AM,1278,0)," ")</f>
        <v>0</v>
      </c>
      <c r="B1278">
        <f>IFERROR(HLOOKUP($B$1,'liste CIRCUIT'!$B:$AM,1278,0)," ")</f>
        <v>0</v>
      </c>
      <c r="C1278">
        <f t="shared" si="38"/>
        <v>0</v>
      </c>
      <c r="D1278">
        <f t="shared" si="39"/>
        <v>0</v>
      </c>
    </row>
    <row r="1279" spans="1:4" hidden="1" x14ac:dyDescent="0.25">
      <c r="A1279">
        <f>IFERROR(HLOOKUP($A$1,'liste CIRCUIT'!$B:$AM,1279,0)," ")</f>
        <v>0</v>
      </c>
      <c r="B1279">
        <f>IFERROR(HLOOKUP($B$1,'liste CIRCUIT'!$B:$AM,1279,0)," ")</f>
        <v>0</v>
      </c>
      <c r="C1279">
        <f t="shared" si="38"/>
        <v>0</v>
      </c>
      <c r="D1279">
        <f t="shared" si="39"/>
        <v>0</v>
      </c>
    </row>
    <row r="1280" spans="1:4" hidden="1" x14ac:dyDescent="0.25">
      <c r="A1280">
        <f>IFERROR(HLOOKUP($A$1,'liste CIRCUIT'!$B:$AM,1280,0)," ")</f>
        <v>0</v>
      </c>
      <c r="B1280">
        <f>IFERROR(HLOOKUP($B$1,'liste CIRCUIT'!$B:$AM,1280,0)," ")</f>
        <v>0</v>
      </c>
      <c r="C1280">
        <f t="shared" si="38"/>
        <v>0</v>
      </c>
      <c r="D1280">
        <f t="shared" si="39"/>
        <v>0</v>
      </c>
    </row>
    <row r="1281" spans="1:4" hidden="1" x14ac:dyDescent="0.25">
      <c r="A1281">
        <f>IFERROR(HLOOKUP($A$1,'liste CIRCUIT'!$B:$AM,1281,0)," ")</f>
        <v>0</v>
      </c>
      <c r="B1281">
        <f>IFERROR(HLOOKUP($B$1,'liste CIRCUIT'!$B:$AM,1281,0)," ")</f>
        <v>0</v>
      </c>
      <c r="C1281">
        <f t="shared" si="38"/>
        <v>0</v>
      </c>
      <c r="D1281">
        <f t="shared" si="39"/>
        <v>0</v>
      </c>
    </row>
    <row r="1282" spans="1:4" hidden="1" x14ac:dyDescent="0.25">
      <c r="A1282">
        <f>IFERROR(HLOOKUP($A$1,'liste CIRCUIT'!$B:$AM,1282,0)," ")</f>
        <v>0</v>
      </c>
      <c r="B1282">
        <f>IFERROR(HLOOKUP($B$1,'liste CIRCUIT'!$B:$AM,1282,0)," ")</f>
        <v>0</v>
      </c>
      <c r="C1282">
        <f t="shared" si="38"/>
        <v>0</v>
      </c>
      <c r="D1282">
        <f t="shared" si="39"/>
        <v>0</v>
      </c>
    </row>
    <row r="1283" spans="1:4" hidden="1" x14ac:dyDescent="0.25">
      <c r="A1283">
        <f>IFERROR(HLOOKUP($A$1,'liste CIRCUIT'!$B:$AM,1283,0)," ")</f>
        <v>0</v>
      </c>
      <c r="B1283">
        <f>IFERROR(HLOOKUP($B$1,'liste CIRCUIT'!$B:$AM,1283,0)," ")</f>
        <v>0</v>
      </c>
      <c r="C1283">
        <f t="shared" ref="C1283:C1320" si="40">SUM(A1283:B1283)</f>
        <v>0</v>
      </c>
      <c r="D1283">
        <f t="shared" ref="D1283:D1320" si="41">A1283-B1283</f>
        <v>0</v>
      </c>
    </row>
    <row r="1284" spans="1:4" hidden="1" x14ac:dyDescent="0.25">
      <c r="A1284">
        <f>IFERROR(HLOOKUP($A$1,'liste CIRCUIT'!$B:$AM,1284,0)," ")</f>
        <v>0</v>
      </c>
      <c r="B1284">
        <f>IFERROR(HLOOKUP($B$1,'liste CIRCUIT'!$B:$AM,1284,0)," ")</f>
        <v>0</v>
      </c>
      <c r="C1284">
        <f t="shared" si="40"/>
        <v>0</v>
      </c>
      <c r="D1284">
        <f t="shared" si="41"/>
        <v>0</v>
      </c>
    </row>
    <row r="1285" spans="1:4" hidden="1" x14ac:dyDescent="0.25">
      <c r="A1285">
        <f>IFERROR(HLOOKUP($A$1,'liste CIRCUIT'!$B:$AM,1285,0)," ")</f>
        <v>0</v>
      </c>
      <c r="B1285">
        <f>IFERROR(HLOOKUP($B$1,'liste CIRCUIT'!$B:$AM,1285,0)," ")</f>
        <v>0</v>
      </c>
      <c r="C1285">
        <f t="shared" si="40"/>
        <v>0</v>
      </c>
      <c r="D1285">
        <f t="shared" si="41"/>
        <v>0</v>
      </c>
    </row>
    <row r="1286" spans="1:4" hidden="1" x14ac:dyDescent="0.25">
      <c r="A1286">
        <f>IFERROR(HLOOKUP($A$1,'liste CIRCUIT'!$B:$AM,1286,0)," ")</f>
        <v>0</v>
      </c>
      <c r="B1286">
        <f>IFERROR(HLOOKUP($B$1,'liste CIRCUIT'!$B:$AM,1286,0)," ")</f>
        <v>0</v>
      </c>
      <c r="C1286">
        <f t="shared" si="40"/>
        <v>0</v>
      </c>
      <c r="D1286">
        <f t="shared" si="41"/>
        <v>0</v>
      </c>
    </row>
    <row r="1287" spans="1:4" hidden="1" x14ac:dyDescent="0.25">
      <c r="A1287">
        <f>IFERROR(HLOOKUP($A$1,'liste CIRCUIT'!$B:$AM,1287,0)," ")</f>
        <v>0</v>
      </c>
      <c r="B1287">
        <f>IFERROR(HLOOKUP($B$1,'liste CIRCUIT'!$B:$AM,1287,0)," ")</f>
        <v>0</v>
      </c>
      <c r="C1287">
        <f t="shared" si="40"/>
        <v>0</v>
      </c>
      <c r="D1287">
        <f t="shared" si="41"/>
        <v>0</v>
      </c>
    </row>
    <row r="1288" spans="1:4" hidden="1" x14ac:dyDescent="0.25">
      <c r="A1288">
        <f>IFERROR(HLOOKUP($A$1,'liste CIRCUIT'!$B:$AM,1288,0)," ")</f>
        <v>0</v>
      </c>
      <c r="B1288">
        <f>IFERROR(HLOOKUP($B$1,'liste CIRCUIT'!$B:$AM,1288,0)," ")</f>
        <v>0</v>
      </c>
      <c r="C1288">
        <f t="shared" si="40"/>
        <v>0</v>
      </c>
      <c r="D1288">
        <f t="shared" si="41"/>
        <v>0</v>
      </c>
    </row>
    <row r="1289" spans="1:4" hidden="1" x14ac:dyDescent="0.25">
      <c r="A1289">
        <f>IFERROR(HLOOKUP($A$1,'liste CIRCUIT'!$B:$AM,1289,0)," ")</f>
        <v>0</v>
      </c>
      <c r="B1289">
        <f>IFERROR(HLOOKUP($B$1,'liste CIRCUIT'!$B:$AM,1289,0)," ")</f>
        <v>0</v>
      </c>
      <c r="C1289">
        <f t="shared" si="40"/>
        <v>0</v>
      </c>
      <c r="D1289">
        <f t="shared" si="41"/>
        <v>0</v>
      </c>
    </row>
    <row r="1290" spans="1:4" hidden="1" x14ac:dyDescent="0.25">
      <c r="A1290">
        <f>IFERROR(HLOOKUP($A$1,'liste CIRCUIT'!$B:$AM,1290,0)," ")</f>
        <v>0</v>
      </c>
      <c r="B1290">
        <f>IFERROR(HLOOKUP($B$1,'liste CIRCUIT'!$B:$AM,1290,0)," ")</f>
        <v>0</v>
      </c>
      <c r="C1290">
        <f t="shared" si="40"/>
        <v>0</v>
      </c>
      <c r="D1290">
        <f t="shared" si="41"/>
        <v>0</v>
      </c>
    </row>
    <row r="1291" spans="1:4" hidden="1" x14ac:dyDescent="0.25">
      <c r="A1291">
        <f>IFERROR(HLOOKUP($A$1,'liste CIRCUIT'!$B:$AM,1291,0)," ")</f>
        <v>0</v>
      </c>
      <c r="B1291">
        <f>IFERROR(HLOOKUP($B$1,'liste CIRCUIT'!$B:$AM,1291,0)," ")</f>
        <v>0</v>
      </c>
      <c r="C1291">
        <f t="shared" si="40"/>
        <v>0</v>
      </c>
      <c r="D1291">
        <f t="shared" si="41"/>
        <v>0</v>
      </c>
    </row>
    <row r="1292" spans="1:4" hidden="1" x14ac:dyDescent="0.25">
      <c r="A1292">
        <f>IFERROR(HLOOKUP($A$1,'liste CIRCUIT'!$B:$AM,1292,0)," ")</f>
        <v>0</v>
      </c>
      <c r="B1292">
        <f>IFERROR(HLOOKUP($B$1,'liste CIRCUIT'!$B:$AM,1292,0)," ")</f>
        <v>0</v>
      </c>
      <c r="C1292">
        <f t="shared" si="40"/>
        <v>0</v>
      </c>
      <c r="D1292">
        <f t="shared" si="41"/>
        <v>0</v>
      </c>
    </row>
    <row r="1293" spans="1:4" hidden="1" x14ac:dyDescent="0.25">
      <c r="A1293">
        <f>IFERROR(HLOOKUP($A$1,'liste CIRCUIT'!$B:$AM,1293,0)," ")</f>
        <v>0</v>
      </c>
      <c r="B1293">
        <f>IFERROR(HLOOKUP($B$1,'liste CIRCUIT'!$B:$AM,1293,0)," ")</f>
        <v>0</v>
      </c>
      <c r="C1293">
        <f t="shared" si="40"/>
        <v>0</v>
      </c>
      <c r="D1293">
        <f t="shared" si="41"/>
        <v>0</v>
      </c>
    </row>
    <row r="1294" spans="1:4" hidden="1" x14ac:dyDescent="0.25">
      <c r="A1294">
        <f>IFERROR(HLOOKUP($A$1,'liste CIRCUIT'!$B:$AM,1294,0)," ")</f>
        <v>0</v>
      </c>
      <c r="B1294">
        <f>IFERROR(HLOOKUP($B$1,'liste CIRCUIT'!$B:$AM,1294,0)," ")</f>
        <v>0</v>
      </c>
      <c r="C1294">
        <f t="shared" si="40"/>
        <v>0</v>
      </c>
      <c r="D1294">
        <f t="shared" si="41"/>
        <v>0</v>
      </c>
    </row>
    <row r="1295" spans="1:4" hidden="1" x14ac:dyDescent="0.25">
      <c r="A1295">
        <f>IFERROR(HLOOKUP($A$1,'liste CIRCUIT'!$B:$AM,1295,0)," ")</f>
        <v>0</v>
      </c>
      <c r="B1295">
        <f>IFERROR(HLOOKUP($B$1,'liste CIRCUIT'!$B:$AM,1295,0)," ")</f>
        <v>0</v>
      </c>
      <c r="C1295">
        <f t="shared" si="40"/>
        <v>0</v>
      </c>
      <c r="D1295">
        <f t="shared" si="41"/>
        <v>0</v>
      </c>
    </row>
    <row r="1296" spans="1:4" hidden="1" x14ac:dyDescent="0.25">
      <c r="A1296">
        <f>IFERROR(HLOOKUP($A$1,'liste CIRCUIT'!$B:$AM,1296,0)," ")</f>
        <v>0</v>
      </c>
      <c r="B1296">
        <f>IFERROR(HLOOKUP($B$1,'liste CIRCUIT'!$B:$AM,1296,0)," ")</f>
        <v>0</v>
      </c>
      <c r="C1296">
        <f t="shared" si="40"/>
        <v>0</v>
      </c>
      <c r="D1296">
        <f t="shared" si="41"/>
        <v>0</v>
      </c>
    </row>
    <row r="1297" spans="1:4" hidden="1" x14ac:dyDescent="0.25">
      <c r="A1297">
        <f>IFERROR(HLOOKUP($A$1,'liste CIRCUIT'!$B:$AM,1297,0)," ")</f>
        <v>0</v>
      </c>
      <c r="B1297">
        <f>IFERROR(HLOOKUP($B$1,'liste CIRCUIT'!$B:$AM,1297,0)," ")</f>
        <v>0</v>
      </c>
      <c r="C1297">
        <f t="shared" si="40"/>
        <v>0</v>
      </c>
      <c r="D1297">
        <f t="shared" si="41"/>
        <v>0</v>
      </c>
    </row>
    <row r="1298" spans="1:4" hidden="1" x14ac:dyDescent="0.25">
      <c r="A1298">
        <f>IFERROR(HLOOKUP($A$1,'liste CIRCUIT'!$B:$AM,1298,0)," ")</f>
        <v>0</v>
      </c>
      <c r="B1298">
        <f>IFERROR(HLOOKUP($B$1,'liste CIRCUIT'!$B:$AM,1298,0)," ")</f>
        <v>0</v>
      </c>
      <c r="C1298">
        <f t="shared" si="40"/>
        <v>0</v>
      </c>
      <c r="D1298">
        <f t="shared" si="41"/>
        <v>0</v>
      </c>
    </row>
    <row r="1299" spans="1:4" hidden="1" x14ac:dyDescent="0.25">
      <c r="A1299">
        <f>IFERROR(HLOOKUP($A$1,'liste CIRCUIT'!$B:$AM,1299,0)," ")</f>
        <v>0</v>
      </c>
      <c r="B1299">
        <f>IFERROR(HLOOKUP($B$1,'liste CIRCUIT'!$B:$AM,1299,0)," ")</f>
        <v>0</v>
      </c>
      <c r="C1299">
        <f t="shared" si="40"/>
        <v>0</v>
      </c>
      <c r="D1299">
        <f t="shared" si="41"/>
        <v>0</v>
      </c>
    </row>
    <row r="1300" spans="1:4" hidden="1" x14ac:dyDescent="0.25">
      <c r="A1300">
        <f>IFERROR(HLOOKUP($A$1,'liste CIRCUIT'!$B:$AM,1300,0)," ")</f>
        <v>0</v>
      </c>
      <c r="B1300">
        <f>IFERROR(HLOOKUP($B$1,'liste CIRCUIT'!$B:$AM,1300,0)," ")</f>
        <v>0</v>
      </c>
      <c r="C1300">
        <f t="shared" si="40"/>
        <v>0</v>
      </c>
      <c r="D1300">
        <f t="shared" si="41"/>
        <v>0</v>
      </c>
    </row>
    <row r="1301" spans="1:4" hidden="1" x14ac:dyDescent="0.25">
      <c r="A1301">
        <f>IFERROR(HLOOKUP($A$1,'liste CIRCUIT'!$B:$AM,1301,0)," ")</f>
        <v>0</v>
      </c>
      <c r="B1301">
        <f>IFERROR(HLOOKUP($B$1,'liste CIRCUIT'!$B:$AM,1301,0)," ")</f>
        <v>0</v>
      </c>
      <c r="C1301">
        <f t="shared" si="40"/>
        <v>0</v>
      </c>
      <c r="D1301">
        <f t="shared" si="41"/>
        <v>0</v>
      </c>
    </row>
    <row r="1302" spans="1:4" hidden="1" x14ac:dyDescent="0.25">
      <c r="A1302">
        <f>IFERROR(HLOOKUP($A$1,'liste CIRCUIT'!$B:$AM,1302,0)," ")</f>
        <v>0</v>
      </c>
      <c r="B1302">
        <f>IFERROR(HLOOKUP($B$1,'liste CIRCUIT'!$B:$AM,1302,0)," ")</f>
        <v>0</v>
      </c>
      <c r="C1302">
        <f t="shared" si="40"/>
        <v>0</v>
      </c>
      <c r="D1302">
        <f t="shared" si="41"/>
        <v>0</v>
      </c>
    </row>
    <row r="1303" spans="1:4" hidden="1" x14ac:dyDescent="0.25">
      <c r="A1303">
        <f>IFERROR(HLOOKUP($A$1,'liste CIRCUIT'!$B:$AM,1303,0)," ")</f>
        <v>0</v>
      </c>
      <c r="B1303">
        <f>IFERROR(HLOOKUP($B$1,'liste CIRCUIT'!$B:$AM,1303,0)," ")</f>
        <v>0</v>
      </c>
      <c r="C1303">
        <f t="shared" si="40"/>
        <v>0</v>
      </c>
      <c r="D1303">
        <f t="shared" si="41"/>
        <v>0</v>
      </c>
    </row>
    <row r="1304" spans="1:4" hidden="1" x14ac:dyDescent="0.25">
      <c r="A1304">
        <f>IFERROR(HLOOKUP($A$1,'liste CIRCUIT'!$B:$AM,1304,0)," ")</f>
        <v>0</v>
      </c>
      <c r="B1304">
        <f>IFERROR(HLOOKUP($B$1,'liste CIRCUIT'!$B:$AM,1304,0)," ")</f>
        <v>0</v>
      </c>
      <c r="C1304">
        <f t="shared" si="40"/>
        <v>0</v>
      </c>
      <c r="D1304">
        <f t="shared" si="41"/>
        <v>0</v>
      </c>
    </row>
    <row r="1305" spans="1:4" hidden="1" x14ac:dyDescent="0.25">
      <c r="A1305">
        <f>IFERROR(HLOOKUP($A$1,'liste CIRCUIT'!$B:$AM,1305,0)," ")</f>
        <v>0</v>
      </c>
      <c r="B1305">
        <f>IFERROR(HLOOKUP($B$1,'liste CIRCUIT'!$B:$AM,1305,0)," ")</f>
        <v>0</v>
      </c>
      <c r="C1305">
        <f t="shared" si="40"/>
        <v>0</v>
      </c>
      <c r="D1305">
        <f t="shared" si="41"/>
        <v>0</v>
      </c>
    </row>
    <row r="1306" spans="1:4" hidden="1" x14ac:dyDescent="0.25">
      <c r="A1306">
        <f>IFERROR(HLOOKUP($A$1,'liste CIRCUIT'!$B:$AM,1306,0)," ")</f>
        <v>0</v>
      </c>
      <c r="B1306">
        <f>IFERROR(HLOOKUP($B$1,'liste CIRCUIT'!$B:$AM,1306,0)," ")</f>
        <v>0</v>
      </c>
      <c r="C1306">
        <f t="shared" si="40"/>
        <v>0</v>
      </c>
      <c r="D1306">
        <f t="shared" si="41"/>
        <v>0</v>
      </c>
    </row>
    <row r="1307" spans="1:4" hidden="1" x14ac:dyDescent="0.25">
      <c r="A1307">
        <f>IFERROR(HLOOKUP($A$1,'liste CIRCUIT'!$B:$AM,1307,0)," ")</f>
        <v>0</v>
      </c>
      <c r="B1307">
        <f>IFERROR(HLOOKUP($B$1,'liste CIRCUIT'!$B:$AM,1307,0)," ")</f>
        <v>0</v>
      </c>
      <c r="C1307">
        <f t="shared" si="40"/>
        <v>0</v>
      </c>
      <c r="D1307">
        <f t="shared" si="41"/>
        <v>0</v>
      </c>
    </row>
    <row r="1308" spans="1:4" hidden="1" x14ac:dyDescent="0.25">
      <c r="A1308">
        <f>IFERROR(HLOOKUP($A$1,'liste CIRCUIT'!$B:$AM,1308,0)," ")</f>
        <v>0</v>
      </c>
      <c r="B1308">
        <f>IFERROR(HLOOKUP($B$1,'liste CIRCUIT'!$B:$AM,1308,0)," ")</f>
        <v>0</v>
      </c>
      <c r="C1308">
        <f t="shared" si="40"/>
        <v>0</v>
      </c>
      <c r="D1308">
        <f t="shared" si="41"/>
        <v>0</v>
      </c>
    </row>
    <row r="1309" spans="1:4" hidden="1" x14ac:dyDescent="0.25">
      <c r="A1309">
        <f>IFERROR(HLOOKUP($A$1,'liste CIRCUIT'!$B:$AM,1309,0)," ")</f>
        <v>0</v>
      </c>
      <c r="B1309">
        <f>IFERROR(HLOOKUP($B$1,'liste CIRCUIT'!$B:$AM,1309,0)," ")</f>
        <v>0</v>
      </c>
      <c r="C1309">
        <f t="shared" si="40"/>
        <v>0</v>
      </c>
      <c r="D1309">
        <f t="shared" si="41"/>
        <v>0</v>
      </c>
    </row>
    <row r="1310" spans="1:4" hidden="1" x14ac:dyDescent="0.25">
      <c r="A1310">
        <f>IFERROR(HLOOKUP($A$1,'liste CIRCUIT'!$B:$AM,1310,0)," ")</f>
        <v>0</v>
      </c>
      <c r="B1310">
        <f>IFERROR(HLOOKUP($B$1,'liste CIRCUIT'!$B:$AM,1310,0)," ")</f>
        <v>0</v>
      </c>
      <c r="C1310">
        <f t="shared" si="40"/>
        <v>0</v>
      </c>
      <c r="D1310">
        <f t="shared" si="41"/>
        <v>0</v>
      </c>
    </row>
    <row r="1311" spans="1:4" hidden="1" x14ac:dyDescent="0.25">
      <c r="A1311">
        <f>IFERROR(HLOOKUP($A$1,'liste CIRCUIT'!$B:$AM,1311,0)," ")</f>
        <v>0</v>
      </c>
      <c r="B1311">
        <f>IFERROR(HLOOKUP($B$1,'liste CIRCUIT'!$B:$AM,1311,0)," ")</f>
        <v>0</v>
      </c>
      <c r="C1311">
        <f t="shared" si="40"/>
        <v>0</v>
      </c>
      <c r="D1311">
        <f t="shared" si="41"/>
        <v>0</v>
      </c>
    </row>
    <row r="1312" spans="1:4" hidden="1" x14ac:dyDescent="0.25">
      <c r="A1312">
        <f>IFERROR(HLOOKUP($A$1,'liste CIRCUIT'!$B:$AM,1312,0)," ")</f>
        <v>0</v>
      </c>
      <c r="B1312">
        <f>IFERROR(HLOOKUP($B$1,'liste CIRCUIT'!$B:$AM,1312,0)," ")</f>
        <v>0</v>
      </c>
      <c r="C1312">
        <f t="shared" si="40"/>
        <v>0</v>
      </c>
      <c r="D1312">
        <f t="shared" si="41"/>
        <v>0</v>
      </c>
    </row>
    <row r="1313" spans="1:4" hidden="1" x14ac:dyDescent="0.25">
      <c r="A1313">
        <f>IFERROR(HLOOKUP($A$1,'liste CIRCUIT'!$B:$AM,1313,0)," ")</f>
        <v>0</v>
      </c>
      <c r="B1313">
        <f>IFERROR(HLOOKUP($B$1,'liste CIRCUIT'!$B:$AM,1313,0)," ")</f>
        <v>0</v>
      </c>
      <c r="C1313">
        <f t="shared" si="40"/>
        <v>0</v>
      </c>
      <c r="D1313">
        <f t="shared" si="41"/>
        <v>0</v>
      </c>
    </row>
    <row r="1314" spans="1:4" hidden="1" x14ac:dyDescent="0.25">
      <c r="A1314">
        <f>IFERROR(HLOOKUP($A$1,'liste CIRCUIT'!$B:$AM,1314,0)," ")</f>
        <v>0</v>
      </c>
      <c r="B1314">
        <f>IFERROR(HLOOKUP($B$1,'liste CIRCUIT'!$B:$AM,1314,0)," ")</f>
        <v>0</v>
      </c>
      <c r="C1314">
        <f t="shared" si="40"/>
        <v>0</v>
      </c>
      <c r="D1314">
        <f t="shared" si="41"/>
        <v>0</v>
      </c>
    </row>
    <row r="1315" spans="1:4" hidden="1" x14ac:dyDescent="0.25">
      <c r="A1315">
        <f>IFERROR(HLOOKUP($A$1,'liste CIRCUIT'!$B:$AM,1315,0)," ")</f>
        <v>0</v>
      </c>
      <c r="B1315">
        <f>IFERROR(HLOOKUP($B$1,'liste CIRCUIT'!$B:$AM,1315,0)," ")</f>
        <v>0</v>
      </c>
      <c r="C1315">
        <f t="shared" si="40"/>
        <v>0</v>
      </c>
      <c r="D1315">
        <f t="shared" si="41"/>
        <v>0</v>
      </c>
    </row>
    <row r="1316" spans="1:4" hidden="1" x14ac:dyDescent="0.25">
      <c r="A1316">
        <f>IFERROR(HLOOKUP($A$1,'liste CIRCUIT'!$B:$AM,1316,0)," ")</f>
        <v>0</v>
      </c>
      <c r="B1316">
        <f>IFERROR(HLOOKUP($B$1,'liste CIRCUIT'!$B:$AM,1316,0)," ")</f>
        <v>0</v>
      </c>
      <c r="C1316">
        <f t="shared" si="40"/>
        <v>0</v>
      </c>
      <c r="D1316">
        <f t="shared" si="41"/>
        <v>0</v>
      </c>
    </row>
    <row r="1317" spans="1:4" hidden="1" x14ac:dyDescent="0.25">
      <c r="A1317">
        <f>IFERROR(HLOOKUP($A$1,'liste CIRCUIT'!$B:$AM,1317,0)," ")</f>
        <v>1</v>
      </c>
      <c r="B1317">
        <f>IFERROR(HLOOKUP($B$1,'liste CIRCUIT'!$B:$AM,1317,0)," ")</f>
        <v>0</v>
      </c>
      <c r="C1317">
        <f t="shared" si="40"/>
        <v>1</v>
      </c>
      <c r="D1317">
        <f t="shared" si="41"/>
        <v>1</v>
      </c>
    </row>
    <row r="1318" spans="1:4" hidden="1" x14ac:dyDescent="0.25">
      <c r="A1318">
        <f>IFERROR(HLOOKUP($A$1,'liste CIRCUIT'!$B:$AM,1318,0)," ")</f>
        <v>1</v>
      </c>
      <c r="B1318">
        <f>IFERROR(HLOOKUP($B$1,'liste CIRCUIT'!$B:$AM,1318,0)," ")</f>
        <v>0</v>
      </c>
      <c r="C1318">
        <f t="shared" si="40"/>
        <v>1</v>
      </c>
      <c r="D1318">
        <f t="shared" si="41"/>
        <v>1</v>
      </c>
    </row>
    <row r="1319" spans="1:4" hidden="1" x14ac:dyDescent="0.25">
      <c r="A1319">
        <f>IFERROR(HLOOKUP($A$1,'liste CIRCUIT'!$B:$AM,1319,0)," ")</f>
        <v>1</v>
      </c>
      <c r="B1319">
        <f>IFERROR(HLOOKUP($B$1,'liste CIRCUIT'!$B:$AM,1319,0)," ")</f>
        <v>0</v>
      </c>
      <c r="C1319">
        <f t="shared" si="40"/>
        <v>1</v>
      </c>
      <c r="D1319">
        <f t="shared" si="41"/>
        <v>1</v>
      </c>
    </row>
    <row r="1320" spans="1:4" ht="15.75" hidden="1" thickBot="1" x14ac:dyDescent="0.3">
      <c r="A1320">
        <f>IFERROR(HLOOKUP($A$1,'liste CIRCUIT'!$B:$AM,1320,0)," ")</f>
        <v>1</v>
      </c>
      <c r="B1320">
        <f>IFERROR(HLOOKUP($B$1,'liste CIRCUIT'!$B:$AM,1320,0)," ")</f>
        <v>0</v>
      </c>
      <c r="C1320">
        <f t="shared" si="40"/>
        <v>1</v>
      </c>
      <c r="D1320">
        <f t="shared" si="41"/>
        <v>1</v>
      </c>
    </row>
    <row r="1321" spans="1:4" ht="31.5" x14ac:dyDescent="0.25">
      <c r="A1321" s="25" t="s">
        <v>37</v>
      </c>
      <c r="B1321" s="26"/>
      <c r="C1321" s="27">
        <f>COUNTIF($C$2:$C$1320,2)</f>
        <v>259</v>
      </c>
      <c r="D1321" s="28"/>
    </row>
    <row r="1322" spans="1:4" ht="31.5" x14ac:dyDescent="0.25">
      <c r="A1322" s="23" t="s">
        <v>38</v>
      </c>
      <c r="B1322" s="24"/>
      <c r="C1322" s="17">
        <f>COUNTIF($D$1:$D$1319,1)</f>
        <v>65</v>
      </c>
      <c r="D1322" s="18"/>
    </row>
    <row r="1323" spans="1:4" ht="31.5" x14ac:dyDescent="0.25">
      <c r="A1323" s="23" t="s">
        <v>39</v>
      </c>
      <c r="B1323" s="24"/>
      <c r="C1323" s="17">
        <f>COUNTIF($D$2:$D$1320,-1)</f>
        <v>113</v>
      </c>
      <c r="D1323" s="18"/>
    </row>
    <row r="1324" spans="1:4" ht="32.25" thickBot="1" x14ac:dyDescent="0.3">
      <c r="A1324" s="21" t="s">
        <v>40</v>
      </c>
      <c r="B1324" s="22"/>
      <c r="C1324" s="15">
        <f>COUNTIF($C$2:$C$1320,0)</f>
        <v>881</v>
      </c>
      <c r="D1324" s="16"/>
    </row>
  </sheetData>
  <mergeCells count="9">
    <mergeCell ref="C1324:D1324"/>
    <mergeCell ref="C1323:D1323"/>
    <mergeCell ref="C1322:D1322"/>
    <mergeCell ref="C1:D1"/>
    <mergeCell ref="A1324:B1324"/>
    <mergeCell ref="A1323:B1323"/>
    <mergeCell ref="A1322:B1322"/>
    <mergeCell ref="A1321:B1321"/>
    <mergeCell ref="C1321:D13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'liste CIRCUIT'!$B$1:$AN$1</xm:f>
          </x14:formula1>
          <xm:sqref>A1:B1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O17"/>
  <sheetViews>
    <sheetView tabSelected="1" workbookViewId="0">
      <selection activeCell="J11" sqref="J11"/>
    </sheetView>
  </sheetViews>
  <sheetFormatPr baseColWidth="10" defaultRowHeight="15" x14ac:dyDescent="0.25"/>
  <sheetData>
    <row r="4" spans="2:15" x14ac:dyDescent="0.25">
      <c r="B4" s="12" t="s">
        <v>41</v>
      </c>
      <c r="C4" s="31">
        <v>240140810</v>
      </c>
      <c r="D4" s="12">
        <v>240142059</v>
      </c>
      <c r="E4" s="12">
        <v>240147750</v>
      </c>
      <c r="F4" s="12">
        <v>240148188</v>
      </c>
      <c r="G4" s="12">
        <v>240141969</v>
      </c>
      <c r="H4" s="12">
        <v>240143090</v>
      </c>
      <c r="I4" s="12">
        <v>240149909</v>
      </c>
      <c r="J4" s="12">
        <v>240146547</v>
      </c>
      <c r="K4" s="12">
        <v>240144449</v>
      </c>
      <c r="L4" s="12">
        <v>240146367</v>
      </c>
      <c r="M4" s="12">
        <v>240148113</v>
      </c>
      <c r="N4" s="12">
        <v>240146790</v>
      </c>
      <c r="O4" s="12" t="s">
        <v>10</v>
      </c>
    </row>
    <row r="5" spans="2:15" x14ac:dyDescent="0.25">
      <c r="B5" s="30">
        <v>240140810</v>
      </c>
      <c r="C5" s="32" t="str">
        <f>IF(AND(CIRCUIT!$A$1 = C$4,CIRCUIT!$B$1 =$B5), CIRCUIT!$C$1321,"NA")</f>
        <v>NA</v>
      </c>
      <c r="D5" s="32" t="str">
        <f>IF(AND(CIRCUIT!$A$1 = D$4,CIRCUIT!$B$1 =$B5), CIRCUIT!$C$1321,"NA")</f>
        <v>NA</v>
      </c>
      <c r="E5" s="32" t="str">
        <f>IF(AND(CIRCUIT!$A$1 = E$4,CIRCUIT!$B$1 =$B5), CIRCUIT!$C$1321,"NA")</f>
        <v>NA</v>
      </c>
      <c r="F5" s="32" t="str">
        <f>IF(AND(CIRCUIT!$A$1 = F$4,CIRCUIT!$B$1 =$B5), CIRCUIT!$C$1321,"NA")</f>
        <v>NA</v>
      </c>
      <c r="G5" s="32" t="str">
        <f>IF(AND(CIRCUIT!$A$1 = G$4,CIRCUIT!$B$1 =$B5), CIRCUIT!$C$1321,"NA")</f>
        <v>NA</v>
      </c>
      <c r="H5" s="32" t="str">
        <f>IF(AND(CIRCUIT!$A$1 = H$4,CIRCUIT!$B$1 =$B5), CIRCUIT!$C$1321,"NA")</f>
        <v>NA</v>
      </c>
      <c r="I5" s="32" t="str">
        <f>IF(AND(CIRCUIT!$A$1 = I$4,CIRCUIT!$B$1 =$B5), CIRCUIT!$C$1321,"NA")</f>
        <v>NA</v>
      </c>
      <c r="J5" s="32" t="str">
        <f>IF(AND(CIRCUIT!$A$1 = J$4,CIRCUIT!$B$1 =$B5), CIRCUIT!$C$1321,"NA")</f>
        <v>NA</v>
      </c>
      <c r="K5" s="32" t="str">
        <f>IF(AND(CIRCUIT!$A$1 = K$4,CIRCUIT!$B$1 =$B5), CIRCUIT!$C$1321,"NA")</f>
        <v>NA</v>
      </c>
      <c r="L5" s="32" t="str">
        <f>IF(AND(CIRCUIT!$A$1 = L$4,CIRCUIT!$B$1 =$B5), CIRCUIT!$C$1321,"NA")</f>
        <v>NA</v>
      </c>
      <c r="M5" s="32" t="str">
        <f>IF(AND(CIRCUIT!$A$1 = M$4,CIRCUIT!$B$1 =$B5), CIRCUIT!$C$1321,"NA")</f>
        <v>NA</v>
      </c>
      <c r="N5" s="32" t="str">
        <f>IF(AND(CIRCUIT!$A$1 = N$4,CIRCUIT!$B$1 =$B5), CIRCUIT!$C$1321,"NA")</f>
        <v>NA</v>
      </c>
      <c r="O5" s="32" t="str">
        <f>IF(AND(CIRCUIT!$A$1 = O$4,CIRCUIT!$B$1 =$B5), CIRCUIT!$C$1321,"NA")</f>
        <v>NA</v>
      </c>
    </row>
    <row r="6" spans="2:15" x14ac:dyDescent="0.25">
      <c r="B6" s="29">
        <v>240142059</v>
      </c>
      <c r="C6" s="32" t="str">
        <f>IF(AND(CIRCUIT!$A$1 = C$4,CIRCUIT!$B$1 =$B6), CIRCUIT!$C$1321,"NA")</f>
        <v>NA</v>
      </c>
      <c r="D6" s="32" t="str">
        <f>IF(AND(CIRCUIT!$A$1 = D$4,CIRCUIT!$B$1 =$B6), CIRCUIT!$C$1321,"NA")</f>
        <v>NA</v>
      </c>
      <c r="E6" s="32" t="str">
        <f>IF(AND(CIRCUIT!$A$1 = E$4,CIRCUIT!$B$1 =$B6), CIRCUIT!$C$1321,"NA")</f>
        <v>NA</v>
      </c>
      <c r="F6" s="32" t="str">
        <f>IF(AND(CIRCUIT!$A$1 = F$4,CIRCUIT!$B$1 =$B6), CIRCUIT!$C$1321,"NA")</f>
        <v>NA</v>
      </c>
      <c r="G6" s="32" t="str">
        <f>IF(AND(CIRCUIT!$A$1 = G$4,CIRCUIT!$B$1 =$B6), CIRCUIT!$C$1321,"NA")</f>
        <v>NA</v>
      </c>
      <c r="H6" s="32" t="str">
        <f>IF(AND(CIRCUIT!$A$1 = H$4,CIRCUIT!$B$1 =$B6), CIRCUIT!$C$1321,"NA")</f>
        <v>NA</v>
      </c>
      <c r="I6" s="32" t="str">
        <f>IF(AND(CIRCUIT!$A$1 = I$4,CIRCUIT!$B$1 =$B6), CIRCUIT!$C$1321,"NA")</f>
        <v>NA</v>
      </c>
      <c r="J6" s="32" t="str">
        <f>IF(AND(CIRCUIT!$A$1 = J$4,CIRCUIT!$B$1 =$B6), CIRCUIT!$C$1321,"NA")</f>
        <v>NA</v>
      </c>
      <c r="K6" s="32" t="str">
        <f>IF(AND(CIRCUIT!$A$1 = K$4,CIRCUIT!$B$1 =$B6), CIRCUIT!$C$1321,"NA")</f>
        <v>NA</v>
      </c>
      <c r="L6" s="32" t="str">
        <f>IF(AND(CIRCUIT!$A$1 = L$4,CIRCUIT!$B$1 =$B6), CIRCUIT!$C$1321,"NA")</f>
        <v>NA</v>
      </c>
      <c r="M6" s="32" t="str">
        <f>IF(AND(CIRCUIT!$A$1 = M$4,CIRCUIT!$B$1 =$B6), CIRCUIT!$C$1321,"NA")</f>
        <v>NA</v>
      </c>
      <c r="N6" s="32" t="str">
        <f>IF(AND(CIRCUIT!$A$1 = N$4,CIRCUIT!$B$1 =$B6), CIRCUIT!$C$1321,"NA")</f>
        <v>NA</v>
      </c>
      <c r="O6" s="32" t="str">
        <f>IF(AND(CIRCUIT!$A$1 = O$4,CIRCUIT!$B$1 =$B6), CIRCUIT!$C$1321,"NA")</f>
        <v>NA</v>
      </c>
    </row>
    <row r="7" spans="2:15" x14ac:dyDescent="0.25">
      <c r="B7" s="29">
        <v>240147750</v>
      </c>
      <c r="C7" s="32" t="str">
        <f>IF(AND(CIRCUIT!$A$1 = C$4,CIRCUIT!$B$1 =$B7), CIRCUIT!$C$1321,"NA")</f>
        <v>NA</v>
      </c>
      <c r="D7" s="32" t="str">
        <f>IF(AND(CIRCUIT!$A$1 = D$4,CIRCUIT!$B$1 =$B7), CIRCUIT!$C$1321,"NA")</f>
        <v>NA</v>
      </c>
      <c r="E7" s="32" t="str">
        <f>IF(AND(CIRCUIT!$A$1 = E$4,CIRCUIT!$B$1 =$B7), CIRCUIT!$C$1321,"NA")</f>
        <v>NA</v>
      </c>
      <c r="F7" s="32" t="str">
        <f>IF(AND(CIRCUIT!$A$1 = F$4,CIRCUIT!$B$1 =$B7), CIRCUIT!$C$1321,"NA")</f>
        <v>NA</v>
      </c>
      <c r="G7" s="32" t="str">
        <f>IF(AND(CIRCUIT!$A$1 = G$4,CIRCUIT!$B$1 =$B7), CIRCUIT!$C$1321,"NA")</f>
        <v>NA</v>
      </c>
      <c r="H7" s="32" t="str">
        <f>IF(AND(CIRCUIT!$A$1 = H$4,CIRCUIT!$B$1 =$B7), CIRCUIT!$C$1321,"NA")</f>
        <v>NA</v>
      </c>
      <c r="I7" s="32" t="str">
        <f>IF(AND(CIRCUIT!$A$1 = I$4,CIRCUIT!$B$1 =$B7), CIRCUIT!$C$1321,"NA")</f>
        <v>NA</v>
      </c>
      <c r="J7" s="32" t="str">
        <f>IF(AND(CIRCUIT!$A$1 = J$4,CIRCUIT!$B$1 =$B7), CIRCUIT!$C$1321,"NA")</f>
        <v>NA</v>
      </c>
      <c r="K7" s="32" t="str">
        <f>IF(AND(CIRCUIT!$A$1 = K$4,CIRCUIT!$B$1 =$B7), CIRCUIT!$C$1321,"NA")</f>
        <v>NA</v>
      </c>
      <c r="L7" s="32" t="str">
        <f>IF(AND(CIRCUIT!$A$1 = L$4,CIRCUIT!$B$1 =$B7), CIRCUIT!$C$1321,"NA")</f>
        <v>NA</v>
      </c>
      <c r="M7" s="32" t="str">
        <f>IF(AND(CIRCUIT!$A$1 = M$4,CIRCUIT!$B$1 =$B7), CIRCUIT!$C$1321,"NA")</f>
        <v>NA</v>
      </c>
      <c r="N7" s="32" t="str">
        <f>IF(AND(CIRCUIT!$A$1 = N$4,CIRCUIT!$B$1 =$B7), CIRCUIT!$C$1321,"NA")</f>
        <v>NA</v>
      </c>
      <c r="O7" s="32" t="str">
        <f>IF(AND(CIRCUIT!$A$1 = O$4,CIRCUIT!$B$1 =$B7), CIRCUIT!$C$1321,"NA")</f>
        <v>NA</v>
      </c>
    </row>
    <row r="8" spans="2:15" x14ac:dyDescent="0.25">
      <c r="B8" s="29">
        <v>240148188</v>
      </c>
      <c r="C8" s="32" t="str">
        <f>IF(AND(CIRCUIT!$A$1 = C$4,CIRCUIT!$B$1 =$B8), CIRCUIT!$C$1321,"NA")</f>
        <v>NA</v>
      </c>
      <c r="D8" s="32" t="str">
        <f>IF(AND(CIRCUIT!$A$1 = D$4,CIRCUIT!$B$1 =$B8), CIRCUIT!$C$1321,"NA")</f>
        <v>NA</v>
      </c>
      <c r="E8" s="32" t="str">
        <f>IF(AND(CIRCUIT!$A$1 = E$4,CIRCUIT!$B$1 =$B8), CIRCUIT!$C$1321,"NA")</f>
        <v>NA</v>
      </c>
      <c r="F8" s="32" t="str">
        <f>IF(AND(CIRCUIT!$A$1 = F$4,CIRCUIT!$B$1 =$B8), CIRCUIT!$C$1321,"NA")</f>
        <v>NA</v>
      </c>
      <c r="G8" s="32" t="str">
        <f>IF(AND(CIRCUIT!$A$1 = G$4,CIRCUIT!$B$1 =$B8), CIRCUIT!$C$1321,"NA")</f>
        <v>NA</v>
      </c>
      <c r="H8" s="32" t="str">
        <f>IF(AND(CIRCUIT!$A$1 = H$4,CIRCUIT!$B$1 =$B8), CIRCUIT!$C$1321,"NA")</f>
        <v>NA</v>
      </c>
      <c r="I8" s="32" t="str">
        <f>IF(AND(CIRCUIT!$A$1 = I$4,CIRCUIT!$B$1 =$B8), CIRCUIT!$C$1321,"NA")</f>
        <v>NA</v>
      </c>
      <c r="J8" s="32" t="str">
        <f>IF(AND(CIRCUIT!$A$1 = J$4,CIRCUIT!$B$1 =$B8), CIRCUIT!$C$1321,"NA")</f>
        <v>NA</v>
      </c>
      <c r="K8" s="32" t="str">
        <f>IF(AND(CIRCUIT!$A$1 = K$4,CIRCUIT!$B$1 =$B8), CIRCUIT!$C$1321,"NA")</f>
        <v>NA</v>
      </c>
      <c r="L8" s="32" t="str">
        <f>IF(AND(CIRCUIT!$A$1 = L$4,CIRCUIT!$B$1 =$B8), CIRCUIT!$C$1321,"NA")</f>
        <v>NA</v>
      </c>
      <c r="M8" s="32" t="str">
        <f>IF(AND(CIRCUIT!$A$1 = M$4,CIRCUIT!$B$1 =$B8), CIRCUIT!$C$1321,"NA")</f>
        <v>NA</v>
      </c>
      <c r="N8" s="32" t="str">
        <f>IF(AND(CIRCUIT!$A$1 = N$4,CIRCUIT!$B$1 =$B8), CIRCUIT!$C$1321,"NA")</f>
        <v>NA</v>
      </c>
      <c r="O8" s="32" t="str">
        <f>IF(AND(CIRCUIT!$A$1 = O$4,CIRCUIT!$B$1 =$B8), CIRCUIT!$C$1321,"NA")</f>
        <v>NA</v>
      </c>
    </row>
    <row r="9" spans="2:15" x14ac:dyDescent="0.25">
      <c r="B9" s="29">
        <v>240141969</v>
      </c>
      <c r="C9" s="32" t="str">
        <f>IF(AND(CIRCUIT!$A$1 = C$4,CIRCUIT!$B$1 =$B9), CIRCUIT!$C$1321,"NA")</f>
        <v>NA</v>
      </c>
      <c r="D9" s="32" t="str">
        <f>IF(AND(CIRCUIT!$A$1 = D$4,CIRCUIT!$B$1 =$B9), CIRCUIT!$C$1321,"NA")</f>
        <v>NA</v>
      </c>
      <c r="E9" s="32" t="str">
        <f>IF(AND(CIRCUIT!$A$1 = E$4,CIRCUIT!$B$1 =$B9), CIRCUIT!$C$1321,"NA")</f>
        <v>NA</v>
      </c>
      <c r="F9" s="32" t="str">
        <f>IF(AND(CIRCUIT!$A$1 = F$4,CIRCUIT!$B$1 =$B9), CIRCUIT!$C$1321,"NA")</f>
        <v>NA</v>
      </c>
      <c r="G9" s="32" t="str">
        <f>IF(AND(CIRCUIT!$A$1 = G$4,CIRCUIT!$B$1 =$B9), CIRCUIT!$C$1321,"NA")</f>
        <v>NA</v>
      </c>
      <c r="H9" s="32" t="str">
        <f>IF(AND(CIRCUIT!$A$1 = H$4,CIRCUIT!$B$1 =$B9), CIRCUIT!$C$1321,"NA")</f>
        <v>NA</v>
      </c>
      <c r="I9" s="32" t="str">
        <f>IF(AND(CIRCUIT!$A$1 = I$4,CIRCUIT!$B$1 =$B9), CIRCUIT!$C$1321,"NA")</f>
        <v>NA</v>
      </c>
      <c r="J9" s="32" t="str">
        <f>IF(AND(CIRCUIT!$A$1 = J$4,CIRCUIT!$B$1 =$B9), CIRCUIT!$C$1321,"NA")</f>
        <v>NA</v>
      </c>
      <c r="K9" s="32" t="str">
        <f>IF(AND(CIRCUIT!$A$1 = K$4,CIRCUIT!$B$1 =$B9), CIRCUIT!$C$1321,"NA")</f>
        <v>NA</v>
      </c>
      <c r="L9" s="32" t="str">
        <f>IF(AND(CIRCUIT!$A$1 = L$4,CIRCUIT!$B$1 =$B9), CIRCUIT!$C$1321,"NA")</f>
        <v>NA</v>
      </c>
      <c r="M9" s="32" t="str">
        <f>IF(AND(CIRCUIT!$A$1 = M$4,CIRCUIT!$B$1 =$B9), CIRCUIT!$C$1321,"NA")</f>
        <v>NA</v>
      </c>
      <c r="N9" s="32" t="str">
        <f>IF(AND(CIRCUIT!$A$1 = N$4,CIRCUIT!$B$1 =$B9), CIRCUIT!$C$1321,"NA")</f>
        <v>NA</v>
      </c>
      <c r="O9" s="32" t="str">
        <f>IF(AND(CIRCUIT!$A$1 = O$4,CIRCUIT!$B$1 =$B9), CIRCUIT!$C$1321,"NA")</f>
        <v>NA</v>
      </c>
    </row>
    <row r="10" spans="2:15" x14ac:dyDescent="0.25">
      <c r="B10" s="29">
        <v>240143090</v>
      </c>
      <c r="C10" s="32" t="str">
        <f>IF(AND(CIRCUIT!$A$1 = C$4,CIRCUIT!$B$1 =$B10), CIRCUIT!$C$1321,"NA")</f>
        <v>NA</v>
      </c>
      <c r="D10" s="32" t="str">
        <f>IF(AND(CIRCUIT!$A$1 = D$4,CIRCUIT!$B$1 =$B10), CIRCUIT!$C$1321,"NA")</f>
        <v>NA</v>
      </c>
      <c r="E10" s="32" t="str">
        <f>IF(AND(CIRCUIT!$A$1 = E$4,CIRCUIT!$B$1 =$B10), CIRCUIT!$C$1321,"NA")</f>
        <v>NA</v>
      </c>
      <c r="F10" s="32" t="str">
        <f>IF(AND(CIRCUIT!$A$1 = F$4,CIRCUIT!$B$1 =$B10), CIRCUIT!$C$1321,"NA")</f>
        <v>NA</v>
      </c>
      <c r="G10" s="32" t="str">
        <f>IF(AND(CIRCUIT!$A$1 = G$4,CIRCUIT!$B$1 =$B10), CIRCUIT!$C$1321,"NA")</f>
        <v>NA</v>
      </c>
      <c r="H10" s="32" t="str">
        <f>IF(AND(CIRCUIT!$A$1 = H$4,CIRCUIT!$B$1 =$B10), CIRCUIT!$C$1321,"NA")</f>
        <v>NA</v>
      </c>
      <c r="I10" s="32" t="str">
        <f>IF(AND(CIRCUIT!$A$1 = I$4,CIRCUIT!$B$1 =$B10), CIRCUIT!$C$1321,"NA")</f>
        <v>NA</v>
      </c>
      <c r="J10" s="32" t="str">
        <f>IF(AND(CIRCUIT!$A$1 = J$4,CIRCUIT!$B$1 =$B10), CIRCUIT!$C$1321,"NA")</f>
        <v>NA</v>
      </c>
      <c r="K10" s="32" t="str">
        <f>IF(AND(CIRCUIT!$A$1 = K$4,CIRCUIT!$B$1 =$B10), CIRCUIT!$C$1321,"NA")</f>
        <v>NA</v>
      </c>
      <c r="L10" s="32" t="str">
        <f>IF(AND(CIRCUIT!$A$1 = L$4,CIRCUIT!$B$1 =$B10), CIRCUIT!$C$1321,"NA")</f>
        <v>NA</v>
      </c>
      <c r="M10" s="32" t="str">
        <f>IF(AND(CIRCUIT!$A$1 = M$4,CIRCUIT!$B$1 =$B10), CIRCUIT!$C$1321,"NA")</f>
        <v>NA</v>
      </c>
      <c r="N10" s="32" t="str">
        <f>IF(AND(CIRCUIT!$A$1 = N$4,CIRCUIT!$B$1 =$B10), CIRCUIT!$C$1321,"NA")</f>
        <v>NA</v>
      </c>
      <c r="O10" s="32" t="str">
        <f>IF(AND(CIRCUIT!$A$1 = O$4,CIRCUIT!$B$1 =$B10), CIRCUIT!$C$1321,"NA")</f>
        <v>NA</v>
      </c>
    </row>
    <row r="11" spans="2:15" x14ac:dyDescent="0.25">
      <c r="B11" s="29">
        <v>240149909</v>
      </c>
      <c r="C11" s="32" t="str">
        <f>IF(AND(CIRCUIT!$A$1 = C$4,CIRCUIT!$B$1 =$B11), CIRCUIT!$C$1321,"NA")</f>
        <v>NA</v>
      </c>
      <c r="D11" s="32" t="str">
        <f>IF(AND(CIRCUIT!$A$1 = D$4,CIRCUIT!$B$1 =$B11), CIRCUIT!$C$1321,"NA")</f>
        <v>NA</v>
      </c>
      <c r="E11" s="32" t="str">
        <f>IF(AND(CIRCUIT!$A$1 = E$4,CIRCUIT!$B$1 =$B11), CIRCUIT!$C$1321,"NA")</f>
        <v>NA</v>
      </c>
      <c r="F11" s="32" t="str">
        <f>IF(AND(CIRCUIT!$A$1 = F$4,CIRCUIT!$B$1 =$B11), CIRCUIT!$C$1321,"NA")</f>
        <v>NA</v>
      </c>
      <c r="G11" s="32" t="str">
        <f>IF(AND(CIRCUIT!$A$1 = G$4,CIRCUIT!$B$1 =$B11), CIRCUIT!$C$1321,"NA")</f>
        <v>NA</v>
      </c>
      <c r="H11" s="32" t="str">
        <f>IF(AND(CIRCUIT!$A$1 = H$4,CIRCUIT!$B$1 =$B11), CIRCUIT!$C$1321,"NA")</f>
        <v>NA</v>
      </c>
      <c r="I11" s="32" t="str">
        <f>IF(AND(CIRCUIT!$A$1 = I$4,CIRCUIT!$B$1 =$B11), CIRCUIT!$C$1321,"NA")</f>
        <v>NA</v>
      </c>
      <c r="J11" s="32" t="str">
        <f>IF(AND(CIRCUIT!$A$1 = J$4,CIRCUIT!$B$1 =$B11), CIRCUIT!$C$1321,"NA")</f>
        <v>NA</v>
      </c>
      <c r="K11" s="32" t="str">
        <f>IF(AND(CIRCUIT!$A$1 = K$4,CIRCUIT!$B$1 =$B11), CIRCUIT!$C$1321,"NA")</f>
        <v>NA</v>
      </c>
      <c r="L11" s="32" t="str">
        <f>IF(AND(CIRCUIT!$A$1 = L$4,CIRCUIT!$B$1 =$B11), CIRCUIT!$C$1321,"NA")</f>
        <v>NA</v>
      </c>
      <c r="M11" s="32" t="str">
        <f>IF(AND(CIRCUIT!$A$1 = M$4,CIRCUIT!$B$1 =$B11), CIRCUIT!$C$1321,"NA")</f>
        <v>NA</v>
      </c>
      <c r="N11" s="32" t="str">
        <f>IF(AND(CIRCUIT!$A$1 = N$4,CIRCUIT!$B$1 =$B11), CIRCUIT!$C$1321,"NA")</f>
        <v>NA</v>
      </c>
      <c r="O11" s="32" t="str">
        <f>IF(AND(CIRCUIT!$A$1 = O$4,CIRCUIT!$B$1 =$B11), CIRCUIT!$C$1321,"NA")</f>
        <v>NA</v>
      </c>
    </row>
    <row r="12" spans="2:15" x14ac:dyDescent="0.25">
      <c r="B12" s="29">
        <v>240146547</v>
      </c>
      <c r="C12" s="32" t="str">
        <f>IF(AND(CIRCUIT!$A$1 = C$4,CIRCUIT!$B$1 =$B12), CIRCUIT!$C$1321,"NA")</f>
        <v>NA</v>
      </c>
      <c r="D12" s="32" t="str">
        <f>IF(AND(CIRCUIT!$A$1 = D$4,CIRCUIT!$B$1 =$B12), CIRCUIT!$C$1321,"NA")</f>
        <v>NA</v>
      </c>
      <c r="E12" s="32" t="str">
        <f>IF(AND(CIRCUIT!$A$1 = E$4,CIRCUIT!$B$1 =$B12), CIRCUIT!$C$1321,"NA")</f>
        <v>NA</v>
      </c>
      <c r="F12" s="32" t="str">
        <f>IF(AND(CIRCUIT!$A$1 = F$4,CIRCUIT!$B$1 =$B12), CIRCUIT!$C$1321,"NA")</f>
        <v>NA</v>
      </c>
      <c r="G12" s="32" t="str">
        <f>IF(AND(CIRCUIT!$A$1 = G$4,CIRCUIT!$B$1 =$B12), CIRCUIT!$C$1321,"NA")</f>
        <v>NA</v>
      </c>
      <c r="H12" s="32" t="str">
        <f>IF(AND(CIRCUIT!$A$1 = H$4,CIRCUIT!$B$1 =$B12), CIRCUIT!$C$1321,"NA")</f>
        <v>NA</v>
      </c>
      <c r="I12" s="32" t="str">
        <f>IF(AND(CIRCUIT!$A$1 = I$4,CIRCUIT!$B$1 =$B12), CIRCUIT!$C$1321,"NA")</f>
        <v>NA</v>
      </c>
      <c r="J12" s="32" t="str">
        <f>IF(AND(CIRCUIT!$A$1 = J$4,CIRCUIT!$B$1 =$B12), CIRCUIT!$C$1321,"NA")</f>
        <v>NA</v>
      </c>
      <c r="K12" s="32" t="str">
        <f>IF(AND(CIRCUIT!$A$1 = K$4,CIRCUIT!$B$1 =$B12), CIRCUIT!$C$1321,"NA")</f>
        <v>NA</v>
      </c>
      <c r="L12" s="32" t="str">
        <f>IF(AND(CIRCUIT!$A$1 = L$4,CIRCUIT!$B$1 =$B12), CIRCUIT!$C$1321,"NA")</f>
        <v>NA</v>
      </c>
      <c r="M12" s="32" t="str">
        <f>IF(AND(CIRCUIT!$A$1 = M$4,CIRCUIT!$B$1 =$B12), CIRCUIT!$C$1321,"NA")</f>
        <v>NA</v>
      </c>
      <c r="N12" s="32" t="str">
        <f>IF(AND(CIRCUIT!$A$1 = N$4,CIRCUIT!$B$1 =$B12), CIRCUIT!$C$1321,"NA")</f>
        <v>NA</v>
      </c>
      <c r="O12" s="32" t="str">
        <f>IF(AND(CIRCUIT!$A$1 = O$4,CIRCUIT!$B$1 =$B12), CIRCUIT!$C$1321,"NA")</f>
        <v>NA</v>
      </c>
    </row>
    <row r="13" spans="2:15" x14ac:dyDescent="0.25">
      <c r="B13" s="29">
        <v>240144449</v>
      </c>
      <c r="C13" s="32" t="str">
        <f>IF(AND(CIRCUIT!$A$1 = C$4,CIRCUIT!$B$1 =$B13), CIRCUIT!$C$1321,"NA")</f>
        <v>NA</v>
      </c>
      <c r="D13" s="32" t="str">
        <f>IF(AND(CIRCUIT!$A$1 = D$4,CIRCUIT!$B$1 =$B13), CIRCUIT!$C$1321,"NA")</f>
        <v>NA</v>
      </c>
      <c r="E13" s="32" t="str">
        <f>IF(AND(CIRCUIT!$A$1 = E$4,CIRCUIT!$B$1 =$B13), CIRCUIT!$C$1321,"NA")</f>
        <v>NA</v>
      </c>
      <c r="F13" s="32" t="str">
        <f>IF(AND(CIRCUIT!$A$1 = F$4,CIRCUIT!$B$1 =$B13), CIRCUIT!$C$1321,"NA")</f>
        <v>NA</v>
      </c>
      <c r="G13" s="32" t="str">
        <f>IF(AND(CIRCUIT!$A$1 = G$4,CIRCUIT!$B$1 =$B13), CIRCUIT!$C$1321,"NA")</f>
        <v>NA</v>
      </c>
      <c r="H13" s="32" t="str">
        <f>IF(AND(CIRCUIT!$A$1 = H$4,CIRCUIT!$B$1 =$B13), CIRCUIT!$C$1321,"NA")</f>
        <v>NA</v>
      </c>
      <c r="I13" s="32" t="str">
        <f>IF(AND(CIRCUIT!$A$1 = I$4,CIRCUIT!$B$1 =$B13), CIRCUIT!$C$1321,"NA")</f>
        <v>NA</v>
      </c>
      <c r="J13" s="32" t="str">
        <f>IF(AND(CIRCUIT!$A$1 = J$4,CIRCUIT!$B$1 =$B13), CIRCUIT!$C$1321,"NA")</f>
        <v>NA</v>
      </c>
      <c r="K13" s="32" t="str">
        <f>IF(AND(CIRCUIT!$A$1 = K$4,CIRCUIT!$B$1 =$B13), CIRCUIT!$C$1321,"NA")</f>
        <v>NA</v>
      </c>
      <c r="L13" s="32" t="str">
        <f>IF(AND(CIRCUIT!$A$1 = L$4,CIRCUIT!$B$1 =$B13), CIRCUIT!$C$1321,"NA")</f>
        <v>NA</v>
      </c>
      <c r="M13" s="32" t="str">
        <f>IF(AND(CIRCUIT!$A$1 = M$4,CIRCUIT!$B$1 =$B13), CIRCUIT!$C$1321,"NA")</f>
        <v>NA</v>
      </c>
      <c r="N13" s="32" t="str">
        <f>IF(AND(CIRCUIT!$A$1 = N$4,CIRCUIT!$B$1 =$B13), CIRCUIT!$C$1321,"NA")</f>
        <v>NA</v>
      </c>
      <c r="O13" s="32" t="str">
        <f>IF(AND(CIRCUIT!$A$1 = O$4,CIRCUIT!$B$1 =$B13), CIRCUIT!$C$1321,"NA")</f>
        <v>NA</v>
      </c>
    </row>
    <row r="14" spans="2:15" x14ac:dyDescent="0.25">
      <c r="B14" s="29">
        <v>240146367</v>
      </c>
      <c r="C14" s="32" t="str">
        <f>IF(AND(CIRCUIT!$A$1 = C$4,CIRCUIT!$B$1 =$B14), CIRCUIT!$C$1321,"NA")</f>
        <v>NA</v>
      </c>
      <c r="D14" s="32" t="str">
        <f>IF(AND(CIRCUIT!$A$1 = D$4,CIRCUIT!$B$1 =$B14), CIRCUIT!$C$1321,"NA")</f>
        <v>NA</v>
      </c>
      <c r="E14" s="32" t="str">
        <f>IF(AND(CIRCUIT!$A$1 = E$4,CIRCUIT!$B$1 =$B14), CIRCUIT!$C$1321,"NA")</f>
        <v>NA</v>
      </c>
      <c r="F14" s="32" t="str">
        <f>IF(AND(CIRCUIT!$A$1 = F$4,CIRCUIT!$B$1 =$B14), CIRCUIT!$C$1321,"NA")</f>
        <v>NA</v>
      </c>
      <c r="G14" s="32" t="str">
        <f>IF(AND(CIRCUIT!$A$1 = G$4,CIRCUIT!$B$1 =$B14), CIRCUIT!$C$1321,"NA")</f>
        <v>NA</v>
      </c>
      <c r="H14" s="32" t="str">
        <f>IF(AND(CIRCUIT!$A$1 = H$4,CIRCUIT!$B$1 =$B14), CIRCUIT!$C$1321,"NA")</f>
        <v>NA</v>
      </c>
      <c r="I14" s="32" t="str">
        <f>IF(AND(CIRCUIT!$A$1 = I$4,CIRCUIT!$B$1 =$B14), CIRCUIT!$C$1321,"NA")</f>
        <v>NA</v>
      </c>
      <c r="J14" s="32" t="str">
        <f>IF(AND(CIRCUIT!$A$1 = J$4,CIRCUIT!$B$1 =$B14), CIRCUIT!$C$1321,"NA")</f>
        <v>NA</v>
      </c>
      <c r="K14" s="32" t="str">
        <f>IF(AND(CIRCUIT!$A$1 = K$4,CIRCUIT!$B$1 =$B14), CIRCUIT!$C$1321,"NA")</f>
        <v>NA</v>
      </c>
      <c r="L14" s="32" t="str">
        <f>IF(AND(CIRCUIT!$A$1 = L$4,CIRCUIT!$B$1 =$B14), CIRCUIT!$C$1321,"NA")</f>
        <v>NA</v>
      </c>
      <c r="M14" s="32" t="str">
        <f>IF(AND(CIRCUIT!$A$1 = M$4,CIRCUIT!$B$1 =$B14), CIRCUIT!$C$1321,"NA")</f>
        <v>NA</v>
      </c>
      <c r="N14" s="32" t="str">
        <f>IF(AND(CIRCUIT!$A$1 = N$4,CIRCUIT!$B$1 =$B14), CIRCUIT!$C$1321,"NA")</f>
        <v>NA</v>
      </c>
      <c r="O14" s="32" t="str">
        <f>IF(AND(CIRCUIT!$A$1 = O$4,CIRCUIT!$B$1 =$B14), CIRCUIT!$C$1321,"NA")</f>
        <v>NA</v>
      </c>
    </row>
    <row r="15" spans="2:15" x14ac:dyDescent="0.25">
      <c r="B15" s="29">
        <v>240148113</v>
      </c>
      <c r="C15" s="32" t="str">
        <f>IF(AND(CIRCUIT!$A$1 = C$4,CIRCUIT!$B$1 =$B15), CIRCUIT!$C$1321,"NA")</f>
        <v>NA</v>
      </c>
      <c r="D15" s="32" t="str">
        <f>IF(AND(CIRCUIT!$A$1 = D$4,CIRCUIT!$B$1 =$B15), CIRCUIT!$C$1321,"NA")</f>
        <v>NA</v>
      </c>
      <c r="E15" s="32" t="str">
        <f>IF(AND(CIRCUIT!$A$1 = E$4,CIRCUIT!$B$1 =$B15), CIRCUIT!$C$1321,"NA")</f>
        <v>NA</v>
      </c>
      <c r="F15" s="32" t="str">
        <f>IF(AND(CIRCUIT!$A$1 = F$4,CIRCUIT!$B$1 =$B15), CIRCUIT!$C$1321,"NA")</f>
        <v>NA</v>
      </c>
      <c r="G15" s="32" t="str">
        <f>IF(AND(CIRCUIT!$A$1 = G$4,CIRCUIT!$B$1 =$B15), CIRCUIT!$C$1321,"NA")</f>
        <v>NA</v>
      </c>
      <c r="H15" s="32" t="str">
        <f>IF(AND(CIRCUIT!$A$1 = H$4,CIRCUIT!$B$1 =$B15), CIRCUIT!$C$1321,"NA")</f>
        <v>NA</v>
      </c>
      <c r="I15" s="32" t="str">
        <f>IF(AND(CIRCUIT!$A$1 = I$4,CIRCUIT!$B$1 =$B15), CIRCUIT!$C$1321,"NA")</f>
        <v>NA</v>
      </c>
      <c r="J15" s="32" t="str">
        <f>IF(AND(CIRCUIT!$A$1 = J$4,CIRCUIT!$B$1 =$B15), CIRCUIT!$C$1321,"NA")</f>
        <v>NA</v>
      </c>
      <c r="K15" s="32" t="str">
        <f>IF(AND(CIRCUIT!$A$1 = K$4,CIRCUIT!$B$1 =$B15), CIRCUIT!$C$1321,"NA")</f>
        <v>NA</v>
      </c>
      <c r="L15" s="32" t="str">
        <f>IF(AND(CIRCUIT!$A$1 = L$4,CIRCUIT!$B$1 =$B15), CIRCUIT!$C$1321,"NA")</f>
        <v>NA</v>
      </c>
      <c r="M15" s="32" t="str">
        <f>IF(AND(CIRCUIT!$A$1 = M$4,CIRCUIT!$B$1 =$B15), CIRCUIT!$C$1321,"NA")</f>
        <v>NA</v>
      </c>
      <c r="N15" s="32" t="str">
        <f>IF(AND(CIRCUIT!$A$1 = N$4,CIRCUIT!$B$1 =$B15), CIRCUIT!$C$1321,"NA")</f>
        <v>NA</v>
      </c>
      <c r="O15" s="32" t="str">
        <f>IF(AND(CIRCUIT!$A$1 = O$4,CIRCUIT!$B$1 =$B15), CIRCUIT!$C$1321,"NA")</f>
        <v>NA</v>
      </c>
    </row>
    <row r="16" spans="2:15" x14ac:dyDescent="0.25">
      <c r="B16" s="29">
        <v>240146790</v>
      </c>
      <c r="C16" s="32" t="str">
        <f>IF(AND(CIRCUIT!$A$1 = C$4,CIRCUIT!$B$1 =$B16), CIRCUIT!$C$1321,"NA")</f>
        <v>NA</v>
      </c>
      <c r="D16" s="32" t="str">
        <f>IF(AND(CIRCUIT!$A$1 = D$4,CIRCUIT!$B$1 =$B16), CIRCUIT!$C$1321,"NA")</f>
        <v>NA</v>
      </c>
      <c r="E16" s="32" t="str">
        <f>IF(AND(CIRCUIT!$A$1 = E$4,CIRCUIT!$B$1 =$B16), CIRCUIT!$C$1321,"NA")</f>
        <v>NA</v>
      </c>
      <c r="F16" s="32" t="str">
        <f>IF(AND(CIRCUIT!$A$1 = F$4,CIRCUIT!$B$1 =$B16), CIRCUIT!$C$1321,"NA")</f>
        <v>NA</v>
      </c>
      <c r="G16" s="32" t="str">
        <f>IF(AND(CIRCUIT!$A$1 = G$4,CIRCUIT!$B$1 =$B16), CIRCUIT!$C$1321,"NA")</f>
        <v>NA</v>
      </c>
      <c r="H16" s="32" t="str">
        <f>IF(AND(CIRCUIT!$A$1 = H$4,CIRCUIT!$B$1 =$B16), CIRCUIT!$C$1321,"NA")</f>
        <v>NA</v>
      </c>
      <c r="I16" s="32" t="str">
        <f>IF(AND(CIRCUIT!$A$1 = I$4,CIRCUIT!$B$1 =$B16), CIRCUIT!$C$1321,"NA")</f>
        <v>NA</v>
      </c>
      <c r="J16" s="32" t="str">
        <f>IF(AND(CIRCUIT!$A$1 = J$4,CIRCUIT!$B$1 =$B16), CIRCUIT!$C$1321,"NA")</f>
        <v>NA</v>
      </c>
      <c r="K16" s="32" t="str">
        <f>IF(AND(CIRCUIT!$A$1 = K$4,CIRCUIT!$B$1 =$B16), CIRCUIT!$C$1321,"NA")</f>
        <v>NA</v>
      </c>
      <c r="L16" s="32" t="str">
        <f>IF(AND(CIRCUIT!$A$1 = L$4,CIRCUIT!$B$1 =$B16), CIRCUIT!$C$1321,"NA")</f>
        <v>NA</v>
      </c>
      <c r="M16" s="32" t="str">
        <f>IF(AND(CIRCUIT!$A$1 = M$4,CIRCUIT!$B$1 =$B16), CIRCUIT!$C$1321,"NA")</f>
        <v>NA</v>
      </c>
      <c r="N16" s="32" t="str">
        <f>IF(AND(CIRCUIT!$A$1 = N$4,CIRCUIT!$B$1 =$B16), CIRCUIT!$C$1321,"NA")</f>
        <v>NA</v>
      </c>
      <c r="O16" s="32" t="str">
        <f>IF(AND(CIRCUIT!$A$1 = O$4,CIRCUIT!$B$1 =$B16), CIRCUIT!$C$1321,"NA")</f>
        <v>NA</v>
      </c>
    </row>
    <row r="17" spans="2:15" x14ac:dyDescent="0.25">
      <c r="B17" s="29" t="s">
        <v>8</v>
      </c>
      <c r="C17" s="32" t="str">
        <f>IF(AND(CIRCUIT!$A$1 = C$4,CIRCUIT!$B$1 =$B17), CIRCUIT!$C$1321,"NA")</f>
        <v>NA</v>
      </c>
      <c r="D17" s="32" t="str">
        <f>IF(AND(CIRCUIT!$A$1 = D$4,CIRCUIT!$B$1 =$B17), CIRCUIT!$C$1321,"NA")</f>
        <v>NA</v>
      </c>
      <c r="E17" s="32" t="str">
        <f>IF(AND(CIRCUIT!$A$1 = E$4,CIRCUIT!$B$1 =$B17), CIRCUIT!$C$1321,"NA")</f>
        <v>NA</v>
      </c>
      <c r="F17" s="32" t="str">
        <f>IF(AND(CIRCUIT!$A$1 = F$4,CIRCUIT!$B$1 =$B17), CIRCUIT!$C$1321,"NA")</f>
        <v>NA</v>
      </c>
      <c r="G17" s="32" t="str">
        <f>IF(AND(CIRCUIT!$A$1 = G$4,CIRCUIT!$B$1 =$B17), CIRCUIT!$C$1321,"NA")</f>
        <v>NA</v>
      </c>
      <c r="H17" s="32" t="str">
        <f>IF(AND(CIRCUIT!$A$1 = H$4,CIRCUIT!$B$1 =$B17), CIRCUIT!$C$1321,"NA")</f>
        <v>NA</v>
      </c>
      <c r="I17" s="32" t="str">
        <f>IF(AND(CIRCUIT!$A$1 = I$4,CIRCUIT!$B$1 =$B17), CIRCUIT!$C$1321,"NA")</f>
        <v>NA</v>
      </c>
      <c r="J17" s="32" t="str">
        <f>IF(AND(CIRCUIT!$A$1 = J$4,CIRCUIT!$B$1 =$B17), CIRCUIT!$C$1321,"NA")</f>
        <v>NA</v>
      </c>
      <c r="K17" s="32" t="str">
        <f>IF(AND(CIRCUIT!$A$1 = K$4,CIRCUIT!$B$1 =$B17), CIRCUIT!$C$1321,"NA")</f>
        <v>NA</v>
      </c>
      <c r="L17" s="32" t="str">
        <f>IF(AND(CIRCUIT!$A$1 = L$4,CIRCUIT!$B$1 =$B17), CIRCUIT!$C$1321,"NA")</f>
        <v>NA</v>
      </c>
      <c r="M17" s="32" t="str">
        <f>IF(AND(CIRCUIT!$A$1 = M$4,CIRCUIT!$B$1 =$B17), CIRCUIT!$C$1321,"NA")</f>
        <v>NA</v>
      </c>
      <c r="N17" s="32" t="str">
        <f>IF(AND(CIRCUIT!$A$1 = N$4,CIRCUIT!$B$1 =$B17), CIRCUIT!$C$1321,"NA")</f>
        <v>NA</v>
      </c>
      <c r="O17" s="33">
        <f>IF(AND(CIRCUIT!$A$1 = O$4,CIRCUIT!$B$1 =$B17), CIRCUIT!$C$1321,"NA")</f>
        <v>259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CIRCUIT</vt:lpstr>
      <vt:lpstr>CIRCUIT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 Ouahid</dc:creator>
  <cp:lastModifiedBy>Jean-Eric Pelouas</cp:lastModifiedBy>
  <dcterms:created xsi:type="dcterms:W3CDTF">2014-02-12T20:05:13Z</dcterms:created>
  <dcterms:modified xsi:type="dcterms:W3CDTF">2014-02-17T10:23:44Z</dcterms:modified>
</cp:coreProperties>
</file>