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0" yWindow="-420" windowWidth="19440" windowHeight="11760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Feuil1!$A$1:$F$156</definedName>
    <definedName name="_xlnm._FilterDatabase" localSheetId="2" hidden="1">Feuil3!$A$3:$R$40</definedName>
  </definedNames>
  <calcPr calcId="145621"/>
</workbook>
</file>

<file path=xl/calcChain.xml><?xml version="1.0" encoding="utf-8"?>
<calcChain xmlns="http://schemas.openxmlformats.org/spreadsheetml/2006/main">
  <c r="F43" i="3" l="1" a="1"/>
  <c r="F43" i="3" s="1"/>
  <c r="L46" i="3" l="1"/>
  <c r="L45" i="3"/>
  <c r="K46" i="3"/>
  <c r="K45" i="3"/>
  <c r="J46" i="3"/>
  <c r="J45" i="3"/>
  <c r="I46" i="3"/>
  <c r="I45" i="3"/>
  <c r="H46" i="3"/>
  <c r="H45" i="3"/>
  <c r="F45" i="3" a="1"/>
  <c r="F45" i="3" s="1"/>
  <c r="F46" i="3" l="1"/>
  <c r="R20" i="3" l="1"/>
  <c r="Q20" i="3"/>
  <c r="P20" i="3"/>
  <c r="O20" i="3"/>
  <c r="N20" i="3"/>
  <c r="L20" i="3"/>
  <c r="K20" i="3"/>
  <c r="J20" i="3"/>
  <c r="I20" i="3"/>
  <c r="H20" i="3"/>
  <c r="G20" i="3"/>
  <c r="R26" i="3"/>
  <c r="Q26" i="3"/>
  <c r="P26" i="3"/>
  <c r="O26" i="3"/>
  <c r="N26" i="3"/>
  <c r="M26" i="3"/>
  <c r="L26" i="3"/>
  <c r="K26" i="3"/>
  <c r="J26" i="3"/>
  <c r="I26" i="3"/>
  <c r="H26" i="3"/>
  <c r="G26" i="3"/>
  <c r="R22" i="3"/>
  <c r="Q22" i="3"/>
  <c r="P22" i="3"/>
  <c r="O22" i="3"/>
  <c r="N22" i="3"/>
  <c r="M22" i="3"/>
  <c r="L22" i="3"/>
  <c r="K22" i="3"/>
  <c r="J22" i="3"/>
  <c r="I22" i="3"/>
  <c r="H22" i="3"/>
  <c r="G22" i="3"/>
  <c r="M20" i="3"/>
  <c r="R12" i="3"/>
  <c r="Q12" i="3"/>
  <c r="P12" i="3"/>
  <c r="O12" i="3"/>
  <c r="N12" i="3"/>
  <c r="M12" i="3"/>
  <c r="L12" i="3"/>
  <c r="K12" i="3"/>
  <c r="J12" i="3"/>
  <c r="I12" i="3"/>
  <c r="H12" i="3"/>
  <c r="G12" i="3"/>
  <c r="R14" i="3" l="1"/>
  <c r="Q14" i="3"/>
  <c r="P14" i="3"/>
  <c r="O14" i="3"/>
  <c r="N14" i="3"/>
  <c r="L14" i="3"/>
  <c r="K14" i="3"/>
  <c r="J14" i="3"/>
  <c r="I14" i="3"/>
  <c r="H14" i="3"/>
  <c r="G14" i="3"/>
  <c r="M14" i="3"/>
  <c r="M19" i="3"/>
  <c r="R31" i="3"/>
  <c r="Q31" i="3"/>
  <c r="P31" i="3"/>
  <c r="O31" i="3"/>
  <c r="N31" i="3"/>
  <c r="L31" i="3"/>
  <c r="K31" i="3"/>
  <c r="J31" i="3"/>
  <c r="I31" i="3"/>
  <c r="H31" i="3"/>
  <c r="G31" i="3"/>
  <c r="R32" i="3"/>
  <c r="Q32" i="3"/>
  <c r="P32" i="3"/>
  <c r="O32" i="3"/>
  <c r="N32" i="3"/>
  <c r="L32" i="3"/>
  <c r="K32" i="3"/>
  <c r="J32" i="3"/>
  <c r="I32" i="3"/>
  <c r="H32" i="3"/>
  <c r="G32" i="3"/>
  <c r="R30" i="3"/>
  <c r="Q30" i="3"/>
  <c r="P30" i="3"/>
  <c r="O30" i="3"/>
  <c r="N30" i="3"/>
  <c r="L30" i="3"/>
  <c r="K30" i="3"/>
  <c r="J30" i="3"/>
  <c r="I30" i="3"/>
  <c r="H30" i="3"/>
  <c r="G30" i="3"/>
  <c r="R29" i="3"/>
  <c r="Q29" i="3"/>
  <c r="P29" i="3"/>
  <c r="O29" i="3"/>
  <c r="N29" i="3"/>
  <c r="L29" i="3"/>
  <c r="K29" i="3"/>
  <c r="J29" i="3"/>
  <c r="I29" i="3"/>
  <c r="H29" i="3"/>
  <c r="G29" i="3"/>
  <c r="R28" i="3"/>
  <c r="Q28" i="3"/>
  <c r="P28" i="3"/>
  <c r="O28" i="3"/>
  <c r="N28" i="3"/>
  <c r="L28" i="3"/>
  <c r="K28" i="3"/>
  <c r="J28" i="3"/>
  <c r="I28" i="3"/>
  <c r="H28" i="3"/>
  <c r="G28" i="3"/>
  <c r="R27" i="3"/>
  <c r="Q27" i="3"/>
  <c r="P27" i="3"/>
  <c r="O27" i="3"/>
  <c r="N27" i="3"/>
  <c r="L27" i="3"/>
  <c r="K27" i="3"/>
  <c r="J27" i="3"/>
  <c r="I27" i="3"/>
  <c r="H27" i="3"/>
  <c r="G27" i="3"/>
  <c r="R25" i="3"/>
  <c r="Q25" i="3"/>
  <c r="P25" i="3"/>
  <c r="O25" i="3"/>
  <c r="N25" i="3"/>
  <c r="L25" i="3"/>
  <c r="K25" i="3"/>
  <c r="J25" i="3"/>
  <c r="I25" i="3"/>
  <c r="H25" i="3"/>
  <c r="G25" i="3"/>
  <c r="R24" i="3"/>
  <c r="Q24" i="3"/>
  <c r="P24" i="3"/>
  <c r="O24" i="3"/>
  <c r="N24" i="3"/>
  <c r="L24" i="3"/>
  <c r="K24" i="3"/>
  <c r="J24" i="3"/>
  <c r="I24" i="3"/>
  <c r="H24" i="3"/>
  <c r="G24" i="3"/>
  <c r="R23" i="3"/>
  <c r="Q23" i="3"/>
  <c r="P23" i="3"/>
  <c r="O23" i="3"/>
  <c r="N23" i="3"/>
  <c r="L23" i="3"/>
  <c r="K23" i="3"/>
  <c r="J23" i="3"/>
  <c r="I23" i="3"/>
  <c r="H23" i="3"/>
  <c r="G23" i="3"/>
  <c r="R21" i="3"/>
  <c r="Q21" i="3"/>
  <c r="P21" i="3"/>
  <c r="O21" i="3"/>
  <c r="N21" i="3"/>
  <c r="L21" i="3"/>
  <c r="K21" i="3"/>
  <c r="J21" i="3"/>
  <c r="I21" i="3"/>
  <c r="H21" i="3"/>
  <c r="G21" i="3"/>
  <c r="R19" i="3"/>
  <c r="Q19" i="3"/>
  <c r="P19" i="3"/>
  <c r="O19" i="3"/>
  <c r="N19" i="3"/>
  <c r="L19" i="3"/>
  <c r="K19" i="3"/>
  <c r="J19" i="3"/>
  <c r="I19" i="3"/>
  <c r="H19" i="3"/>
  <c r="G19" i="3"/>
  <c r="R18" i="3"/>
  <c r="Q18" i="3"/>
  <c r="P18" i="3"/>
  <c r="O18" i="3"/>
  <c r="N18" i="3"/>
  <c r="L18" i="3"/>
  <c r="K18" i="3"/>
  <c r="J18" i="3"/>
  <c r="I18" i="3"/>
  <c r="H18" i="3"/>
  <c r="G18" i="3"/>
  <c r="R17" i="3"/>
  <c r="Q17" i="3"/>
  <c r="P17" i="3"/>
  <c r="O17" i="3"/>
  <c r="N17" i="3"/>
  <c r="L17" i="3"/>
  <c r="K17" i="3"/>
  <c r="J17" i="3"/>
  <c r="I17" i="3"/>
  <c r="H17" i="3"/>
  <c r="G17" i="3"/>
  <c r="R16" i="3"/>
  <c r="Q16" i="3"/>
  <c r="P16" i="3"/>
  <c r="O16" i="3"/>
  <c r="N16" i="3"/>
  <c r="L16" i="3"/>
  <c r="K16" i="3"/>
  <c r="J16" i="3"/>
  <c r="I16" i="3"/>
  <c r="H16" i="3"/>
  <c r="G16" i="3"/>
  <c r="R15" i="3"/>
  <c r="Q15" i="3"/>
  <c r="P15" i="3"/>
  <c r="O15" i="3"/>
  <c r="N15" i="3"/>
  <c r="L15" i="3"/>
  <c r="K15" i="3"/>
  <c r="J15" i="3"/>
  <c r="I15" i="3"/>
  <c r="H15" i="3"/>
  <c r="G15" i="3"/>
  <c r="G13" i="3"/>
  <c r="R13" i="3"/>
  <c r="Q13" i="3"/>
  <c r="P13" i="3"/>
  <c r="O13" i="3"/>
  <c r="N13" i="3"/>
  <c r="L13" i="3"/>
  <c r="K13" i="3"/>
  <c r="J13" i="3"/>
  <c r="I13" i="3"/>
  <c r="H13" i="3"/>
  <c r="R4" i="3"/>
  <c r="Q4" i="3"/>
  <c r="P4" i="3"/>
  <c r="O4" i="3"/>
  <c r="N4" i="3"/>
  <c r="M4" i="3"/>
  <c r="L4" i="3"/>
  <c r="K4" i="3"/>
  <c r="J4" i="3"/>
  <c r="I4" i="3"/>
  <c r="H4" i="3"/>
  <c r="G4" i="3"/>
  <c r="R11" i="3"/>
  <c r="Q11" i="3"/>
  <c r="P11" i="3"/>
  <c r="O11" i="3"/>
  <c r="N11" i="3"/>
  <c r="L11" i="3"/>
  <c r="K11" i="3"/>
  <c r="J11" i="3"/>
  <c r="I11" i="3"/>
  <c r="H11" i="3"/>
  <c r="G11" i="3"/>
  <c r="R10" i="3"/>
  <c r="Q10" i="3"/>
  <c r="P10" i="3"/>
  <c r="O10" i="3"/>
  <c r="N10" i="3"/>
  <c r="L10" i="3"/>
  <c r="K10" i="3"/>
  <c r="J10" i="3"/>
  <c r="I10" i="3"/>
  <c r="H10" i="3"/>
  <c r="G10" i="3"/>
  <c r="R9" i="3"/>
  <c r="Q9" i="3"/>
  <c r="P9" i="3"/>
  <c r="O9" i="3"/>
  <c r="N9" i="3"/>
  <c r="L9" i="3"/>
  <c r="K9" i="3"/>
  <c r="J9" i="3"/>
  <c r="I9" i="3"/>
  <c r="H9" i="3"/>
  <c r="G9" i="3"/>
  <c r="M9" i="3"/>
  <c r="R8" i="3"/>
  <c r="Q8" i="3"/>
  <c r="P8" i="3"/>
  <c r="O8" i="3"/>
  <c r="N8" i="3"/>
  <c r="L8" i="3"/>
  <c r="K8" i="3"/>
  <c r="J8" i="3"/>
  <c r="I8" i="3"/>
  <c r="H8" i="3"/>
  <c r="G8" i="3"/>
  <c r="R7" i="3"/>
  <c r="Q7" i="3"/>
  <c r="P7" i="3"/>
  <c r="O7" i="3"/>
  <c r="N7" i="3"/>
  <c r="L7" i="3"/>
  <c r="K7" i="3"/>
  <c r="J7" i="3"/>
  <c r="I7" i="3"/>
  <c r="H7" i="3"/>
  <c r="G7" i="3"/>
  <c r="R6" i="3"/>
  <c r="Q6" i="3"/>
  <c r="P6" i="3"/>
  <c r="O6" i="3"/>
  <c r="N6" i="3"/>
  <c r="L6" i="3"/>
  <c r="K6" i="3"/>
  <c r="J6" i="3"/>
  <c r="I6" i="3"/>
  <c r="H6" i="3"/>
  <c r="G6" i="3"/>
  <c r="R5" i="3"/>
  <c r="Q5" i="3"/>
  <c r="P5" i="3"/>
  <c r="O5" i="3"/>
  <c r="N5" i="3"/>
  <c r="L5" i="3"/>
  <c r="K5" i="3"/>
  <c r="G5" i="3"/>
  <c r="H5" i="3"/>
  <c r="I5" i="3"/>
  <c r="J5" i="3"/>
  <c r="M5" i="3"/>
  <c r="M32" i="3"/>
  <c r="M31" i="3"/>
  <c r="M30" i="3"/>
  <c r="M29" i="3"/>
  <c r="M28" i="3"/>
  <c r="M27" i="3"/>
  <c r="M25" i="3"/>
  <c r="M24" i="3"/>
  <c r="M23" i="3"/>
  <c r="M21" i="3"/>
  <c r="M18" i="3"/>
  <c r="M17" i="3"/>
  <c r="M16" i="3"/>
  <c r="M15" i="3"/>
  <c r="M13" i="3"/>
  <c r="M11" i="3"/>
  <c r="M10" i="3"/>
  <c r="M8" i="3"/>
  <c r="M7" i="3"/>
  <c r="G46" i="3" l="1"/>
  <c r="G45" i="3"/>
  <c r="M6" i="3"/>
</calcChain>
</file>

<file path=xl/sharedStrings.xml><?xml version="1.0" encoding="utf-8"?>
<sst xmlns="http://schemas.openxmlformats.org/spreadsheetml/2006/main" count="1115" uniqueCount="184">
  <si>
    <t xml:space="preserve">n° fiche </t>
  </si>
  <si>
    <t xml:space="preserve">Le quartier </t>
  </si>
  <si>
    <t xml:space="preserve">Résidence / Lieu </t>
  </si>
  <si>
    <t>Gravité</t>
  </si>
  <si>
    <t>Thématique</t>
  </si>
  <si>
    <t>Résolution</t>
  </si>
  <si>
    <t>Bois du Quesnoy</t>
  </si>
  <si>
    <t>Gestion locative/sociale</t>
  </si>
  <si>
    <t>élevée</t>
  </si>
  <si>
    <t>oui</t>
  </si>
  <si>
    <t>Rive-Gauche</t>
  </si>
  <si>
    <t>Parfait achèvement et SAV des constructions et réhabilitations</t>
  </si>
  <si>
    <t>Intranquilité publique/Incivilités/Dégradations/Insécurité</t>
  </si>
  <si>
    <t>Quartier du Fort</t>
  </si>
  <si>
    <t>non</t>
  </si>
  <si>
    <t>Rue des Narcisses</t>
  </si>
  <si>
    <t>Stationnement et voiture</t>
  </si>
  <si>
    <t>Avenue Leclerc</t>
  </si>
  <si>
    <t>Place du Nouveau Monde</t>
  </si>
  <si>
    <t>Tri sélectif et déchets</t>
  </si>
  <si>
    <t>40Bis</t>
  </si>
  <si>
    <t>Entretien espaces verts/luminaires/voiries/résidences</t>
  </si>
  <si>
    <t>Rive -Gauche</t>
  </si>
  <si>
    <t>Maison de Quartier Guy de Maupassant</t>
  </si>
  <si>
    <t>OUI</t>
  </si>
  <si>
    <t>Rue de Beaufort salle des sports</t>
  </si>
  <si>
    <t>faible</t>
  </si>
  <si>
    <t>Les exotiques</t>
  </si>
  <si>
    <t>Rue de Boussière</t>
  </si>
  <si>
    <t>99 bis</t>
  </si>
  <si>
    <t>Maison de Quartier du Bois du Quesnoy</t>
  </si>
  <si>
    <t>Maison de Quartier Les Hortensias</t>
  </si>
  <si>
    <t>Gestion locative/ sociale</t>
  </si>
  <si>
    <t>Les Exotiques</t>
  </si>
  <si>
    <t>Rive- Gauche</t>
  </si>
  <si>
    <t>La Chesnaie</t>
  </si>
  <si>
    <t>centre-ville</t>
  </si>
  <si>
    <t>Ville</t>
  </si>
  <si>
    <t>Entretien espaces vert/luminaires/voiries/résidences</t>
  </si>
  <si>
    <t>Entretien espaces verts/luminaires/voiries/résidences
Gestion locative/social</t>
  </si>
  <si>
    <t>dates</t>
  </si>
  <si>
    <t>Rue Caroly Mary</t>
  </si>
  <si>
    <t xml:space="preserve">Rive-Gauche </t>
  </si>
  <si>
    <t>square Suzanne Noël</t>
  </si>
  <si>
    <t xml:space="preserve">Maison de quartier Guy de Maupassant </t>
  </si>
  <si>
    <t>Rés. Côtes de Sambre</t>
  </si>
  <si>
    <t>Rés. Chocolatterie</t>
  </si>
  <si>
    <t>Rés. Alexandre Dumas</t>
  </si>
  <si>
    <t>Rés. Fichaux</t>
  </si>
  <si>
    <t>E38 logement gardien</t>
  </si>
  <si>
    <t xml:space="preserve">Quartier du Fort </t>
  </si>
  <si>
    <t>Maison de quartier Les Hortensias</t>
  </si>
  <si>
    <t>Avenue de Kalisz</t>
  </si>
  <si>
    <t>Rés. Moulin à vent</t>
  </si>
  <si>
    <t xml:space="preserve">Bois du Quesnoy </t>
  </si>
  <si>
    <t>Rés. Entre deux bois</t>
  </si>
  <si>
    <t>Avenue Leclerc - ancienne boulangerie</t>
  </si>
  <si>
    <t>pôle services publics</t>
  </si>
  <si>
    <t>numéro</t>
  </si>
  <si>
    <t>Boulevard de l'Ecluse</t>
  </si>
  <si>
    <t>Maison de quartier Guy de Maupassant</t>
  </si>
  <si>
    <t>RESIDENCES ET INFORMATIONS</t>
  </si>
  <si>
    <t>PROBLEMES SIGNALES EN F.A.P. par thèmes</t>
  </si>
  <si>
    <t>PNRU</t>
  </si>
  <si>
    <t>MAISON DE QUARTIER</t>
  </si>
  <si>
    <t>NOM DE LA RESIDENCE</t>
  </si>
  <si>
    <t>CODE OPERATION</t>
  </si>
  <si>
    <t>NBRE LOGTS</t>
  </si>
  <si>
    <t>Tri sélectif 
et déchets</t>
  </si>
  <si>
    <t>Stationnement 
et voitures</t>
  </si>
  <si>
    <t>Entretien espaces verts/
luminaires/voiries/résidences</t>
  </si>
  <si>
    <t>Parfait achèvement et SAV 
des constructions et réhabilitations</t>
  </si>
  <si>
    <t>Gestion locative/
humaine/sociale</t>
  </si>
  <si>
    <t>BAILLEUR</t>
  </si>
  <si>
    <t>Gravité faible</t>
  </si>
  <si>
    <t>Gravité élevée</t>
  </si>
  <si>
    <t>PROMOCIL</t>
  </si>
  <si>
    <t>Guy de Maupassant</t>
  </si>
  <si>
    <t>Gambetta</t>
  </si>
  <si>
    <t>C3</t>
  </si>
  <si>
    <t>Foch</t>
  </si>
  <si>
    <t>C1ic</t>
  </si>
  <si>
    <t>HABITAT DU NORD</t>
  </si>
  <si>
    <t>Hortensias</t>
  </si>
  <si>
    <t>C30</t>
  </si>
  <si>
    <t>Huguette
et Michel Fichaux</t>
  </si>
  <si>
    <t>C8C9N</t>
  </si>
  <si>
    <t>Petit Bois</t>
  </si>
  <si>
    <t>C31</t>
  </si>
  <si>
    <t>PARTENORD</t>
  </si>
  <si>
    <t>Port</t>
  </si>
  <si>
    <t>Rue de Boussières</t>
  </si>
  <si>
    <t>C6a</t>
  </si>
  <si>
    <t>Maurice Rose</t>
  </si>
  <si>
    <t>C28a</t>
  </si>
  <si>
    <t>Prosper</t>
  </si>
  <si>
    <t>C28b</t>
  </si>
  <si>
    <t>C6b</t>
  </si>
  <si>
    <t>C13</t>
  </si>
  <si>
    <t>C11</t>
  </si>
  <si>
    <t>Nations</t>
  </si>
  <si>
    <t>C5a</t>
  </si>
  <si>
    <t>Rue Denise</t>
  </si>
  <si>
    <t>C17</t>
  </si>
  <si>
    <t>C25Na</t>
  </si>
  <si>
    <t>C10</t>
  </si>
  <si>
    <t>les terrasses</t>
  </si>
  <si>
    <t>C4</t>
  </si>
  <si>
    <t>C16</t>
  </si>
  <si>
    <t>Sainte Anne</t>
  </si>
  <si>
    <t>C29</t>
  </si>
  <si>
    <t>REHA19</t>
  </si>
  <si>
    <t>les exotiques</t>
  </si>
  <si>
    <t>REHA18</t>
  </si>
  <si>
    <t>Bois du quesnoy</t>
  </si>
  <si>
    <t>REHA27</t>
  </si>
  <si>
    <t xml:space="preserve">Charcot </t>
  </si>
  <si>
    <t>REHA31</t>
  </si>
  <si>
    <t>C25Nb</t>
  </si>
  <si>
    <t>VILLE</t>
  </si>
  <si>
    <t>E19</t>
  </si>
  <si>
    <t>maison de quartier du Port</t>
  </si>
  <si>
    <t>E3</t>
  </si>
  <si>
    <t>maison de quartier Guy de Maupassant</t>
  </si>
  <si>
    <t>E17</t>
  </si>
  <si>
    <t>école Jules Ferry</t>
  </si>
  <si>
    <t>E8C</t>
  </si>
  <si>
    <t>Square Suzanne Noël</t>
  </si>
  <si>
    <t>C24N</t>
  </si>
  <si>
    <t>C24Nc Muguet</t>
  </si>
  <si>
    <t>C21 (Fort)</t>
  </si>
  <si>
    <t>C22</t>
  </si>
  <si>
    <t>C23</t>
  </si>
  <si>
    <t>St Anne</t>
  </si>
  <si>
    <t>C36</t>
  </si>
  <si>
    <t>Ancien Boussière</t>
  </si>
  <si>
    <t>C15</t>
  </si>
  <si>
    <t>SOCIAL HORS PNRU</t>
  </si>
  <si>
    <t>Côtes de Sambre</t>
  </si>
  <si>
    <t>LA CHESNAIE</t>
  </si>
  <si>
    <t>PRIVE</t>
  </si>
  <si>
    <t>rue des narcisses</t>
  </si>
  <si>
    <t>Huguette et Michel Fichaux</t>
  </si>
  <si>
    <t>Moulin à Vent</t>
  </si>
  <si>
    <t>Honegger</t>
  </si>
  <si>
    <t xml:space="preserve">Maurice Rose </t>
  </si>
  <si>
    <t>Petit bois</t>
  </si>
  <si>
    <t>Rue des Lilas</t>
  </si>
  <si>
    <t>Rue du Vélodrome</t>
  </si>
  <si>
    <t>Rue Henri Barbusse</t>
  </si>
  <si>
    <t>Pôle services publics</t>
  </si>
  <si>
    <t>Nouveau monde</t>
  </si>
  <si>
    <t>Maison de Quartier du Port</t>
  </si>
  <si>
    <t>Nouveau Monde</t>
  </si>
  <si>
    <t>Moulin à vent</t>
  </si>
  <si>
    <t xml:space="preserve">Parc </t>
  </si>
  <si>
    <t>pôle de services publics</t>
  </si>
  <si>
    <t>Tri sélectif et déchets
Entretien espaces verts/luminaires/voiries/résidences</t>
  </si>
  <si>
    <t>Tri sélectif et déchets
parfait achèvement et SAV des constructions et réhabilitations</t>
  </si>
  <si>
    <t>Entretien espaces verts/luminaires/voiries/résidences
Tri sélectif et déchets</t>
  </si>
  <si>
    <t>Stationnement et voitures</t>
  </si>
  <si>
    <t>Intranquilité publique/ Incivilités/ Dégradations/Insécurité</t>
  </si>
  <si>
    <t>Gestion locative/humaine/sociale</t>
  </si>
  <si>
    <t>Gestion locative/humaine/sociale
Entretien espaces verts/luminaires /voiries/résidences</t>
  </si>
  <si>
    <t>Stationnement et voitures
Gestion locative/humaine/sociale
Entretien espaces verts/luminaires/voiries/résidences</t>
  </si>
  <si>
    <t>Les Terrasses</t>
  </si>
  <si>
    <t>Ecole Jules Ferry</t>
  </si>
  <si>
    <t>Alexandre Dumas</t>
  </si>
  <si>
    <t>Place du Nouveau Monde et rue Odette</t>
  </si>
  <si>
    <t>Chocolatterie</t>
  </si>
  <si>
    <t>Provinces de France</t>
  </si>
  <si>
    <t>Parc</t>
  </si>
  <si>
    <t>Entre deux bois</t>
  </si>
  <si>
    <t xml:space="preserve">Pierre Huftier </t>
  </si>
  <si>
    <t>Rue des ormes et rue du Dr Schweitzer</t>
  </si>
  <si>
    <t>Place du Nouveau Monde et Rue Odette</t>
  </si>
  <si>
    <t>QUARTIER</t>
  </si>
  <si>
    <t xml:space="preserve">Centre-ville </t>
  </si>
  <si>
    <t>(1)</t>
  </si>
  <si>
    <t>(2)</t>
  </si>
  <si>
    <t>(3)</t>
  </si>
  <si>
    <t>(4)</t>
  </si>
  <si>
    <t>(5)</t>
  </si>
  <si>
    <t>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</si>
</sst>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5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8" fillId="16" borderId="0" applyNumberFormat="0" applyBorder="0" applyAlignment="0" applyProtection="0"/>
    <xf numFmtId="0" fontId="9" fillId="17" borderId="0" applyNumberFormat="0" applyBorder="0" applyAlignment="0" applyProtection="0"/>
    <xf numFmtId="0" fontId="2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0" xfId="0" applyFont="1"/>
    <xf numFmtId="14" fontId="0" fillId="0" borderId="0" xfId="0" applyNumberFormat="1"/>
    <xf numFmtId="0" fontId="0" fillId="0" borderId="3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6" fillId="8" borderId="1" xfId="0" applyFont="1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14" borderId="1" xfId="0" applyFill="1" applyBorder="1"/>
    <xf numFmtId="0" fontId="5" fillId="2" borderId="1" xfId="0" applyFont="1" applyFill="1" applyBorder="1" applyAlignment="1">
      <alignment vertical="center"/>
    </xf>
    <xf numFmtId="0" fontId="0" fillId="2" borderId="1" xfId="0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3" xfId="0" applyFill="1" applyBorder="1"/>
    <xf numFmtId="0" fontId="5" fillId="15" borderId="0" xfId="0" applyFont="1" applyFill="1" applyBorder="1" applyAlignment="1">
      <alignment vertical="center"/>
    </xf>
    <xf numFmtId="0" fontId="0" fillId="15" borderId="0" xfId="0" applyFill="1" applyBorder="1"/>
    <xf numFmtId="0" fontId="5" fillId="15" borderId="0" xfId="0" applyFont="1" applyFill="1" applyBorder="1" applyAlignment="1">
      <alignment horizontal="center" vertical="center"/>
    </xf>
    <xf numFmtId="0" fontId="0" fillId="0" borderId="0" xfId="0" applyFont="1"/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6" fillId="2" borderId="1" xfId="3" applyFont="1" applyFill="1" applyBorder="1" applyAlignment="1">
      <alignment vertical="center"/>
    </xf>
    <xf numFmtId="0" fontId="6" fillId="2" borderId="1" xfId="3" applyFont="1" applyFill="1" applyBorder="1"/>
    <xf numFmtId="0" fontId="6" fillId="2" borderId="1" xfId="3" applyFont="1" applyFill="1" applyBorder="1" applyAlignment="1">
      <alignment vertical="center" wrapText="1"/>
    </xf>
    <xf numFmtId="0" fontId="6" fillId="2" borderId="1" xfId="3" applyFont="1" applyFill="1" applyBorder="1" applyAlignment="1">
      <alignment horizontal="center" vertical="center"/>
    </xf>
    <xf numFmtId="0" fontId="6" fillId="2" borderId="0" xfId="3" applyFont="1" applyFill="1"/>
    <xf numFmtId="0" fontId="6" fillId="2" borderId="1" xfId="1" applyFont="1" applyFill="1" applyBorder="1" applyAlignment="1">
      <alignment vertical="center"/>
    </xf>
    <xf numFmtId="0" fontId="6" fillId="2" borderId="1" xfId="1" applyFont="1" applyFill="1" applyBorder="1"/>
    <xf numFmtId="0" fontId="6" fillId="2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0" xfId="1" applyFont="1" applyFill="1"/>
    <xf numFmtId="0" fontId="6" fillId="2" borderId="1" xfId="2" applyFont="1" applyFill="1" applyBorder="1" applyAlignment="1">
      <alignment horizontal="right"/>
    </xf>
    <xf numFmtId="0" fontId="6" fillId="2" borderId="1" xfId="2" applyFont="1" applyFill="1" applyBorder="1"/>
    <xf numFmtId="0" fontId="6" fillId="2" borderId="1" xfId="2" applyFont="1" applyFill="1" applyBorder="1" applyAlignment="1">
      <alignment wrapText="1"/>
    </xf>
    <xf numFmtId="0" fontId="6" fillId="2" borderId="0" xfId="2" applyFont="1" applyFill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quotePrefix="1"/>
  </cellXfs>
  <cellStyles count="4">
    <cellStyle name="Avertissement" xfId="3" builtinId="11"/>
    <cellStyle name="Insatisfaisant" xfId="1" builtinId="27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Feuil3!$F$43</c:f>
          <c:strCache>
            <c:ptCount val="1"/>
            <c:pt idx="0">
              <c:v>Hortensias</c:v>
            </c:pt>
          </c:strCache>
        </c:strRef>
      </c:tx>
      <c:layout/>
      <c:overlay val="0"/>
      <c:txPr>
        <a:bodyPr/>
        <a:lstStyle/>
        <a:p>
          <a:pPr>
            <a:defRPr sz="1600"/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Feuil3!$F$45</c:f>
              <c:strCache>
                <c:ptCount val="1"/>
                <c:pt idx="0">
                  <c:v>Gravité faible</c:v>
                </c:pt>
              </c:strCache>
            </c:strRef>
          </c:tx>
          <c:invertIfNegative val="0"/>
          <c:cat>
            <c:strRef>
              <c:f>Feuil3!$G$44:$L$44</c:f>
              <c:strCache>
                <c:ptCount val="6"/>
                <c:pt idx="0">
                  <c:v>(1)</c:v>
                </c:pt>
                <c:pt idx="1">
                  <c:v>(2)</c:v>
                </c:pt>
                <c:pt idx="2">
                  <c:v>(3)</c:v>
                </c:pt>
                <c:pt idx="3">
                  <c:v>(4)</c:v>
                </c:pt>
                <c:pt idx="4">
                  <c:v>(5)</c:v>
                </c:pt>
                <c:pt idx="5">
                  <c:v>(6)</c:v>
                </c:pt>
              </c:strCache>
            </c:strRef>
          </c:cat>
          <c:val>
            <c:numRef>
              <c:f>Feuil3!$G$45:$L$45</c:f>
              <c:numCache>
                <c:formatCode>General</c:formatCode>
                <c:ptCount val="6"/>
                <c:pt idx="0">
                  <c:v>1</c:v>
                </c:pt>
                <c:pt idx="1">
                  <c:v>5</c:v>
                </c:pt>
                <c:pt idx="2">
                  <c:v>4</c:v>
                </c:pt>
                <c:pt idx="3">
                  <c:v>5</c:v>
                </c:pt>
                <c:pt idx="4">
                  <c:v>7</c:v>
                </c:pt>
                <c:pt idx="5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Feuil3!$F$46</c:f>
              <c:strCache>
                <c:ptCount val="1"/>
                <c:pt idx="0">
                  <c:v>Gravité élevée</c:v>
                </c:pt>
              </c:strCache>
            </c:strRef>
          </c:tx>
          <c:invertIfNegative val="0"/>
          <c:cat>
            <c:strRef>
              <c:f>Feuil3!$G$44:$L$44</c:f>
              <c:strCache>
                <c:ptCount val="6"/>
                <c:pt idx="0">
                  <c:v>(1)</c:v>
                </c:pt>
                <c:pt idx="1">
                  <c:v>(2)</c:v>
                </c:pt>
                <c:pt idx="2">
                  <c:v>(3)</c:v>
                </c:pt>
                <c:pt idx="3">
                  <c:v>(4)</c:v>
                </c:pt>
                <c:pt idx="4">
                  <c:v>(5)</c:v>
                </c:pt>
                <c:pt idx="5">
                  <c:v>(6)</c:v>
                </c:pt>
              </c:strCache>
            </c:strRef>
          </c:cat>
          <c:val>
            <c:numRef>
              <c:f>Feuil3!$G$46:$L$46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3</c:v>
                </c:pt>
                <c:pt idx="5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5070976"/>
        <c:axId val="195089152"/>
      </c:barChart>
      <c:catAx>
        <c:axId val="195070976"/>
        <c:scaling>
          <c:orientation val="minMax"/>
        </c:scaling>
        <c:delete val="0"/>
        <c:axPos val="b"/>
        <c:majorTickMark val="out"/>
        <c:minorTickMark val="none"/>
        <c:tickLblPos val="nextTo"/>
        <c:crossAx val="195089152"/>
        <c:crosses val="autoZero"/>
        <c:auto val="1"/>
        <c:lblAlgn val="ctr"/>
        <c:lblOffset val="100"/>
        <c:noMultiLvlLbl val="0"/>
      </c:catAx>
      <c:valAx>
        <c:axId val="195089152"/>
        <c:scaling>
          <c:orientation val="minMax"/>
        </c:scaling>
        <c:delete val="0"/>
        <c:axPos val="l"/>
        <c:majorGridlines>
          <c:spPr>
            <a:ln w="6350">
              <a:prstDash val="sysDot"/>
            </a:ln>
          </c:spPr>
        </c:majorGridlines>
        <c:numFmt formatCode="General" sourceLinked="1"/>
        <c:majorTickMark val="out"/>
        <c:minorTickMark val="none"/>
        <c:tickLblPos val="nextTo"/>
        <c:spPr>
          <a:ln w="6350">
            <a:prstDash val="sysDot"/>
          </a:ln>
        </c:spPr>
        <c:crossAx val="1950709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11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212909</xdr:colOff>
      <xdr:row>49</xdr:row>
      <xdr:rowOff>186015</xdr:rowOff>
    </xdr:from>
    <xdr:to>
      <xdr:col>16</xdr:col>
      <xdr:colOff>515470</xdr:colOff>
      <xdr:row>70</xdr:row>
      <xdr:rowOff>44824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660588</xdr:colOff>
          <xdr:row>51</xdr:row>
          <xdr:rowOff>52668</xdr:rowOff>
        </xdr:from>
        <xdr:to>
          <xdr:col>10</xdr:col>
          <xdr:colOff>381561</xdr:colOff>
          <xdr:row>57</xdr:row>
          <xdr:rowOff>62193</xdr:rowOff>
        </xdr:to>
        <xdr:pic>
          <xdr:nvPicPr>
            <xdr:cNvPr id="3" name="Image 2"/>
            <xdr:cNvPicPr>
              <a:picLocks noChangeAspect="1" noChangeArrowheads="1"/>
              <a:extLst>
                <a:ext uri="{84589F7E-364E-4C9E-8A38-B11213B215E9}">
                  <a14:cameraTool cellRange="$T$52:$U$57" spid="_x0000_s102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8179735" y="4815168"/>
              <a:ext cx="4214532" cy="11525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6"/>
  <sheetViews>
    <sheetView topLeftCell="A22" workbookViewId="0">
      <selection activeCell="D22" sqref="D22"/>
    </sheetView>
  </sheetViews>
  <sheetFormatPr baseColWidth="10" defaultRowHeight="15" x14ac:dyDescent="0.25"/>
  <cols>
    <col min="1" max="1" width="7.7109375" style="44" customWidth="1"/>
    <col min="2" max="2" width="15.42578125" customWidth="1"/>
    <col min="3" max="3" width="44.85546875" customWidth="1"/>
    <col min="4" max="4" width="87.85546875" customWidth="1"/>
    <col min="5" max="5" width="8.140625" customWidth="1"/>
    <col min="6" max="6" width="10.42578125" customWidth="1"/>
  </cols>
  <sheetData>
    <row r="1" spans="1:6" x14ac:dyDescent="0.25">
      <c r="A1" s="42" t="s">
        <v>0</v>
      </c>
      <c r="B1" s="3" t="s">
        <v>1</v>
      </c>
      <c r="C1" s="3" t="s">
        <v>2</v>
      </c>
      <c r="D1" s="3" t="s">
        <v>4</v>
      </c>
      <c r="E1" s="3" t="s">
        <v>3</v>
      </c>
      <c r="F1" s="3" t="s">
        <v>5</v>
      </c>
    </row>
    <row r="2" spans="1:6" ht="30" hidden="1" x14ac:dyDescent="0.25">
      <c r="A2" s="43">
        <v>89</v>
      </c>
      <c r="B2" s="1" t="s">
        <v>22</v>
      </c>
      <c r="C2" s="1" t="s">
        <v>167</v>
      </c>
      <c r="D2" s="2" t="s">
        <v>157</v>
      </c>
      <c r="E2" s="1" t="s">
        <v>26</v>
      </c>
      <c r="F2" s="1" t="s">
        <v>14</v>
      </c>
    </row>
    <row r="3" spans="1:6" hidden="1" x14ac:dyDescent="0.25">
      <c r="A3" s="43">
        <v>150</v>
      </c>
      <c r="B3" s="1" t="s">
        <v>42</v>
      </c>
      <c r="C3" s="1" t="s">
        <v>167</v>
      </c>
      <c r="D3" s="2" t="s">
        <v>162</v>
      </c>
      <c r="E3" s="1" t="s">
        <v>8</v>
      </c>
      <c r="F3" s="1" t="s">
        <v>14</v>
      </c>
    </row>
    <row r="4" spans="1:6" hidden="1" x14ac:dyDescent="0.25">
      <c r="A4" s="43">
        <v>121</v>
      </c>
      <c r="B4" s="1" t="s">
        <v>22</v>
      </c>
      <c r="C4" s="1" t="s">
        <v>167</v>
      </c>
      <c r="D4" s="2" t="s">
        <v>32</v>
      </c>
      <c r="E4" s="1" t="s">
        <v>8</v>
      </c>
      <c r="F4" s="1" t="s">
        <v>14</v>
      </c>
    </row>
    <row r="5" spans="1:6" ht="30" hidden="1" x14ac:dyDescent="0.25">
      <c r="A5" s="43">
        <v>120</v>
      </c>
      <c r="B5" s="1" t="s">
        <v>22</v>
      </c>
      <c r="C5" s="1" t="s">
        <v>167</v>
      </c>
      <c r="D5" s="2" t="s">
        <v>163</v>
      </c>
      <c r="E5" s="1" t="s">
        <v>26</v>
      </c>
      <c r="F5" s="1" t="s">
        <v>14</v>
      </c>
    </row>
    <row r="6" spans="1:6" hidden="1" x14ac:dyDescent="0.25">
      <c r="A6" s="43">
        <v>152</v>
      </c>
      <c r="B6" s="1" t="s">
        <v>50</v>
      </c>
      <c r="C6" s="1" t="s">
        <v>52</v>
      </c>
      <c r="D6" s="2" t="s">
        <v>160</v>
      </c>
      <c r="E6" s="1" t="s">
        <v>26</v>
      </c>
      <c r="F6" s="1" t="s">
        <v>14</v>
      </c>
    </row>
    <row r="7" spans="1:6" ht="44.25" customHeight="1" x14ac:dyDescent="0.25">
      <c r="A7" s="43">
        <v>141</v>
      </c>
      <c r="B7" s="1" t="s">
        <v>6</v>
      </c>
      <c r="C7" s="1" t="s">
        <v>17</v>
      </c>
      <c r="D7" s="2" t="s">
        <v>21</v>
      </c>
      <c r="E7" s="1" t="s">
        <v>26</v>
      </c>
      <c r="F7" s="1" t="s">
        <v>14</v>
      </c>
    </row>
    <row r="8" spans="1:6" ht="45.75" customHeight="1" x14ac:dyDescent="0.25">
      <c r="A8" s="43">
        <v>30</v>
      </c>
      <c r="B8" s="1" t="s">
        <v>6</v>
      </c>
      <c r="C8" s="1" t="s">
        <v>17</v>
      </c>
      <c r="D8" s="2" t="s">
        <v>160</v>
      </c>
      <c r="E8" s="1" t="s">
        <v>26</v>
      </c>
      <c r="F8" s="1" t="s">
        <v>9</v>
      </c>
    </row>
    <row r="9" spans="1:6" ht="15" customHeight="1" x14ac:dyDescent="0.25">
      <c r="A9" s="43">
        <v>160</v>
      </c>
      <c r="B9" s="1" t="s">
        <v>54</v>
      </c>
      <c r="C9" s="1" t="s">
        <v>17</v>
      </c>
      <c r="D9" s="2" t="s">
        <v>160</v>
      </c>
      <c r="E9" s="1" t="s">
        <v>8</v>
      </c>
      <c r="F9" s="1" t="s">
        <v>14</v>
      </c>
    </row>
    <row r="10" spans="1:6" ht="16.5" customHeight="1" x14ac:dyDescent="0.25">
      <c r="A10" s="43">
        <v>157</v>
      </c>
      <c r="B10" s="1" t="s">
        <v>54</v>
      </c>
      <c r="C10" s="1" t="s">
        <v>56</v>
      </c>
      <c r="D10" s="2" t="s">
        <v>12</v>
      </c>
      <c r="E10" s="1" t="s">
        <v>8</v>
      </c>
      <c r="F10" s="1" t="s">
        <v>14</v>
      </c>
    </row>
    <row r="11" spans="1:6" ht="45" x14ac:dyDescent="0.25">
      <c r="A11" s="43">
        <v>7</v>
      </c>
      <c r="B11" s="1" t="s">
        <v>6</v>
      </c>
      <c r="C11" s="1" t="s">
        <v>6</v>
      </c>
      <c r="D11" s="2" t="s">
        <v>164</v>
      </c>
      <c r="E11" s="1" t="s">
        <v>26</v>
      </c>
      <c r="F11" s="1" t="s">
        <v>9</v>
      </c>
    </row>
    <row r="12" spans="1:6" x14ac:dyDescent="0.25">
      <c r="A12" s="43">
        <v>12</v>
      </c>
      <c r="B12" s="1" t="s">
        <v>6</v>
      </c>
      <c r="C12" s="1" t="s">
        <v>6</v>
      </c>
      <c r="D12" s="1" t="s">
        <v>162</v>
      </c>
      <c r="E12" s="1" t="s">
        <v>8</v>
      </c>
      <c r="F12" s="1" t="s">
        <v>9</v>
      </c>
    </row>
    <row r="13" spans="1:6" ht="15" hidden="1" customHeight="1" x14ac:dyDescent="0.25">
      <c r="A13" s="43">
        <v>62</v>
      </c>
      <c r="B13" s="1" t="s">
        <v>36</v>
      </c>
      <c r="C13" s="1" t="s">
        <v>59</v>
      </c>
      <c r="D13" s="2" t="s">
        <v>11</v>
      </c>
      <c r="E13" s="1" t="s">
        <v>26</v>
      </c>
      <c r="F13" s="1" t="s">
        <v>14</v>
      </c>
    </row>
    <row r="14" spans="1:6" hidden="1" x14ac:dyDescent="0.25">
      <c r="A14" s="43">
        <v>149</v>
      </c>
      <c r="B14" s="1" t="s">
        <v>36</v>
      </c>
      <c r="C14" s="1" t="s">
        <v>169</v>
      </c>
      <c r="D14" s="2" t="s">
        <v>160</v>
      </c>
      <c r="E14" s="1" t="s">
        <v>26</v>
      </c>
      <c r="F14" s="1" t="s">
        <v>9</v>
      </c>
    </row>
    <row r="15" spans="1:6" ht="15" hidden="1" customHeight="1" x14ac:dyDescent="0.25">
      <c r="A15" s="43">
        <v>158</v>
      </c>
      <c r="B15" s="1" t="s">
        <v>36</v>
      </c>
      <c r="C15" s="1" t="s">
        <v>138</v>
      </c>
      <c r="D15" s="2" t="s">
        <v>21</v>
      </c>
      <c r="E15" s="1" t="s">
        <v>26</v>
      </c>
      <c r="F15" s="1" t="s">
        <v>9</v>
      </c>
    </row>
    <row r="16" spans="1:6" hidden="1" x14ac:dyDescent="0.25">
      <c r="A16" s="43">
        <v>127</v>
      </c>
      <c r="B16" s="1" t="s">
        <v>36</v>
      </c>
      <c r="C16" s="1" t="s">
        <v>138</v>
      </c>
      <c r="D16" s="2" t="s">
        <v>12</v>
      </c>
      <c r="E16" s="1" t="s">
        <v>26</v>
      </c>
      <c r="F16" s="1" t="s">
        <v>14</v>
      </c>
    </row>
    <row r="17" spans="1:6" hidden="1" x14ac:dyDescent="0.25">
      <c r="A17" s="43">
        <v>147</v>
      </c>
      <c r="B17" s="1" t="s">
        <v>42</v>
      </c>
      <c r="C17" s="1" t="s">
        <v>49</v>
      </c>
      <c r="D17" s="2" t="s">
        <v>11</v>
      </c>
      <c r="E17" s="1" t="s">
        <v>8</v>
      </c>
      <c r="F17" s="1" t="s">
        <v>14</v>
      </c>
    </row>
    <row r="18" spans="1:6" hidden="1" x14ac:dyDescent="0.25">
      <c r="A18" s="43">
        <v>88</v>
      </c>
      <c r="B18" s="1" t="s">
        <v>22</v>
      </c>
      <c r="C18" s="1" t="s">
        <v>166</v>
      </c>
      <c r="D18" s="2" t="s">
        <v>21</v>
      </c>
      <c r="E18" s="1" t="s">
        <v>8</v>
      </c>
      <c r="F18" s="1" t="s">
        <v>14</v>
      </c>
    </row>
    <row r="19" spans="1:6" x14ac:dyDescent="0.25">
      <c r="A19" s="43">
        <v>159</v>
      </c>
      <c r="B19" s="1" t="s">
        <v>54</v>
      </c>
      <c r="C19" s="1" t="s">
        <v>172</v>
      </c>
      <c r="D19" s="2" t="s">
        <v>12</v>
      </c>
      <c r="E19" s="1" t="s">
        <v>8</v>
      </c>
      <c r="F19" s="1" t="s">
        <v>14</v>
      </c>
    </row>
    <row r="20" spans="1:6" hidden="1" x14ac:dyDescent="0.25">
      <c r="A20" s="43">
        <v>140</v>
      </c>
      <c r="B20" s="1" t="s">
        <v>10</v>
      </c>
      <c r="C20" s="1" t="s">
        <v>80</v>
      </c>
      <c r="D20" s="2" t="s">
        <v>21</v>
      </c>
      <c r="E20" s="1" t="s">
        <v>26</v>
      </c>
      <c r="F20" s="1" t="s">
        <v>14</v>
      </c>
    </row>
    <row r="21" spans="1:6" x14ac:dyDescent="0.25">
      <c r="A21" s="43">
        <v>31</v>
      </c>
      <c r="B21" s="1" t="s">
        <v>6</v>
      </c>
      <c r="C21" s="1" t="s">
        <v>144</v>
      </c>
      <c r="D21" s="2" t="s">
        <v>21</v>
      </c>
      <c r="E21" s="1" t="s">
        <v>26</v>
      </c>
      <c r="F21" s="1" t="s">
        <v>9</v>
      </c>
    </row>
    <row r="22" spans="1:6" x14ac:dyDescent="0.25">
      <c r="A22" s="55">
        <v>99</v>
      </c>
      <c r="B22" s="56" t="s">
        <v>6</v>
      </c>
      <c r="C22" s="56" t="s">
        <v>144</v>
      </c>
      <c r="D22" s="57" t="s">
        <v>11</v>
      </c>
      <c r="E22" s="56" t="s">
        <v>26</v>
      </c>
      <c r="F22" s="56" t="s">
        <v>14</v>
      </c>
    </row>
    <row r="23" spans="1:6" ht="15" hidden="1" customHeight="1" x14ac:dyDescent="0.25">
      <c r="A23" s="43">
        <v>18</v>
      </c>
      <c r="B23" s="1" t="s">
        <v>10</v>
      </c>
      <c r="C23" s="1" t="s">
        <v>142</v>
      </c>
      <c r="D23" s="2" t="s">
        <v>21</v>
      </c>
      <c r="E23" s="1" t="s">
        <v>26</v>
      </c>
      <c r="F23" s="1" t="s">
        <v>9</v>
      </c>
    </row>
    <row r="24" spans="1:6" ht="15" hidden="1" customHeight="1" x14ac:dyDescent="0.25">
      <c r="A24" s="43">
        <v>20</v>
      </c>
      <c r="B24" s="1" t="s">
        <v>10</v>
      </c>
      <c r="C24" s="1" t="s">
        <v>142</v>
      </c>
      <c r="D24" s="2" t="s">
        <v>21</v>
      </c>
      <c r="E24" s="1" t="s">
        <v>26</v>
      </c>
      <c r="F24" s="1" t="s">
        <v>9</v>
      </c>
    </row>
    <row r="25" spans="1:6" ht="15" hidden="1" customHeight="1" x14ac:dyDescent="0.25">
      <c r="A25" s="43">
        <v>21</v>
      </c>
      <c r="B25" s="1" t="s">
        <v>10</v>
      </c>
      <c r="C25" s="1" t="s">
        <v>142</v>
      </c>
      <c r="D25" s="2" t="s">
        <v>21</v>
      </c>
      <c r="E25" s="1" t="s">
        <v>26</v>
      </c>
      <c r="F25" s="1" t="s">
        <v>9</v>
      </c>
    </row>
    <row r="26" spans="1:6" ht="15" hidden="1" customHeight="1" x14ac:dyDescent="0.25">
      <c r="A26" s="43">
        <v>22</v>
      </c>
      <c r="B26" s="1" t="s">
        <v>10</v>
      </c>
      <c r="C26" s="1" t="s">
        <v>142</v>
      </c>
      <c r="D26" s="2" t="s">
        <v>21</v>
      </c>
      <c r="E26" s="1" t="s">
        <v>26</v>
      </c>
      <c r="F26" s="1" t="s">
        <v>9</v>
      </c>
    </row>
    <row r="27" spans="1:6" ht="42.75" hidden="1" customHeight="1" x14ac:dyDescent="0.25">
      <c r="A27" s="43">
        <v>23</v>
      </c>
      <c r="B27" s="1" t="s">
        <v>10</v>
      </c>
      <c r="C27" s="1" t="s">
        <v>142</v>
      </c>
      <c r="D27" s="2" t="s">
        <v>21</v>
      </c>
      <c r="E27" s="1" t="s">
        <v>26</v>
      </c>
      <c r="F27" s="1" t="s">
        <v>9</v>
      </c>
    </row>
    <row r="28" spans="1:6" hidden="1" x14ac:dyDescent="0.25">
      <c r="A28" s="43">
        <v>24</v>
      </c>
      <c r="B28" s="1" t="s">
        <v>10</v>
      </c>
      <c r="C28" s="1" t="s">
        <v>142</v>
      </c>
      <c r="D28" s="2" t="s">
        <v>21</v>
      </c>
      <c r="E28" s="1" t="s">
        <v>26</v>
      </c>
      <c r="F28" s="1" t="s">
        <v>9</v>
      </c>
    </row>
    <row r="29" spans="1:6" hidden="1" x14ac:dyDescent="0.25">
      <c r="A29" s="43">
        <v>25</v>
      </c>
      <c r="B29" s="1" t="s">
        <v>10</v>
      </c>
      <c r="C29" s="1" t="s">
        <v>142</v>
      </c>
      <c r="D29" s="2" t="s">
        <v>21</v>
      </c>
      <c r="E29" s="1" t="s">
        <v>26</v>
      </c>
      <c r="F29" s="1" t="s">
        <v>9</v>
      </c>
    </row>
    <row r="30" spans="1:6" hidden="1" x14ac:dyDescent="0.25">
      <c r="A30" s="43">
        <v>156</v>
      </c>
      <c r="B30" s="1" t="s">
        <v>42</v>
      </c>
      <c r="C30" s="1" t="s">
        <v>142</v>
      </c>
      <c r="D30" s="2" t="s">
        <v>21</v>
      </c>
      <c r="E30" s="1" t="s">
        <v>26</v>
      </c>
      <c r="F30" s="1" t="s">
        <v>14</v>
      </c>
    </row>
    <row r="31" spans="1:6" hidden="1" x14ac:dyDescent="0.25">
      <c r="A31" s="43">
        <v>98</v>
      </c>
      <c r="B31" s="1" t="s">
        <v>10</v>
      </c>
      <c r="C31" s="1" t="s">
        <v>142</v>
      </c>
      <c r="D31" s="2" t="s">
        <v>21</v>
      </c>
      <c r="E31" s="1" t="s">
        <v>26</v>
      </c>
      <c r="F31" s="1" t="s">
        <v>9</v>
      </c>
    </row>
    <row r="32" spans="1:6" hidden="1" x14ac:dyDescent="0.25">
      <c r="A32" s="43">
        <v>63</v>
      </c>
      <c r="B32" s="1" t="s">
        <v>10</v>
      </c>
      <c r="C32" s="1" t="s">
        <v>142</v>
      </c>
      <c r="D32" s="2" t="s">
        <v>21</v>
      </c>
      <c r="E32" s="1" t="s">
        <v>26</v>
      </c>
      <c r="F32" s="1" t="s">
        <v>9</v>
      </c>
    </row>
    <row r="33" spans="1:6" ht="15" hidden="1" customHeight="1" x14ac:dyDescent="0.25">
      <c r="A33" s="43">
        <v>83</v>
      </c>
      <c r="B33" s="1" t="s">
        <v>22</v>
      </c>
      <c r="C33" s="1" t="s">
        <v>142</v>
      </c>
      <c r="D33" s="2" t="s">
        <v>21</v>
      </c>
      <c r="E33" s="1" t="s">
        <v>26</v>
      </c>
      <c r="F33" s="1" t="s">
        <v>14</v>
      </c>
    </row>
    <row r="34" spans="1:6" ht="15" hidden="1" customHeight="1" x14ac:dyDescent="0.25">
      <c r="A34" s="43">
        <v>134</v>
      </c>
      <c r="B34" s="1" t="s">
        <v>34</v>
      </c>
      <c r="C34" s="1" t="s">
        <v>142</v>
      </c>
      <c r="D34" s="2" t="s">
        <v>21</v>
      </c>
      <c r="E34" s="1" t="s">
        <v>26</v>
      </c>
      <c r="F34" s="1" t="s">
        <v>14</v>
      </c>
    </row>
    <row r="35" spans="1:6" ht="15" hidden="1" customHeight="1" x14ac:dyDescent="0.25">
      <c r="A35" s="43">
        <v>64</v>
      </c>
      <c r="B35" s="1" t="s">
        <v>22</v>
      </c>
      <c r="C35" s="1" t="s">
        <v>142</v>
      </c>
      <c r="D35" s="2" t="s">
        <v>11</v>
      </c>
      <c r="E35" s="1" t="s">
        <v>26</v>
      </c>
      <c r="F35" s="1" t="s">
        <v>14</v>
      </c>
    </row>
    <row r="36" spans="1:6" ht="15" hidden="1" customHeight="1" x14ac:dyDescent="0.25">
      <c r="A36" s="43">
        <v>71</v>
      </c>
      <c r="B36" s="1" t="s">
        <v>10</v>
      </c>
      <c r="C36" s="1" t="s">
        <v>142</v>
      </c>
      <c r="D36" s="2" t="s">
        <v>11</v>
      </c>
      <c r="E36" s="1" t="s">
        <v>26</v>
      </c>
      <c r="F36" s="1" t="s">
        <v>14</v>
      </c>
    </row>
    <row r="37" spans="1:6" hidden="1" x14ac:dyDescent="0.25">
      <c r="A37" s="43">
        <v>153</v>
      </c>
      <c r="B37" s="1" t="s">
        <v>42</v>
      </c>
      <c r="C37" s="1" t="s">
        <v>142</v>
      </c>
      <c r="D37" s="2" t="s">
        <v>160</v>
      </c>
      <c r="E37" s="1" t="s">
        <v>26</v>
      </c>
      <c r="F37" s="1" t="s">
        <v>14</v>
      </c>
    </row>
    <row r="38" spans="1:6" hidden="1" x14ac:dyDescent="0.25">
      <c r="A38" s="43">
        <v>110</v>
      </c>
      <c r="B38" s="1" t="s">
        <v>10</v>
      </c>
      <c r="C38" s="1" t="s">
        <v>142</v>
      </c>
      <c r="D38" s="2" t="s">
        <v>160</v>
      </c>
      <c r="E38" s="1" t="s">
        <v>26</v>
      </c>
      <c r="F38" s="1" t="s">
        <v>14</v>
      </c>
    </row>
    <row r="39" spans="1:6" ht="45" hidden="1" x14ac:dyDescent="0.25">
      <c r="A39" s="43">
        <v>1</v>
      </c>
      <c r="B39" s="1" t="s">
        <v>10</v>
      </c>
      <c r="C39" s="1" t="s">
        <v>142</v>
      </c>
      <c r="D39" s="2" t="s">
        <v>164</v>
      </c>
      <c r="E39" s="1" t="s">
        <v>26</v>
      </c>
      <c r="F39" s="1" t="s">
        <v>9</v>
      </c>
    </row>
    <row r="40" spans="1:6" ht="45" hidden="1" x14ac:dyDescent="0.25">
      <c r="A40" s="43">
        <v>6</v>
      </c>
      <c r="B40" s="1" t="s">
        <v>10</v>
      </c>
      <c r="C40" s="1" t="s">
        <v>142</v>
      </c>
      <c r="D40" s="2" t="s">
        <v>164</v>
      </c>
      <c r="E40" s="1" t="s">
        <v>26</v>
      </c>
      <c r="F40" s="1" t="s">
        <v>9</v>
      </c>
    </row>
    <row r="41" spans="1:6" ht="30" hidden="1" x14ac:dyDescent="0.25">
      <c r="A41" s="43">
        <v>70</v>
      </c>
      <c r="B41" s="1" t="s">
        <v>10</v>
      </c>
      <c r="C41" s="1" t="s">
        <v>142</v>
      </c>
      <c r="D41" s="2" t="s">
        <v>157</v>
      </c>
      <c r="E41" s="1" t="s">
        <v>26</v>
      </c>
      <c r="F41" s="1" t="s">
        <v>14</v>
      </c>
    </row>
    <row r="42" spans="1:6" ht="15" customHeight="1" x14ac:dyDescent="0.25">
      <c r="A42" s="43">
        <v>136</v>
      </c>
      <c r="B42" s="1" t="s">
        <v>6</v>
      </c>
      <c r="C42" s="1" t="s">
        <v>35</v>
      </c>
      <c r="D42" s="2" t="s">
        <v>21</v>
      </c>
      <c r="E42" s="1" t="s">
        <v>26</v>
      </c>
      <c r="F42" s="1" t="s">
        <v>14</v>
      </c>
    </row>
    <row r="43" spans="1:6" ht="15" customHeight="1" x14ac:dyDescent="0.25">
      <c r="A43" s="43">
        <v>137</v>
      </c>
      <c r="B43" s="1" t="s">
        <v>6</v>
      </c>
      <c r="C43" s="1" t="s">
        <v>35</v>
      </c>
      <c r="D43" s="2" t="s">
        <v>21</v>
      </c>
      <c r="E43" s="1" t="s">
        <v>26</v>
      </c>
      <c r="F43" s="1" t="s">
        <v>14</v>
      </c>
    </row>
    <row r="44" spans="1:6" ht="15" hidden="1" customHeight="1" x14ac:dyDescent="0.25">
      <c r="A44" s="43">
        <v>125</v>
      </c>
      <c r="B44" s="1" t="s">
        <v>10</v>
      </c>
      <c r="C44" s="1" t="s">
        <v>33</v>
      </c>
      <c r="D44" s="2" t="s">
        <v>12</v>
      </c>
      <c r="E44" s="1" t="s">
        <v>8</v>
      </c>
      <c r="F44" s="1" t="s">
        <v>14</v>
      </c>
    </row>
    <row r="45" spans="1:6" hidden="1" x14ac:dyDescent="0.25">
      <c r="A45" s="43">
        <v>126</v>
      </c>
      <c r="B45" s="1" t="s">
        <v>10</v>
      </c>
      <c r="C45" s="1" t="s">
        <v>33</v>
      </c>
      <c r="D45" s="2" t="s">
        <v>12</v>
      </c>
      <c r="E45" s="1" t="s">
        <v>8</v>
      </c>
      <c r="F45" s="1" t="s">
        <v>14</v>
      </c>
    </row>
    <row r="46" spans="1:6" ht="15" hidden="1" customHeight="1" x14ac:dyDescent="0.25">
      <c r="A46" s="43">
        <v>92</v>
      </c>
      <c r="B46" s="1" t="s">
        <v>10</v>
      </c>
      <c r="C46" s="1" t="s">
        <v>27</v>
      </c>
      <c r="D46" s="2" t="s">
        <v>19</v>
      </c>
      <c r="E46" s="1" t="s">
        <v>26</v>
      </c>
      <c r="F46" s="1" t="s">
        <v>14</v>
      </c>
    </row>
    <row r="47" spans="1:6" ht="15" hidden="1" customHeight="1" x14ac:dyDescent="0.25">
      <c r="A47" s="43">
        <v>44</v>
      </c>
      <c r="B47" s="1" t="s">
        <v>10</v>
      </c>
      <c r="C47" s="1" t="s">
        <v>27</v>
      </c>
      <c r="D47" s="2" t="s">
        <v>11</v>
      </c>
      <c r="E47" s="1" t="s">
        <v>8</v>
      </c>
      <c r="F47" s="1" t="s">
        <v>9</v>
      </c>
    </row>
    <row r="48" spans="1:6" hidden="1" x14ac:dyDescent="0.25">
      <c r="A48" s="43">
        <v>91</v>
      </c>
      <c r="B48" s="1" t="s">
        <v>22</v>
      </c>
      <c r="C48" s="1" t="s">
        <v>165</v>
      </c>
      <c r="D48" s="2" t="s">
        <v>19</v>
      </c>
      <c r="E48" s="1" t="s">
        <v>26</v>
      </c>
      <c r="F48" s="1" t="s">
        <v>14</v>
      </c>
    </row>
    <row r="49" spans="1:6" x14ac:dyDescent="0.25">
      <c r="A49" s="43">
        <v>102</v>
      </c>
      <c r="B49" s="1" t="s">
        <v>6</v>
      </c>
      <c r="C49" s="1" t="s">
        <v>30</v>
      </c>
      <c r="D49" s="2" t="s">
        <v>11</v>
      </c>
      <c r="E49" s="1" t="s">
        <v>26</v>
      </c>
      <c r="F49" s="1" t="s">
        <v>14</v>
      </c>
    </row>
    <row r="50" spans="1:6" hidden="1" x14ac:dyDescent="0.25">
      <c r="A50" s="43">
        <v>59</v>
      </c>
      <c r="B50" s="1" t="s">
        <v>10</v>
      </c>
      <c r="C50" s="1" t="s">
        <v>152</v>
      </c>
      <c r="D50" s="2" t="s">
        <v>12</v>
      </c>
      <c r="E50" s="1" t="s">
        <v>26</v>
      </c>
      <c r="F50" s="1" t="s">
        <v>14</v>
      </c>
    </row>
    <row r="51" spans="1:6" hidden="1" x14ac:dyDescent="0.25">
      <c r="A51" s="43">
        <v>49</v>
      </c>
      <c r="B51" s="1" t="s">
        <v>10</v>
      </c>
      <c r="C51" s="1" t="s">
        <v>152</v>
      </c>
      <c r="D51" s="2" t="s">
        <v>11</v>
      </c>
      <c r="E51" s="1" t="s">
        <v>26</v>
      </c>
      <c r="F51" s="1" t="s">
        <v>9</v>
      </c>
    </row>
    <row r="52" spans="1:6" hidden="1" x14ac:dyDescent="0.25">
      <c r="A52" s="43">
        <v>109</v>
      </c>
      <c r="B52" s="1" t="s">
        <v>10</v>
      </c>
      <c r="C52" s="1" t="s">
        <v>152</v>
      </c>
      <c r="D52" s="2" t="s">
        <v>11</v>
      </c>
      <c r="E52" s="1" t="s">
        <v>26</v>
      </c>
      <c r="F52" s="1" t="s">
        <v>14</v>
      </c>
    </row>
    <row r="53" spans="1:6" hidden="1" x14ac:dyDescent="0.25">
      <c r="A53" s="43">
        <v>100</v>
      </c>
      <c r="B53" s="1" t="s">
        <v>22</v>
      </c>
      <c r="C53" s="1" t="s">
        <v>152</v>
      </c>
      <c r="D53" s="2" t="s">
        <v>21</v>
      </c>
      <c r="E53" s="1" t="s">
        <v>26</v>
      </c>
      <c r="F53" s="1" t="s">
        <v>14</v>
      </c>
    </row>
    <row r="54" spans="1:6" ht="30" hidden="1" x14ac:dyDescent="0.25">
      <c r="A54" s="43">
        <v>47</v>
      </c>
      <c r="B54" s="1" t="s">
        <v>10</v>
      </c>
      <c r="C54" s="1" t="s">
        <v>60</v>
      </c>
      <c r="D54" s="2" t="s">
        <v>39</v>
      </c>
      <c r="E54" s="1" t="s">
        <v>26</v>
      </c>
      <c r="F54" s="1" t="s">
        <v>9</v>
      </c>
    </row>
    <row r="55" spans="1:6" ht="15" hidden="1" customHeight="1" x14ac:dyDescent="0.25">
      <c r="A55" s="43">
        <v>114</v>
      </c>
      <c r="B55" s="1" t="s">
        <v>10</v>
      </c>
      <c r="C55" s="1" t="s">
        <v>23</v>
      </c>
      <c r="D55" s="2" t="s">
        <v>159</v>
      </c>
      <c r="E55" s="1" t="s">
        <v>26</v>
      </c>
      <c r="F55" s="1" t="s">
        <v>14</v>
      </c>
    </row>
    <row r="56" spans="1:6" hidden="1" x14ac:dyDescent="0.25">
      <c r="A56" s="43">
        <v>65</v>
      </c>
      <c r="B56" s="1" t="s">
        <v>22</v>
      </c>
      <c r="C56" s="1" t="s">
        <v>23</v>
      </c>
      <c r="D56" s="2" t="s">
        <v>11</v>
      </c>
      <c r="E56" s="1" t="s">
        <v>26</v>
      </c>
      <c r="F56" s="1" t="s">
        <v>9</v>
      </c>
    </row>
    <row r="57" spans="1:6" ht="15" hidden="1" customHeight="1" x14ac:dyDescent="0.25">
      <c r="A57" s="43">
        <v>118</v>
      </c>
      <c r="B57" s="1" t="s">
        <v>10</v>
      </c>
      <c r="C57" s="1" t="s">
        <v>23</v>
      </c>
      <c r="D57" s="2" t="s">
        <v>11</v>
      </c>
      <c r="E57" s="1" t="s">
        <v>26</v>
      </c>
      <c r="F57" s="1" t="s">
        <v>14</v>
      </c>
    </row>
    <row r="58" spans="1:6" hidden="1" x14ac:dyDescent="0.25">
      <c r="A58" s="43">
        <v>37</v>
      </c>
      <c r="B58" s="1" t="s">
        <v>10</v>
      </c>
      <c r="C58" s="1" t="s">
        <v>60</v>
      </c>
      <c r="D58" s="2" t="s">
        <v>11</v>
      </c>
      <c r="E58" s="1" t="s">
        <v>26</v>
      </c>
      <c r="F58" s="1" t="s">
        <v>9</v>
      </c>
    </row>
    <row r="59" spans="1:6" ht="15" hidden="1" customHeight="1" x14ac:dyDescent="0.25">
      <c r="A59" s="43">
        <v>46</v>
      </c>
      <c r="B59" s="1" t="s">
        <v>10</v>
      </c>
      <c r="C59" s="1" t="s">
        <v>60</v>
      </c>
      <c r="D59" s="2" t="s">
        <v>11</v>
      </c>
      <c r="E59" s="1" t="s">
        <v>26</v>
      </c>
      <c r="F59" s="1" t="s">
        <v>9</v>
      </c>
    </row>
    <row r="60" spans="1:6" ht="15" hidden="1" customHeight="1" x14ac:dyDescent="0.25">
      <c r="A60" s="43">
        <v>133</v>
      </c>
      <c r="B60" s="1" t="s">
        <v>10</v>
      </c>
      <c r="C60" s="1" t="s">
        <v>60</v>
      </c>
      <c r="D60" s="2" t="s">
        <v>11</v>
      </c>
      <c r="E60" s="1" t="s">
        <v>26</v>
      </c>
      <c r="F60" s="1" t="s">
        <v>14</v>
      </c>
    </row>
    <row r="61" spans="1:6" ht="15" hidden="1" customHeight="1" x14ac:dyDescent="0.25">
      <c r="A61" s="43">
        <v>100</v>
      </c>
      <c r="B61" s="1" t="s">
        <v>22</v>
      </c>
      <c r="C61" s="1" t="s">
        <v>60</v>
      </c>
      <c r="D61" s="2" t="s">
        <v>21</v>
      </c>
      <c r="E61" s="1" t="s">
        <v>26</v>
      </c>
      <c r="F61" s="1" t="s">
        <v>14</v>
      </c>
    </row>
    <row r="62" spans="1:6" hidden="1" x14ac:dyDescent="0.25">
      <c r="A62" s="43">
        <v>146</v>
      </c>
      <c r="B62" s="1" t="s">
        <v>42</v>
      </c>
      <c r="C62" s="1" t="s">
        <v>44</v>
      </c>
      <c r="D62" s="2" t="s">
        <v>21</v>
      </c>
      <c r="E62" s="1" t="s">
        <v>26</v>
      </c>
      <c r="F62" s="1" t="s">
        <v>9</v>
      </c>
    </row>
    <row r="63" spans="1:6" hidden="1" x14ac:dyDescent="0.25">
      <c r="A63" s="43">
        <v>101</v>
      </c>
      <c r="B63" s="1" t="s">
        <v>10</v>
      </c>
      <c r="C63" s="1" t="s">
        <v>44</v>
      </c>
      <c r="D63" s="2" t="s">
        <v>160</v>
      </c>
      <c r="E63" s="1" t="s">
        <v>26</v>
      </c>
      <c r="F63" s="1" t="s">
        <v>14</v>
      </c>
    </row>
    <row r="64" spans="1:6" ht="15" hidden="1" customHeight="1" x14ac:dyDescent="0.25">
      <c r="A64" s="43">
        <v>109</v>
      </c>
      <c r="B64" s="1" t="s">
        <v>13</v>
      </c>
      <c r="C64" s="1" t="s">
        <v>31</v>
      </c>
      <c r="D64" s="2" t="s">
        <v>11</v>
      </c>
      <c r="E64" s="1" t="s">
        <v>26</v>
      </c>
      <c r="F64" s="1" t="s">
        <v>14</v>
      </c>
    </row>
    <row r="65" spans="1:6" hidden="1" x14ac:dyDescent="0.25">
      <c r="A65" s="43">
        <v>148</v>
      </c>
      <c r="B65" s="1" t="s">
        <v>50</v>
      </c>
      <c r="C65" s="1" t="s">
        <v>31</v>
      </c>
      <c r="D65" s="2" t="s">
        <v>21</v>
      </c>
      <c r="E65" s="1" t="s">
        <v>26</v>
      </c>
      <c r="F65" s="1" t="s">
        <v>9</v>
      </c>
    </row>
    <row r="66" spans="1:6" ht="15" hidden="1" customHeight="1" x14ac:dyDescent="0.25">
      <c r="A66" s="43">
        <v>151</v>
      </c>
      <c r="B66" s="1" t="s">
        <v>50</v>
      </c>
      <c r="C66" s="1" t="s">
        <v>31</v>
      </c>
      <c r="D66" s="2" t="s">
        <v>21</v>
      </c>
      <c r="E66" s="1" t="s">
        <v>26</v>
      </c>
      <c r="F66" s="1" t="s">
        <v>14</v>
      </c>
    </row>
    <row r="67" spans="1:6" ht="15" hidden="1" customHeight="1" x14ac:dyDescent="0.25">
      <c r="A67" s="43">
        <v>112</v>
      </c>
      <c r="B67" s="1" t="s">
        <v>13</v>
      </c>
      <c r="C67" s="1" t="s">
        <v>31</v>
      </c>
      <c r="D67" s="2" t="s">
        <v>21</v>
      </c>
      <c r="E67" s="1" t="s">
        <v>26</v>
      </c>
      <c r="F67" s="1" t="s">
        <v>14</v>
      </c>
    </row>
    <row r="68" spans="1:6" hidden="1" x14ac:dyDescent="0.25">
      <c r="A68" s="43">
        <v>162</v>
      </c>
      <c r="B68" s="1" t="s">
        <v>50</v>
      </c>
      <c r="C68" s="1" t="s">
        <v>31</v>
      </c>
      <c r="D68" s="2" t="s">
        <v>21</v>
      </c>
      <c r="E68" s="1" t="s">
        <v>8</v>
      </c>
      <c r="F68" s="1" t="s">
        <v>9</v>
      </c>
    </row>
    <row r="69" spans="1:6" hidden="1" x14ac:dyDescent="0.25">
      <c r="A69" s="43">
        <v>163</v>
      </c>
      <c r="B69" s="1" t="s">
        <v>50</v>
      </c>
      <c r="C69" s="1" t="s">
        <v>31</v>
      </c>
      <c r="D69" s="2" t="s">
        <v>21</v>
      </c>
      <c r="E69" s="1" t="s">
        <v>8</v>
      </c>
      <c r="F69" s="1" t="s">
        <v>14</v>
      </c>
    </row>
    <row r="70" spans="1:6" ht="15" hidden="1" customHeight="1" x14ac:dyDescent="0.25">
      <c r="A70" s="43">
        <v>53</v>
      </c>
      <c r="B70" s="1" t="s">
        <v>13</v>
      </c>
      <c r="C70" s="1" t="s">
        <v>31</v>
      </c>
      <c r="D70" s="2" t="s">
        <v>162</v>
      </c>
      <c r="E70" s="1" t="s">
        <v>26</v>
      </c>
      <c r="F70" s="1" t="s">
        <v>9</v>
      </c>
    </row>
    <row r="71" spans="1:6" hidden="1" x14ac:dyDescent="0.25">
      <c r="A71" s="43">
        <v>54</v>
      </c>
      <c r="B71" s="1" t="s">
        <v>13</v>
      </c>
      <c r="C71" s="1" t="s">
        <v>31</v>
      </c>
      <c r="D71" s="2" t="s">
        <v>162</v>
      </c>
      <c r="E71" s="1" t="s">
        <v>26</v>
      </c>
      <c r="F71" s="1" t="s">
        <v>9</v>
      </c>
    </row>
    <row r="72" spans="1:6" hidden="1" x14ac:dyDescent="0.25">
      <c r="A72" s="43">
        <v>76</v>
      </c>
      <c r="B72" s="1" t="s">
        <v>13</v>
      </c>
      <c r="C72" s="1" t="s">
        <v>31</v>
      </c>
      <c r="D72" s="2" t="s">
        <v>162</v>
      </c>
      <c r="E72" s="1" t="s">
        <v>26</v>
      </c>
      <c r="F72" s="1" t="s">
        <v>14</v>
      </c>
    </row>
    <row r="73" spans="1:6" ht="15" hidden="1" customHeight="1" x14ac:dyDescent="0.25">
      <c r="A73" s="43">
        <v>68</v>
      </c>
      <c r="B73" s="1" t="s">
        <v>13</v>
      </c>
      <c r="C73" s="1" t="s">
        <v>31</v>
      </c>
      <c r="D73" s="2" t="s">
        <v>162</v>
      </c>
      <c r="E73" s="1" t="s">
        <v>26</v>
      </c>
      <c r="F73" s="1" t="s">
        <v>9</v>
      </c>
    </row>
    <row r="74" spans="1:6" ht="15" hidden="1" customHeight="1" x14ac:dyDescent="0.25">
      <c r="A74" s="43">
        <v>95</v>
      </c>
      <c r="B74" s="1" t="s">
        <v>13</v>
      </c>
      <c r="C74" s="1" t="s">
        <v>31</v>
      </c>
      <c r="D74" s="2" t="s">
        <v>162</v>
      </c>
      <c r="E74" s="1" t="s">
        <v>26</v>
      </c>
      <c r="F74" s="1" t="s">
        <v>14</v>
      </c>
    </row>
    <row r="75" spans="1:6" hidden="1" x14ac:dyDescent="0.25">
      <c r="A75" s="43">
        <v>113</v>
      </c>
      <c r="B75" s="1" t="s">
        <v>13</v>
      </c>
      <c r="C75" s="1" t="s">
        <v>31</v>
      </c>
      <c r="D75" s="2" t="s">
        <v>162</v>
      </c>
      <c r="E75" s="1" t="s">
        <v>26</v>
      </c>
      <c r="F75" s="1" t="s">
        <v>14</v>
      </c>
    </row>
    <row r="76" spans="1:6" hidden="1" x14ac:dyDescent="0.25">
      <c r="A76" s="43">
        <v>73</v>
      </c>
      <c r="B76" s="1" t="s">
        <v>13</v>
      </c>
      <c r="C76" s="1" t="s">
        <v>31</v>
      </c>
      <c r="D76" s="2" t="s">
        <v>162</v>
      </c>
      <c r="E76" s="1" t="s">
        <v>26</v>
      </c>
      <c r="F76" s="1" t="s">
        <v>9</v>
      </c>
    </row>
    <row r="77" spans="1:6" hidden="1" x14ac:dyDescent="0.25">
      <c r="A77" s="43">
        <v>74</v>
      </c>
      <c r="B77" s="1" t="s">
        <v>13</v>
      </c>
      <c r="C77" s="1" t="s">
        <v>31</v>
      </c>
      <c r="D77" s="2" t="s">
        <v>162</v>
      </c>
      <c r="E77" s="1" t="s">
        <v>26</v>
      </c>
      <c r="F77" s="1" t="s">
        <v>9</v>
      </c>
    </row>
    <row r="78" spans="1:6" hidden="1" x14ac:dyDescent="0.25">
      <c r="A78" s="43">
        <v>116</v>
      </c>
      <c r="B78" s="1" t="s">
        <v>13</v>
      </c>
      <c r="C78" s="1" t="s">
        <v>31</v>
      </c>
      <c r="D78" s="2" t="s">
        <v>11</v>
      </c>
      <c r="E78" s="1" t="s">
        <v>26</v>
      </c>
      <c r="F78" s="1" t="s">
        <v>14</v>
      </c>
    </row>
    <row r="79" spans="1:6" hidden="1" x14ac:dyDescent="0.25">
      <c r="A79" s="43">
        <v>66</v>
      </c>
      <c r="B79" s="1" t="s">
        <v>13</v>
      </c>
      <c r="C79" s="1" t="s">
        <v>31</v>
      </c>
      <c r="D79" s="2" t="s">
        <v>11</v>
      </c>
      <c r="E79" s="1" t="s">
        <v>26</v>
      </c>
      <c r="F79" s="1" t="s">
        <v>9</v>
      </c>
    </row>
    <row r="80" spans="1:6" hidden="1" x14ac:dyDescent="0.25">
      <c r="A80" s="43">
        <v>75</v>
      </c>
      <c r="B80" s="1" t="s">
        <v>13</v>
      </c>
      <c r="C80" s="1" t="s">
        <v>31</v>
      </c>
      <c r="D80" s="2" t="s">
        <v>11</v>
      </c>
      <c r="E80" s="1" t="s">
        <v>26</v>
      </c>
      <c r="F80" s="1" t="s">
        <v>9</v>
      </c>
    </row>
    <row r="81" spans="1:6" hidden="1" x14ac:dyDescent="0.25">
      <c r="A81" s="43">
        <v>52</v>
      </c>
      <c r="B81" s="1" t="s">
        <v>13</v>
      </c>
      <c r="C81" s="1" t="s">
        <v>31</v>
      </c>
      <c r="D81" s="2" t="s">
        <v>19</v>
      </c>
      <c r="E81" s="1" t="s">
        <v>26</v>
      </c>
      <c r="F81" s="1" t="s">
        <v>14</v>
      </c>
    </row>
    <row r="82" spans="1:6" hidden="1" x14ac:dyDescent="0.25">
      <c r="A82" s="43">
        <v>67</v>
      </c>
      <c r="B82" s="1" t="s">
        <v>13</v>
      </c>
      <c r="C82" s="1" t="s">
        <v>31</v>
      </c>
      <c r="D82" s="2" t="s">
        <v>19</v>
      </c>
      <c r="E82" s="1" t="s">
        <v>26</v>
      </c>
      <c r="F82" s="1" t="s">
        <v>14</v>
      </c>
    </row>
    <row r="83" spans="1:6" hidden="1" x14ac:dyDescent="0.25">
      <c r="A83" s="43">
        <v>79</v>
      </c>
      <c r="B83" s="1" t="s">
        <v>13</v>
      </c>
      <c r="C83" s="1" t="s">
        <v>31</v>
      </c>
      <c r="D83" s="2" t="s">
        <v>19</v>
      </c>
      <c r="E83" s="1" t="s">
        <v>26</v>
      </c>
      <c r="F83" s="1" t="s">
        <v>14</v>
      </c>
    </row>
    <row r="84" spans="1:6" x14ac:dyDescent="0.25">
      <c r="A84" s="43">
        <v>124</v>
      </c>
      <c r="B84" s="1" t="s">
        <v>6</v>
      </c>
      <c r="C84" s="1" t="s">
        <v>145</v>
      </c>
      <c r="D84" s="2" t="s">
        <v>12</v>
      </c>
      <c r="E84" s="1" t="s">
        <v>26</v>
      </c>
      <c r="F84" s="1" t="s">
        <v>14</v>
      </c>
    </row>
    <row r="85" spans="1:6" ht="15" customHeight="1" x14ac:dyDescent="0.25">
      <c r="A85" s="43">
        <v>72</v>
      </c>
      <c r="B85" s="1" t="s">
        <v>6</v>
      </c>
      <c r="C85" s="1" t="s">
        <v>145</v>
      </c>
      <c r="D85" s="2" t="s">
        <v>11</v>
      </c>
      <c r="E85" s="1" t="s">
        <v>26</v>
      </c>
      <c r="F85" s="1" t="s">
        <v>9</v>
      </c>
    </row>
    <row r="86" spans="1:6" ht="30" x14ac:dyDescent="0.25">
      <c r="A86" s="43">
        <v>94</v>
      </c>
      <c r="B86" s="1" t="s">
        <v>6</v>
      </c>
      <c r="C86" s="1" t="s">
        <v>145</v>
      </c>
      <c r="D86" s="2" t="s">
        <v>158</v>
      </c>
      <c r="E86" s="1" t="s">
        <v>26</v>
      </c>
      <c r="F86" s="1" t="s">
        <v>14</v>
      </c>
    </row>
    <row r="87" spans="1:6" hidden="1" x14ac:dyDescent="0.25">
      <c r="A87" s="43">
        <v>145</v>
      </c>
      <c r="B87" s="1" t="s">
        <v>50</v>
      </c>
      <c r="C87" s="1" t="s">
        <v>154</v>
      </c>
      <c r="D87" s="2" t="s">
        <v>162</v>
      </c>
      <c r="E87" s="1" t="s">
        <v>8</v>
      </c>
      <c r="F87" s="1" t="s">
        <v>9</v>
      </c>
    </row>
    <row r="88" spans="1:6" hidden="1" x14ac:dyDescent="0.25">
      <c r="A88" s="43">
        <v>26</v>
      </c>
      <c r="B88" s="1" t="s">
        <v>13</v>
      </c>
      <c r="C88" s="1" t="s">
        <v>154</v>
      </c>
      <c r="D88" s="2" t="s">
        <v>11</v>
      </c>
      <c r="E88" s="1" t="s">
        <v>26</v>
      </c>
      <c r="F88" s="1" t="s">
        <v>9</v>
      </c>
    </row>
    <row r="89" spans="1:6" hidden="1" x14ac:dyDescent="0.25">
      <c r="A89" s="43">
        <v>129</v>
      </c>
      <c r="B89" s="1" t="s">
        <v>13</v>
      </c>
      <c r="C89" s="1" t="s">
        <v>153</v>
      </c>
      <c r="D89" s="2" t="s">
        <v>21</v>
      </c>
      <c r="E89" s="1" t="s">
        <v>26</v>
      </c>
      <c r="F89" s="1" t="s">
        <v>14</v>
      </c>
    </row>
    <row r="90" spans="1:6" hidden="1" x14ac:dyDescent="0.25">
      <c r="A90" s="43">
        <v>131</v>
      </c>
      <c r="B90" s="1" t="s">
        <v>13</v>
      </c>
      <c r="C90" s="1" t="s">
        <v>153</v>
      </c>
      <c r="D90" s="2" t="s">
        <v>21</v>
      </c>
      <c r="E90" s="1" t="s">
        <v>26</v>
      </c>
      <c r="F90" s="1" t="s">
        <v>14</v>
      </c>
    </row>
    <row r="91" spans="1:6" hidden="1" x14ac:dyDescent="0.25">
      <c r="A91" s="43">
        <v>85</v>
      </c>
      <c r="B91" s="1" t="s">
        <v>13</v>
      </c>
      <c r="C91" s="1" t="s">
        <v>153</v>
      </c>
      <c r="D91" s="2" t="s">
        <v>162</v>
      </c>
      <c r="E91" s="1" t="s">
        <v>26</v>
      </c>
      <c r="F91" s="1" t="s">
        <v>9</v>
      </c>
    </row>
    <row r="92" spans="1:6" hidden="1" x14ac:dyDescent="0.25">
      <c r="A92" s="43">
        <v>87</v>
      </c>
      <c r="B92" s="1" t="s">
        <v>13</v>
      </c>
      <c r="C92" s="1" t="s">
        <v>153</v>
      </c>
      <c r="D92" s="2" t="s">
        <v>12</v>
      </c>
      <c r="E92" s="1" t="s">
        <v>26</v>
      </c>
      <c r="F92" s="1" t="s">
        <v>14</v>
      </c>
    </row>
    <row r="93" spans="1:6" hidden="1" x14ac:dyDescent="0.25">
      <c r="A93" s="43">
        <v>97</v>
      </c>
      <c r="B93" s="1" t="s">
        <v>13</v>
      </c>
      <c r="C93" s="1" t="s">
        <v>153</v>
      </c>
      <c r="D93" s="2" t="s">
        <v>12</v>
      </c>
      <c r="E93" s="1" t="s">
        <v>26</v>
      </c>
      <c r="F93" s="1" t="s">
        <v>14</v>
      </c>
    </row>
    <row r="94" spans="1:6" hidden="1" x14ac:dyDescent="0.25">
      <c r="A94" s="43">
        <v>27</v>
      </c>
      <c r="B94" s="1" t="s">
        <v>13</v>
      </c>
      <c r="C94" s="1" t="s">
        <v>153</v>
      </c>
      <c r="D94" s="2" t="s">
        <v>11</v>
      </c>
      <c r="E94" s="1" t="s">
        <v>8</v>
      </c>
      <c r="F94" s="1" t="s">
        <v>9</v>
      </c>
    </row>
    <row r="95" spans="1:6" ht="15" hidden="1" customHeight="1" x14ac:dyDescent="0.25">
      <c r="A95" s="43">
        <v>60</v>
      </c>
      <c r="B95" s="1" t="s">
        <v>13</v>
      </c>
      <c r="C95" s="1" t="s">
        <v>153</v>
      </c>
      <c r="D95" s="2" t="s">
        <v>11</v>
      </c>
      <c r="E95" s="1" t="s">
        <v>8</v>
      </c>
      <c r="F95" s="1" t="s">
        <v>14</v>
      </c>
    </row>
    <row r="96" spans="1:6" hidden="1" x14ac:dyDescent="0.25">
      <c r="A96" s="43">
        <v>45</v>
      </c>
      <c r="B96" s="1" t="s">
        <v>13</v>
      </c>
      <c r="C96" s="1" t="s">
        <v>153</v>
      </c>
      <c r="D96" s="2" t="s">
        <v>11</v>
      </c>
      <c r="E96" s="1" t="s">
        <v>26</v>
      </c>
      <c r="F96" s="1" t="s">
        <v>14</v>
      </c>
    </row>
    <row r="97" spans="1:6" hidden="1" x14ac:dyDescent="0.25">
      <c r="A97" s="43">
        <v>107</v>
      </c>
      <c r="B97" s="1" t="s">
        <v>13</v>
      </c>
      <c r="C97" s="1" t="s">
        <v>153</v>
      </c>
      <c r="D97" s="2" t="s">
        <v>160</v>
      </c>
      <c r="E97" s="1" t="s">
        <v>26</v>
      </c>
      <c r="F97" s="1" t="s">
        <v>14</v>
      </c>
    </row>
    <row r="98" spans="1:6" hidden="1" x14ac:dyDescent="0.25">
      <c r="A98" s="43">
        <v>28</v>
      </c>
      <c r="B98" s="1" t="s">
        <v>13</v>
      </c>
      <c r="C98" s="1" t="s">
        <v>153</v>
      </c>
      <c r="D98" s="2" t="s">
        <v>160</v>
      </c>
      <c r="E98" s="1" t="s">
        <v>26</v>
      </c>
      <c r="F98" s="1" t="s">
        <v>9</v>
      </c>
    </row>
    <row r="99" spans="1:6" hidden="1" x14ac:dyDescent="0.25">
      <c r="A99" s="43">
        <v>106</v>
      </c>
      <c r="B99" s="1" t="s">
        <v>22</v>
      </c>
      <c r="C99" s="1" t="s">
        <v>171</v>
      </c>
      <c r="D99" s="2" t="s">
        <v>160</v>
      </c>
      <c r="E99" s="1" t="s">
        <v>26</v>
      </c>
      <c r="F99" s="1" t="s">
        <v>14</v>
      </c>
    </row>
    <row r="100" spans="1:6" hidden="1" x14ac:dyDescent="0.25">
      <c r="A100" s="43">
        <v>90</v>
      </c>
      <c r="B100" s="1" t="s">
        <v>22</v>
      </c>
      <c r="C100" s="1" t="s">
        <v>171</v>
      </c>
      <c r="D100" s="2" t="s">
        <v>11</v>
      </c>
      <c r="E100" s="1" t="s">
        <v>26</v>
      </c>
      <c r="F100" s="1" t="s">
        <v>14</v>
      </c>
    </row>
    <row r="101" spans="1:6" ht="15" customHeight="1" x14ac:dyDescent="0.25">
      <c r="A101" s="43">
        <v>82</v>
      </c>
      <c r="B101" s="1" t="s">
        <v>6</v>
      </c>
      <c r="C101" s="1" t="s">
        <v>146</v>
      </c>
      <c r="D101" s="2" t="s">
        <v>21</v>
      </c>
      <c r="E101" s="1" t="s">
        <v>26</v>
      </c>
      <c r="F101" s="1" t="s">
        <v>9</v>
      </c>
    </row>
    <row r="102" spans="1:6" x14ac:dyDescent="0.25">
      <c r="A102" s="43">
        <v>135</v>
      </c>
      <c r="B102" s="1" t="s">
        <v>6</v>
      </c>
      <c r="C102" s="1" t="s">
        <v>146</v>
      </c>
      <c r="D102" s="2" t="s">
        <v>21</v>
      </c>
      <c r="E102" s="1" t="s">
        <v>26</v>
      </c>
      <c r="F102" s="1" t="s">
        <v>14</v>
      </c>
    </row>
    <row r="103" spans="1:6" x14ac:dyDescent="0.25">
      <c r="A103" s="43">
        <v>123</v>
      </c>
      <c r="B103" s="1" t="s">
        <v>6</v>
      </c>
      <c r="C103" s="1" t="s">
        <v>146</v>
      </c>
      <c r="D103" s="2" t="s">
        <v>162</v>
      </c>
      <c r="E103" s="1" t="s">
        <v>26</v>
      </c>
      <c r="F103" s="1" t="s">
        <v>14</v>
      </c>
    </row>
    <row r="104" spans="1:6" x14ac:dyDescent="0.25">
      <c r="A104" s="43">
        <v>4</v>
      </c>
      <c r="B104" s="1" t="s">
        <v>6</v>
      </c>
      <c r="C104" s="1" t="s">
        <v>146</v>
      </c>
      <c r="D104" s="1" t="s">
        <v>12</v>
      </c>
      <c r="E104" s="1" t="s">
        <v>26</v>
      </c>
      <c r="F104" s="1" t="s">
        <v>9</v>
      </c>
    </row>
    <row r="105" spans="1:6" ht="15" customHeight="1" x14ac:dyDescent="0.25">
      <c r="A105" s="43">
        <v>81</v>
      </c>
      <c r="B105" s="1" t="s">
        <v>6</v>
      </c>
      <c r="C105" s="1" t="s">
        <v>146</v>
      </c>
      <c r="D105" s="2" t="s">
        <v>19</v>
      </c>
      <c r="E105" s="1" t="s">
        <v>26</v>
      </c>
      <c r="F105" s="1" t="s">
        <v>9</v>
      </c>
    </row>
    <row r="106" spans="1:6" ht="15" hidden="1" customHeight="1" x14ac:dyDescent="0.25">
      <c r="A106" s="43">
        <v>108</v>
      </c>
      <c r="B106" s="1" t="s">
        <v>13</v>
      </c>
      <c r="C106" s="1" t="s">
        <v>173</v>
      </c>
      <c r="D106" s="2" t="s">
        <v>11</v>
      </c>
      <c r="E106" s="1" t="s">
        <v>26</v>
      </c>
      <c r="F106" s="1" t="s">
        <v>14</v>
      </c>
    </row>
    <row r="107" spans="1:6" hidden="1" x14ac:dyDescent="0.25">
      <c r="A107" s="43">
        <v>139</v>
      </c>
      <c r="B107" s="1" t="s">
        <v>13</v>
      </c>
      <c r="C107" s="1" t="s">
        <v>168</v>
      </c>
      <c r="D107" s="2" t="s">
        <v>21</v>
      </c>
      <c r="E107" s="1" t="s">
        <v>26</v>
      </c>
      <c r="F107" s="1" t="s">
        <v>14</v>
      </c>
    </row>
    <row r="108" spans="1:6" ht="15" hidden="1" customHeight="1" x14ac:dyDescent="0.25">
      <c r="A108" s="43">
        <v>33</v>
      </c>
      <c r="B108" s="1" t="s">
        <v>13</v>
      </c>
      <c r="C108" s="1" t="s">
        <v>168</v>
      </c>
      <c r="D108" s="2" t="s">
        <v>162</v>
      </c>
      <c r="E108" s="1" t="s">
        <v>26</v>
      </c>
      <c r="F108" s="1" t="s">
        <v>9</v>
      </c>
    </row>
    <row r="109" spans="1:6" hidden="1" x14ac:dyDescent="0.25">
      <c r="A109" s="43">
        <v>13</v>
      </c>
      <c r="B109" s="1" t="s">
        <v>13</v>
      </c>
      <c r="C109" s="1" t="s">
        <v>168</v>
      </c>
      <c r="D109" s="2" t="s">
        <v>162</v>
      </c>
      <c r="E109" s="1" t="s">
        <v>26</v>
      </c>
      <c r="F109" s="1" t="s">
        <v>9</v>
      </c>
    </row>
    <row r="110" spans="1:6" hidden="1" x14ac:dyDescent="0.25">
      <c r="A110" s="43">
        <v>77</v>
      </c>
      <c r="B110" s="1" t="s">
        <v>13</v>
      </c>
      <c r="C110" s="1" t="s">
        <v>168</v>
      </c>
      <c r="D110" s="2" t="s">
        <v>162</v>
      </c>
      <c r="E110" s="1" t="s">
        <v>26</v>
      </c>
      <c r="F110" s="1" t="s">
        <v>14</v>
      </c>
    </row>
    <row r="111" spans="1:6" hidden="1" x14ac:dyDescent="0.25">
      <c r="A111" s="43">
        <v>154</v>
      </c>
      <c r="B111" s="1" t="s">
        <v>50</v>
      </c>
      <c r="C111" s="1" t="s">
        <v>168</v>
      </c>
      <c r="D111" s="2" t="s">
        <v>162</v>
      </c>
      <c r="E111" s="1" t="s">
        <v>8</v>
      </c>
      <c r="F111" s="1" t="s">
        <v>14</v>
      </c>
    </row>
    <row r="112" spans="1:6" hidden="1" x14ac:dyDescent="0.25">
      <c r="A112" s="43">
        <v>32</v>
      </c>
      <c r="B112" s="1" t="s">
        <v>13</v>
      </c>
      <c r="C112" s="1" t="s">
        <v>168</v>
      </c>
      <c r="D112" s="2" t="s">
        <v>12</v>
      </c>
      <c r="E112" s="1" t="s">
        <v>26</v>
      </c>
      <c r="F112" s="1" t="s">
        <v>14</v>
      </c>
    </row>
    <row r="113" spans="1:6" ht="15" hidden="1" customHeight="1" x14ac:dyDescent="0.25">
      <c r="A113" s="43" t="s">
        <v>20</v>
      </c>
      <c r="B113" s="1" t="s">
        <v>13</v>
      </c>
      <c r="C113" s="1" t="s">
        <v>168</v>
      </c>
      <c r="D113" s="2" t="s">
        <v>12</v>
      </c>
      <c r="E113" s="1" t="s">
        <v>8</v>
      </c>
      <c r="F113" s="1" t="s">
        <v>14</v>
      </c>
    </row>
    <row r="114" spans="1:6" ht="15" hidden="1" customHeight="1" x14ac:dyDescent="0.25">
      <c r="A114" s="43">
        <v>36</v>
      </c>
      <c r="B114" s="1" t="s">
        <v>13</v>
      </c>
      <c r="C114" s="1" t="s">
        <v>168</v>
      </c>
      <c r="D114" s="2" t="s">
        <v>11</v>
      </c>
      <c r="E114" s="1" t="s">
        <v>26</v>
      </c>
      <c r="F114" s="1" t="s">
        <v>9</v>
      </c>
    </row>
    <row r="115" spans="1:6" hidden="1" x14ac:dyDescent="0.25">
      <c r="A115" s="43">
        <v>14</v>
      </c>
      <c r="B115" s="1" t="s">
        <v>13</v>
      </c>
      <c r="C115" s="1" t="s">
        <v>168</v>
      </c>
      <c r="D115" s="2" t="s">
        <v>11</v>
      </c>
      <c r="E115" s="1" t="s">
        <v>26</v>
      </c>
      <c r="F115" s="1" t="s">
        <v>9</v>
      </c>
    </row>
    <row r="116" spans="1:6" hidden="1" x14ac:dyDescent="0.25">
      <c r="A116" s="43">
        <v>39</v>
      </c>
      <c r="B116" s="1" t="s">
        <v>13</v>
      </c>
      <c r="C116" s="1" t="s">
        <v>168</v>
      </c>
      <c r="D116" s="2" t="s">
        <v>11</v>
      </c>
      <c r="E116" s="1" t="s">
        <v>26</v>
      </c>
      <c r="F116" s="1" t="s">
        <v>14</v>
      </c>
    </row>
    <row r="117" spans="1:6" hidden="1" x14ac:dyDescent="0.25">
      <c r="A117" s="43">
        <v>39</v>
      </c>
      <c r="B117" s="1" t="s">
        <v>13</v>
      </c>
      <c r="C117" s="1" t="s">
        <v>168</v>
      </c>
      <c r="D117" s="2" t="s">
        <v>11</v>
      </c>
      <c r="E117" s="1" t="s">
        <v>26</v>
      </c>
      <c r="F117" s="1" t="s">
        <v>9</v>
      </c>
    </row>
    <row r="118" spans="1:6" hidden="1" x14ac:dyDescent="0.25">
      <c r="A118" s="43">
        <v>78</v>
      </c>
      <c r="B118" s="1" t="s">
        <v>13</v>
      </c>
      <c r="C118" s="1" t="s">
        <v>168</v>
      </c>
      <c r="D118" s="2" t="s">
        <v>11</v>
      </c>
      <c r="E118" s="1" t="s">
        <v>26</v>
      </c>
      <c r="F118" s="1" t="s">
        <v>9</v>
      </c>
    </row>
    <row r="119" spans="1:6" hidden="1" x14ac:dyDescent="0.25">
      <c r="A119" s="43">
        <v>38</v>
      </c>
      <c r="B119" s="1" t="s">
        <v>13</v>
      </c>
      <c r="C119" s="1" t="s">
        <v>168</v>
      </c>
      <c r="D119" s="2" t="s">
        <v>11</v>
      </c>
      <c r="E119" s="1" t="s">
        <v>8</v>
      </c>
      <c r="F119" s="1" t="s">
        <v>9</v>
      </c>
    </row>
    <row r="120" spans="1:6" hidden="1" x14ac:dyDescent="0.25">
      <c r="A120" s="43">
        <v>40</v>
      </c>
      <c r="B120" s="1" t="s">
        <v>13</v>
      </c>
      <c r="C120" s="1" t="s">
        <v>168</v>
      </c>
      <c r="D120" s="2" t="s">
        <v>160</v>
      </c>
      <c r="E120" s="1" t="s">
        <v>26</v>
      </c>
      <c r="F120" s="1" t="s">
        <v>14</v>
      </c>
    </row>
    <row r="121" spans="1:6" hidden="1" x14ac:dyDescent="0.25">
      <c r="A121" s="43">
        <v>34</v>
      </c>
      <c r="B121" s="1" t="s">
        <v>13</v>
      </c>
      <c r="C121" s="1" t="s">
        <v>168</v>
      </c>
      <c r="D121" s="2" t="s">
        <v>19</v>
      </c>
      <c r="E121" s="1" t="s">
        <v>26</v>
      </c>
      <c r="F121" s="1" t="s">
        <v>9</v>
      </c>
    </row>
    <row r="122" spans="1:6" x14ac:dyDescent="0.25">
      <c r="A122" s="43">
        <v>155</v>
      </c>
      <c r="B122" s="1" t="s">
        <v>54</v>
      </c>
      <c r="C122" s="1" t="s">
        <v>150</v>
      </c>
      <c r="D122" s="2" t="s">
        <v>21</v>
      </c>
      <c r="E122" s="1" t="s">
        <v>8</v>
      </c>
      <c r="F122" s="1" t="s">
        <v>14</v>
      </c>
    </row>
    <row r="123" spans="1:6" x14ac:dyDescent="0.25">
      <c r="A123" s="43">
        <v>29</v>
      </c>
      <c r="B123" s="1" t="s">
        <v>6</v>
      </c>
      <c r="C123" s="1" t="s">
        <v>150</v>
      </c>
      <c r="D123" s="2" t="s">
        <v>11</v>
      </c>
      <c r="E123" s="1" t="s">
        <v>26</v>
      </c>
      <c r="F123" s="1" t="s">
        <v>14</v>
      </c>
    </row>
    <row r="124" spans="1:6" x14ac:dyDescent="0.25">
      <c r="A124" s="43">
        <v>51</v>
      </c>
      <c r="B124" s="1" t="s">
        <v>6</v>
      </c>
      <c r="C124" s="1" t="s">
        <v>95</v>
      </c>
      <c r="D124" s="2" t="s">
        <v>19</v>
      </c>
      <c r="E124" s="1" t="s">
        <v>26</v>
      </c>
      <c r="F124" s="1" t="s">
        <v>14</v>
      </c>
    </row>
    <row r="125" spans="1:6" x14ac:dyDescent="0.25">
      <c r="A125" s="43">
        <v>3</v>
      </c>
      <c r="B125" s="1" t="s">
        <v>6</v>
      </c>
      <c r="C125" s="1" t="s">
        <v>95</v>
      </c>
      <c r="D125" s="2" t="s">
        <v>21</v>
      </c>
      <c r="E125" s="1" t="s">
        <v>26</v>
      </c>
      <c r="F125" s="1" t="s">
        <v>9</v>
      </c>
    </row>
    <row r="126" spans="1:6" s="58" customFormat="1" x14ac:dyDescent="0.25">
      <c r="A126" s="43">
        <v>2</v>
      </c>
      <c r="B126" s="1" t="s">
        <v>6</v>
      </c>
      <c r="C126" s="1" t="s">
        <v>95</v>
      </c>
      <c r="D126" s="2" t="s">
        <v>11</v>
      </c>
      <c r="E126" s="1" t="s">
        <v>26</v>
      </c>
      <c r="F126" s="1" t="s">
        <v>9</v>
      </c>
    </row>
    <row r="127" spans="1:6" x14ac:dyDescent="0.25">
      <c r="A127" s="43">
        <v>50</v>
      </c>
      <c r="B127" s="1" t="s">
        <v>6</v>
      </c>
      <c r="C127" s="1" t="s">
        <v>95</v>
      </c>
      <c r="D127" s="2" t="s">
        <v>11</v>
      </c>
      <c r="E127" s="1" t="s">
        <v>26</v>
      </c>
      <c r="F127" s="1" t="s">
        <v>14</v>
      </c>
    </row>
    <row r="128" spans="1:6" ht="15" hidden="1" customHeight="1" x14ac:dyDescent="0.25">
      <c r="A128" s="43">
        <v>61</v>
      </c>
      <c r="B128" s="1" t="s">
        <v>13</v>
      </c>
      <c r="C128" s="1" t="s">
        <v>170</v>
      </c>
      <c r="D128" s="2" t="s">
        <v>160</v>
      </c>
      <c r="E128" s="1" t="s">
        <v>26</v>
      </c>
      <c r="F128" s="1" t="s">
        <v>14</v>
      </c>
    </row>
    <row r="129" spans="1:6" hidden="1" x14ac:dyDescent="0.25">
      <c r="A129" s="43">
        <v>35</v>
      </c>
      <c r="B129" s="1" t="s">
        <v>13</v>
      </c>
      <c r="C129" s="1" t="s">
        <v>170</v>
      </c>
      <c r="D129" s="2" t="s">
        <v>160</v>
      </c>
      <c r="E129" s="1" t="s">
        <v>26</v>
      </c>
      <c r="F129" s="1" t="s">
        <v>14</v>
      </c>
    </row>
    <row r="130" spans="1:6" hidden="1" x14ac:dyDescent="0.25">
      <c r="A130" s="43">
        <v>8</v>
      </c>
      <c r="B130" s="1" t="s">
        <v>13</v>
      </c>
      <c r="C130" s="1" t="s">
        <v>170</v>
      </c>
      <c r="D130" s="2" t="s">
        <v>21</v>
      </c>
      <c r="E130" s="1" t="s">
        <v>26</v>
      </c>
      <c r="F130" s="1" t="s">
        <v>14</v>
      </c>
    </row>
    <row r="131" spans="1:6" hidden="1" x14ac:dyDescent="0.25">
      <c r="A131" s="43">
        <v>41</v>
      </c>
      <c r="B131" s="1" t="s">
        <v>13</v>
      </c>
      <c r="C131" s="1" t="s">
        <v>170</v>
      </c>
      <c r="D131" s="2" t="s">
        <v>19</v>
      </c>
      <c r="E131" s="1" t="s">
        <v>26</v>
      </c>
      <c r="F131" s="1" t="s">
        <v>9</v>
      </c>
    </row>
    <row r="132" spans="1:6" hidden="1" x14ac:dyDescent="0.25">
      <c r="A132" s="43">
        <v>144</v>
      </c>
      <c r="B132" s="1" t="s">
        <v>36</v>
      </c>
      <c r="C132" s="1" t="s">
        <v>41</v>
      </c>
      <c r="D132" s="2" t="s">
        <v>162</v>
      </c>
      <c r="E132" s="1" t="s">
        <v>8</v>
      </c>
      <c r="F132" s="1" t="s">
        <v>14</v>
      </c>
    </row>
    <row r="133" spans="1:6" hidden="1" x14ac:dyDescent="0.25">
      <c r="A133" s="43">
        <v>86</v>
      </c>
      <c r="B133" s="1" t="s">
        <v>13</v>
      </c>
      <c r="C133" s="1" t="s">
        <v>25</v>
      </c>
      <c r="D133" s="2" t="s">
        <v>162</v>
      </c>
      <c r="E133" s="1" t="s">
        <v>26</v>
      </c>
      <c r="F133" s="1" t="s">
        <v>9</v>
      </c>
    </row>
    <row r="134" spans="1:6" hidden="1" x14ac:dyDescent="0.25">
      <c r="A134" s="43">
        <v>93</v>
      </c>
      <c r="B134" s="1" t="s">
        <v>13</v>
      </c>
      <c r="C134" s="1" t="s">
        <v>25</v>
      </c>
      <c r="D134" s="2" t="s">
        <v>19</v>
      </c>
      <c r="E134" s="1" t="s">
        <v>26</v>
      </c>
      <c r="F134" s="1" t="s">
        <v>14</v>
      </c>
    </row>
    <row r="135" spans="1:6" hidden="1" x14ac:dyDescent="0.25">
      <c r="A135" s="43">
        <v>96</v>
      </c>
      <c r="B135" s="1" t="s">
        <v>10</v>
      </c>
      <c r="C135" s="1" t="s">
        <v>28</v>
      </c>
      <c r="D135" s="2" t="s">
        <v>19</v>
      </c>
      <c r="E135" s="1" t="s">
        <v>26</v>
      </c>
      <c r="F135" s="1" t="s">
        <v>9</v>
      </c>
    </row>
    <row r="136" spans="1:6" hidden="1" x14ac:dyDescent="0.25">
      <c r="A136" s="43">
        <v>5</v>
      </c>
      <c r="B136" s="1" t="s">
        <v>13</v>
      </c>
      <c r="C136" s="1" t="s">
        <v>102</v>
      </c>
      <c r="D136" s="2" t="s">
        <v>21</v>
      </c>
      <c r="E136" s="1" t="s">
        <v>26</v>
      </c>
      <c r="F136" s="1" t="s">
        <v>9</v>
      </c>
    </row>
    <row r="137" spans="1:6" hidden="1" x14ac:dyDescent="0.25">
      <c r="A137" s="43">
        <v>17</v>
      </c>
      <c r="B137" s="1" t="s">
        <v>13</v>
      </c>
      <c r="C137" s="1" t="s">
        <v>102</v>
      </c>
      <c r="D137" s="2" t="s">
        <v>12</v>
      </c>
      <c r="E137" s="1" t="s">
        <v>26</v>
      </c>
      <c r="F137" s="1" t="s">
        <v>9</v>
      </c>
    </row>
    <row r="138" spans="1:6" hidden="1" x14ac:dyDescent="0.25">
      <c r="A138" s="43" t="s">
        <v>29</v>
      </c>
      <c r="B138" s="1" t="s">
        <v>13</v>
      </c>
      <c r="C138" s="1" t="s">
        <v>147</v>
      </c>
      <c r="D138" s="2" t="s">
        <v>21</v>
      </c>
      <c r="E138" s="1" t="s">
        <v>8</v>
      </c>
      <c r="F138" s="1" t="s">
        <v>14</v>
      </c>
    </row>
    <row r="139" spans="1:6" hidden="1" x14ac:dyDescent="0.25">
      <c r="A139" s="43">
        <v>84</v>
      </c>
      <c r="B139" s="1" t="s">
        <v>13</v>
      </c>
      <c r="C139" s="1" t="s">
        <v>147</v>
      </c>
      <c r="D139" s="2" t="s">
        <v>12</v>
      </c>
      <c r="E139" s="1" t="s">
        <v>26</v>
      </c>
      <c r="F139" s="1" t="s">
        <v>14</v>
      </c>
    </row>
    <row r="140" spans="1:6" s="58" customFormat="1" hidden="1" x14ac:dyDescent="0.25">
      <c r="A140" s="43">
        <v>11</v>
      </c>
      <c r="B140" s="1" t="s">
        <v>13</v>
      </c>
      <c r="C140" s="1" t="s">
        <v>15</v>
      </c>
      <c r="D140" s="2" t="s">
        <v>21</v>
      </c>
      <c r="E140" s="1" t="s">
        <v>26</v>
      </c>
      <c r="F140" s="1" t="s">
        <v>9</v>
      </c>
    </row>
    <row r="141" spans="1:6" hidden="1" x14ac:dyDescent="0.25">
      <c r="A141" s="43">
        <v>43</v>
      </c>
      <c r="B141" s="1" t="s">
        <v>13</v>
      </c>
      <c r="C141" s="1" t="s">
        <v>15</v>
      </c>
      <c r="D141" s="2" t="s">
        <v>160</v>
      </c>
      <c r="E141" s="1" t="s">
        <v>26</v>
      </c>
      <c r="F141" s="1" t="s">
        <v>9</v>
      </c>
    </row>
    <row r="142" spans="1:6" x14ac:dyDescent="0.25">
      <c r="A142" s="55">
        <v>103</v>
      </c>
      <c r="B142" s="56" t="s">
        <v>6</v>
      </c>
      <c r="C142" s="52" t="s">
        <v>174</v>
      </c>
      <c r="D142" s="57" t="s">
        <v>162</v>
      </c>
      <c r="E142" s="56" t="s">
        <v>26</v>
      </c>
      <c r="F142" s="56" t="s">
        <v>14</v>
      </c>
    </row>
    <row r="143" spans="1:6" hidden="1" x14ac:dyDescent="0.25">
      <c r="A143" s="43">
        <v>119</v>
      </c>
      <c r="B143" s="1" t="s">
        <v>22</v>
      </c>
      <c r="C143" s="1" t="s">
        <v>148</v>
      </c>
      <c r="D143" s="2" t="s">
        <v>162</v>
      </c>
      <c r="E143" s="1" t="s">
        <v>26</v>
      </c>
      <c r="F143" s="1" t="s">
        <v>14</v>
      </c>
    </row>
    <row r="144" spans="1:6" hidden="1" x14ac:dyDescent="0.25">
      <c r="A144" s="43">
        <v>80</v>
      </c>
      <c r="B144" s="1" t="s">
        <v>22</v>
      </c>
      <c r="C144" s="1" t="s">
        <v>149</v>
      </c>
      <c r="D144" s="2" t="s">
        <v>162</v>
      </c>
      <c r="E144" s="1" t="s">
        <v>26</v>
      </c>
      <c r="F144" s="1" t="s">
        <v>14</v>
      </c>
    </row>
    <row r="145" spans="1:6" hidden="1" x14ac:dyDescent="0.25">
      <c r="A145" s="43">
        <v>15</v>
      </c>
      <c r="B145" s="1" t="s">
        <v>36</v>
      </c>
      <c r="C145" s="1" t="s">
        <v>109</v>
      </c>
      <c r="D145" s="2" t="s">
        <v>21</v>
      </c>
      <c r="E145" s="1" t="s">
        <v>8</v>
      </c>
      <c r="F145" s="1" t="s">
        <v>9</v>
      </c>
    </row>
    <row r="146" spans="1:6" hidden="1" x14ac:dyDescent="0.25">
      <c r="A146" s="43">
        <v>55</v>
      </c>
      <c r="B146" s="1" t="s">
        <v>10</v>
      </c>
      <c r="C146" s="1" t="s">
        <v>127</v>
      </c>
      <c r="D146" s="2" t="s">
        <v>21</v>
      </c>
      <c r="E146" s="1" t="s">
        <v>26</v>
      </c>
      <c r="F146" s="1" t="s">
        <v>9</v>
      </c>
    </row>
    <row r="147" spans="1:6" hidden="1" x14ac:dyDescent="0.25">
      <c r="A147" s="43">
        <v>115</v>
      </c>
      <c r="B147" s="1" t="s">
        <v>10</v>
      </c>
      <c r="C147" s="1" t="s">
        <v>127</v>
      </c>
      <c r="D147" s="2" t="s">
        <v>21</v>
      </c>
      <c r="E147" s="1" t="s">
        <v>26</v>
      </c>
      <c r="F147" s="1" t="s">
        <v>14</v>
      </c>
    </row>
    <row r="148" spans="1:6" hidden="1" x14ac:dyDescent="0.25">
      <c r="A148" s="43">
        <v>161</v>
      </c>
      <c r="B148" s="1" t="s">
        <v>42</v>
      </c>
      <c r="C148" s="1" t="s">
        <v>127</v>
      </c>
      <c r="D148" s="2" t="s">
        <v>21</v>
      </c>
      <c r="E148" s="1" t="s">
        <v>8</v>
      </c>
      <c r="F148" s="1" t="s">
        <v>9</v>
      </c>
    </row>
    <row r="149" spans="1:6" hidden="1" x14ac:dyDescent="0.25">
      <c r="A149" s="43">
        <v>128</v>
      </c>
      <c r="B149" s="1" t="s">
        <v>10</v>
      </c>
      <c r="C149" s="1" t="s">
        <v>127</v>
      </c>
      <c r="D149" s="2" t="s">
        <v>162</v>
      </c>
      <c r="E149" s="1" t="s">
        <v>26</v>
      </c>
      <c r="F149" s="1" t="s">
        <v>14</v>
      </c>
    </row>
    <row r="150" spans="1:6" hidden="1" x14ac:dyDescent="0.25">
      <c r="A150" s="43">
        <v>142</v>
      </c>
      <c r="B150" s="1" t="s">
        <v>10</v>
      </c>
      <c r="C150" s="1" t="s">
        <v>127</v>
      </c>
      <c r="D150" s="2" t="s">
        <v>12</v>
      </c>
      <c r="E150" s="1" t="s">
        <v>26</v>
      </c>
      <c r="F150" s="1" t="s">
        <v>14</v>
      </c>
    </row>
    <row r="151" spans="1:6" hidden="1" x14ac:dyDescent="0.25">
      <c r="A151" s="43">
        <v>69</v>
      </c>
      <c r="B151" s="1" t="s">
        <v>22</v>
      </c>
      <c r="C151" s="1" t="s">
        <v>127</v>
      </c>
      <c r="D151" s="2" t="s">
        <v>11</v>
      </c>
      <c r="E151" s="1" t="s">
        <v>26</v>
      </c>
      <c r="F151" s="1" t="s">
        <v>24</v>
      </c>
    </row>
    <row r="152" spans="1:6" hidden="1" x14ac:dyDescent="0.25">
      <c r="A152" s="43">
        <v>132</v>
      </c>
      <c r="B152" s="1" t="s">
        <v>22</v>
      </c>
      <c r="C152" s="1" t="s">
        <v>127</v>
      </c>
      <c r="D152" s="2" t="s">
        <v>11</v>
      </c>
      <c r="E152" s="1" t="s">
        <v>26</v>
      </c>
      <c r="F152" s="1" t="s">
        <v>14</v>
      </c>
    </row>
    <row r="153" spans="1:6" hidden="1" x14ac:dyDescent="0.25">
      <c r="A153" s="43">
        <v>130</v>
      </c>
      <c r="B153" s="1" t="s">
        <v>10</v>
      </c>
      <c r="C153" s="1" t="s">
        <v>127</v>
      </c>
      <c r="D153" s="2" t="s">
        <v>11</v>
      </c>
      <c r="E153" s="1" t="s">
        <v>26</v>
      </c>
      <c r="F153" s="1" t="s">
        <v>14</v>
      </c>
    </row>
    <row r="154" spans="1:6" hidden="1" x14ac:dyDescent="0.25">
      <c r="A154" s="43">
        <v>143</v>
      </c>
      <c r="B154" s="1" t="s">
        <v>22</v>
      </c>
      <c r="C154" s="1" t="s">
        <v>127</v>
      </c>
      <c r="D154" s="2" t="s">
        <v>11</v>
      </c>
      <c r="E154" s="1" t="s">
        <v>26</v>
      </c>
      <c r="F154" s="1" t="s">
        <v>14</v>
      </c>
    </row>
    <row r="155" spans="1:6" hidden="1" x14ac:dyDescent="0.25">
      <c r="A155" s="43">
        <v>138</v>
      </c>
      <c r="B155" s="1" t="s">
        <v>34</v>
      </c>
      <c r="C155" s="1" t="s">
        <v>127</v>
      </c>
      <c r="D155" s="2" t="s">
        <v>11</v>
      </c>
      <c r="E155" s="1" t="s">
        <v>8</v>
      </c>
      <c r="F155" s="1" t="s">
        <v>14</v>
      </c>
    </row>
    <row r="156" spans="1:6" hidden="1" x14ac:dyDescent="0.25">
      <c r="A156" s="43">
        <v>122</v>
      </c>
      <c r="B156" s="1"/>
      <c r="C156" s="1" t="s">
        <v>37</v>
      </c>
      <c r="D156" s="2" t="s">
        <v>19</v>
      </c>
      <c r="E156" s="1" t="s">
        <v>26</v>
      </c>
      <c r="F156" s="1" t="s">
        <v>14</v>
      </c>
    </row>
  </sheetData>
  <autoFilter ref="A1:F156">
    <filterColumn colId="1">
      <filters>
        <filter val="Bois du Quesnoy"/>
      </filters>
    </filterColumn>
  </autoFilter>
  <sortState ref="A2:F156">
    <sortCondition ref="C2:C156"/>
  </sortState>
  <dataValidations count="1">
    <dataValidation type="list" allowBlank="1" showInputMessage="1" showErrorMessage="1" sqref="B140:B156">
      <formula1>"Rive-Gauche , Bois du Quesnoy , Quartier du Fort , centre-ville"</formula1>
    </dataValidation>
  </dataValidation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activeCell="F14" sqref="F14"/>
    </sheetView>
  </sheetViews>
  <sheetFormatPr baseColWidth="10" defaultRowHeight="15" x14ac:dyDescent="0.25"/>
  <cols>
    <col min="3" max="3" width="28" customWidth="1"/>
    <col min="4" max="4" width="33.5703125" customWidth="1"/>
    <col min="5" max="5" width="57.140625" customWidth="1"/>
    <col min="10" max="10" width="62.7109375" customWidth="1"/>
  </cols>
  <sheetData>
    <row r="1" spans="1:10" x14ac:dyDescent="0.25">
      <c r="A1" s="4" t="s">
        <v>40</v>
      </c>
      <c r="B1" s="1" t="s">
        <v>58</v>
      </c>
      <c r="C1" s="3" t="s">
        <v>1</v>
      </c>
      <c r="D1" s="3" t="s">
        <v>2</v>
      </c>
      <c r="E1" s="3" t="s">
        <v>4</v>
      </c>
      <c r="F1" s="3" t="s">
        <v>3</v>
      </c>
      <c r="G1" s="3" t="s">
        <v>5</v>
      </c>
      <c r="J1" s="2" t="s">
        <v>38</v>
      </c>
    </row>
    <row r="2" spans="1:10" x14ac:dyDescent="0.25">
      <c r="A2" s="5">
        <v>41451</v>
      </c>
      <c r="B2" s="1">
        <v>144</v>
      </c>
      <c r="C2" s="1" t="s">
        <v>36</v>
      </c>
      <c r="D2" s="1" t="s">
        <v>41</v>
      </c>
      <c r="E2" s="2" t="s">
        <v>7</v>
      </c>
      <c r="F2" s="1" t="s">
        <v>8</v>
      </c>
      <c r="G2" s="1" t="s">
        <v>14</v>
      </c>
      <c r="J2" s="2" t="s">
        <v>12</v>
      </c>
    </row>
    <row r="3" spans="1:10" x14ac:dyDescent="0.25">
      <c r="A3" s="5">
        <v>41467</v>
      </c>
      <c r="B3" s="1">
        <v>145</v>
      </c>
      <c r="C3" s="1" t="s">
        <v>50</v>
      </c>
      <c r="D3" s="1" t="s">
        <v>53</v>
      </c>
      <c r="E3" s="2" t="s">
        <v>7</v>
      </c>
      <c r="F3" s="1" t="s">
        <v>8</v>
      </c>
      <c r="G3" s="1" t="s">
        <v>9</v>
      </c>
      <c r="J3" s="2" t="s">
        <v>11</v>
      </c>
    </row>
    <row r="4" spans="1:10" x14ac:dyDescent="0.25">
      <c r="A4" s="5">
        <v>41536</v>
      </c>
      <c r="B4" s="1">
        <v>146</v>
      </c>
      <c r="C4" s="1" t="s">
        <v>42</v>
      </c>
      <c r="D4" s="1" t="s">
        <v>44</v>
      </c>
      <c r="E4" s="2" t="s">
        <v>38</v>
      </c>
      <c r="F4" s="1" t="s">
        <v>26</v>
      </c>
      <c r="G4" s="1" t="s">
        <v>9</v>
      </c>
      <c r="J4" s="2" t="s">
        <v>7</v>
      </c>
    </row>
    <row r="5" spans="1:10" ht="30" x14ac:dyDescent="0.25">
      <c r="A5" s="5">
        <v>41536</v>
      </c>
      <c r="B5" s="1">
        <v>147</v>
      </c>
      <c r="C5" s="1" t="s">
        <v>42</v>
      </c>
      <c r="D5" s="1" t="s">
        <v>49</v>
      </c>
      <c r="E5" s="2" t="s">
        <v>11</v>
      </c>
      <c r="F5" s="1" t="s">
        <v>8</v>
      </c>
      <c r="G5" s="1" t="s">
        <v>14</v>
      </c>
      <c r="J5" s="2" t="s">
        <v>16</v>
      </c>
    </row>
    <row r="6" spans="1:10" x14ac:dyDescent="0.25">
      <c r="A6" s="5">
        <v>41538</v>
      </c>
      <c r="B6" s="1">
        <v>148</v>
      </c>
      <c r="C6" s="1" t="s">
        <v>50</v>
      </c>
      <c r="D6" s="1" t="s">
        <v>51</v>
      </c>
      <c r="E6" s="2" t="s">
        <v>38</v>
      </c>
      <c r="F6" s="1" t="s">
        <v>26</v>
      </c>
      <c r="G6" s="1" t="s">
        <v>9</v>
      </c>
      <c r="J6" s="6" t="s">
        <v>19</v>
      </c>
    </row>
    <row r="7" spans="1:10" x14ac:dyDescent="0.25">
      <c r="A7" s="5">
        <v>41543</v>
      </c>
      <c r="B7" s="1">
        <v>149</v>
      </c>
      <c r="C7" s="1" t="s">
        <v>36</v>
      </c>
      <c r="D7" s="1" t="s">
        <v>46</v>
      </c>
      <c r="E7" s="2" t="s">
        <v>16</v>
      </c>
      <c r="F7" s="1" t="s">
        <v>26</v>
      </c>
      <c r="G7" s="1" t="s">
        <v>9</v>
      </c>
      <c r="J7" s="7"/>
    </row>
    <row r="8" spans="1:10" x14ac:dyDescent="0.25">
      <c r="A8" s="5">
        <v>41543</v>
      </c>
      <c r="B8" s="1">
        <v>150</v>
      </c>
      <c r="C8" s="1" t="s">
        <v>42</v>
      </c>
      <c r="D8" s="1" t="s">
        <v>47</v>
      </c>
      <c r="E8" s="2" t="s">
        <v>7</v>
      </c>
      <c r="F8" s="1" t="s">
        <v>8</v>
      </c>
      <c r="G8" s="1" t="s">
        <v>14</v>
      </c>
      <c r="J8" s="7"/>
    </row>
    <row r="9" spans="1:10" x14ac:dyDescent="0.25">
      <c r="A9" s="5">
        <v>41543</v>
      </c>
      <c r="B9" s="1">
        <v>151</v>
      </c>
      <c r="C9" s="1" t="s">
        <v>50</v>
      </c>
      <c r="D9" s="1" t="s">
        <v>51</v>
      </c>
      <c r="E9" s="2" t="s">
        <v>38</v>
      </c>
      <c r="F9" s="1" t="s">
        <v>26</v>
      </c>
      <c r="G9" s="1" t="s">
        <v>14</v>
      </c>
      <c r="J9" s="8"/>
    </row>
    <row r="10" spans="1:10" x14ac:dyDescent="0.25">
      <c r="A10" s="5">
        <v>41543</v>
      </c>
      <c r="B10" s="1">
        <v>152</v>
      </c>
      <c r="C10" s="1" t="s">
        <v>50</v>
      </c>
      <c r="D10" s="1" t="s">
        <v>52</v>
      </c>
      <c r="E10" s="2" t="s">
        <v>16</v>
      </c>
      <c r="F10" s="1" t="s">
        <v>26</v>
      </c>
      <c r="G10" s="1" t="s">
        <v>14</v>
      </c>
      <c r="J10" s="8"/>
    </row>
    <row r="11" spans="1:10" x14ac:dyDescent="0.25">
      <c r="A11" s="5">
        <v>41544</v>
      </c>
      <c r="B11" s="1">
        <v>153</v>
      </c>
      <c r="C11" s="1" t="s">
        <v>42</v>
      </c>
      <c r="D11" s="1" t="s">
        <v>48</v>
      </c>
      <c r="E11" s="2" t="s">
        <v>16</v>
      </c>
      <c r="F11" s="1" t="s">
        <v>26</v>
      </c>
      <c r="G11" s="1" t="s">
        <v>14</v>
      </c>
      <c r="J11" s="8"/>
    </row>
    <row r="12" spans="1:10" x14ac:dyDescent="0.25">
      <c r="A12" s="5">
        <v>41544</v>
      </c>
      <c r="B12" s="1">
        <v>154</v>
      </c>
      <c r="C12" s="1" t="s">
        <v>50</v>
      </c>
      <c r="D12" s="1" t="s">
        <v>18</v>
      </c>
      <c r="E12" s="2" t="s">
        <v>7</v>
      </c>
      <c r="F12" s="1" t="s">
        <v>8</v>
      </c>
      <c r="G12" s="1" t="s">
        <v>14</v>
      </c>
      <c r="J12" s="7"/>
    </row>
    <row r="13" spans="1:10" x14ac:dyDescent="0.25">
      <c r="A13" s="5">
        <v>41548</v>
      </c>
      <c r="B13" s="1">
        <v>155</v>
      </c>
      <c r="C13" s="1" t="s">
        <v>54</v>
      </c>
      <c r="D13" s="1" t="s">
        <v>57</v>
      </c>
      <c r="E13" s="2" t="s">
        <v>38</v>
      </c>
      <c r="F13" s="1" t="s">
        <v>8</v>
      </c>
      <c r="G13" s="1" t="s">
        <v>14</v>
      </c>
      <c r="J13" s="7"/>
    </row>
    <row r="14" spans="1:10" x14ac:dyDescent="0.25">
      <c r="A14" s="5">
        <v>41551</v>
      </c>
      <c r="B14" s="1">
        <v>156</v>
      </c>
      <c r="C14" s="1" t="s">
        <v>42</v>
      </c>
      <c r="D14" s="1" t="s">
        <v>48</v>
      </c>
      <c r="E14" s="2" t="s">
        <v>38</v>
      </c>
      <c r="F14" s="1" t="s">
        <v>26</v>
      </c>
      <c r="G14" s="1" t="s">
        <v>14</v>
      </c>
      <c r="J14" s="7"/>
    </row>
    <row r="15" spans="1:10" x14ac:dyDescent="0.25">
      <c r="A15" s="5">
        <v>41554</v>
      </c>
      <c r="B15" s="1">
        <v>157</v>
      </c>
      <c r="C15" s="1" t="s">
        <v>54</v>
      </c>
      <c r="D15" s="1" t="s">
        <v>56</v>
      </c>
      <c r="E15" s="2" t="s">
        <v>12</v>
      </c>
      <c r="F15" s="1" t="s">
        <v>8</v>
      </c>
      <c r="G15" s="1" t="s">
        <v>14</v>
      </c>
      <c r="J15" s="7"/>
    </row>
    <row r="16" spans="1:10" x14ac:dyDescent="0.25">
      <c r="A16" s="5">
        <v>41555</v>
      </c>
      <c r="B16" s="1">
        <v>158</v>
      </c>
      <c r="C16" s="1" t="s">
        <v>36</v>
      </c>
      <c r="D16" s="1" t="s">
        <v>45</v>
      </c>
      <c r="E16" s="2" t="s">
        <v>38</v>
      </c>
      <c r="F16" s="1" t="s">
        <v>26</v>
      </c>
      <c r="G16" s="1" t="s">
        <v>9</v>
      </c>
      <c r="J16" s="8"/>
    </row>
    <row r="17" spans="1:7" x14ac:dyDescent="0.25">
      <c r="A17" s="5">
        <v>41555</v>
      </c>
      <c r="B17" s="1">
        <v>159</v>
      </c>
      <c r="C17" s="1" t="s">
        <v>54</v>
      </c>
      <c r="D17" s="1" t="s">
        <v>55</v>
      </c>
      <c r="E17" s="2" t="s">
        <v>12</v>
      </c>
      <c r="F17" s="1" t="s">
        <v>8</v>
      </c>
      <c r="G17" s="1" t="s">
        <v>14</v>
      </c>
    </row>
    <row r="18" spans="1:7" x14ac:dyDescent="0.25">
      <c r="A18" s="5">
        <v>41555</v>
      </c>
      <c r="B18" s="1">
        <v>160</v>
      </c>
      <c r="C18" s="1" t="s">
        <v>54</v>
      </c>
      <c r="D18" s="1" t="s">
        <v>17</v>
      </c>
      <c r="E18" s="2" t="s">
        <v>16</v>
      </c>
      <c r="F18" s="1" t="s">
        <v>8</v>
      </c>
      <c r="G18" s="1" t="s">
        <v>14</v>
      </c>
    </row>
    <row r="19" spans="1:7" x14ac:dyDescent="0.25">
      <c r="A19" s="5">
        <v>41566</v>
      </c>
      <c r="B19" s="1">
        <v>161</v>
      </c>
      <c r="C19" s="1" t="s">
        <v>42</v>
      </c>
      <c r="D19" s="1" t="s">
        <v>43</v>
      </c>
      <c r="E19" s="2" t="s">
        <v>38</v>
      </c>
      <c r="F19" s="1" t="s">
        <v>8</v>
      </c>
      <c r="G19" s="1" t="s">
        <v>9</v>
      </c>
    </row>
    <row r="20" spans="1:7" x14ac:dyDescent="0.25">
      <c r="A20" s="5">
        <v>41569</v>
      </c>
      <c r="B20" s="1">
        <v>162</v>
      </c>
      <c r="C20" s="1" t="s">
        <v>50</v>
      </c>
      <c r="D20" s="1" t="s">
        <v>51</v>
      </c>
      <c r="E20" s="2" t="s">
        <v>38</v>
      </c>
      <c r="F20" s="1" t="s">
        <v>8</v>
      </c>
      <c r="G20" s="1" t="s">
        <v>9</v>
      </c>
    </row>
    <row r="21" spans="1:7" x14ac:dyDescent="0.25">
      <c r="A21" s="5">
        <v>41569</v>
      </c>
      <c r="B21" s="1">
        <v>163</v>
      </c>
      <c r="C21" s="1" t="s">
        <v>50</v>
      </c>
      <c r="D21" s="1" t="s">
        <v>51</v>
      </c>
      <c r="E21" s="2" t="s">
        <v>38</v>
      </c>
      <c r="F21" s="1" t="s">
        <v>8</v>
      </c>
      <c r="G21" s="1" t="s">
        <v>14</v>
      </c>
    </row>
  </sheetData>
  <sortState ref="B2:G21">
    <sortCondition ref="B1"/>
  </sortState>
  <dataValidations count="2">
    <dataValidation type="list" allowBlank="1" showInputMessage="1" showErrorMessage="1" sqref="C1:C1048576">
      <formula1>"Rive-Gauche , Bois du Quesnoy , Quartier du Fort , centre-ville"</formula1>
    </dataValidation>
    <dataValidation type="custom" allowBlank="1" showInputMessage="1" showErrorMessage="1" sqref="E1 E22:E1048576">
      <formula1>"Stationnement et voiture / Gestion locative/sociale / PA et SAV des constructions et réhabilitations ; Entretien espaces verts/luminaires/voiries/résidences ; Intranquillité publique/Incivilités/Dégradations/Insécurité ; Tri sélectif et déchets"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U58"/>
  <sheetViews>
    <sheetView showGridLines="0" tabSelected="1" topLeftCell="E41" zoomScale="85" zoomScaleNormal="85" workbookViewId="0">
      <selection activeCell="I72" sqref="I72"/>
    </sheetView>
  </sheetViews>
  <sheetFormatPr baseColWidth="10" defaultRowHeight="15" x14ac:dyDescent="0.25"/>
  <cols>
    <col min="1" max="1" width="16.140625" customWidth="1"/>
    <col min="2" max="2" width="20.7109375" customWidth="1"/>
    <col min="3" max="3" width="24.140625" customWidth="1"/>
    <col min="4" max="4" width="42.28515625" customWidth="1"/>
    <col min="5" max="5" width="9.42578125" customWidth="1"/>
    <col min="6" max="6" width="12.7109375" customWidth="1"/>
    <col min="7" max="7" width="13.85546875" customWidth="1"/>
    <col min="8" max="8" width="14" customWidth="1"/>
    <col min="9" max="9" width="13" customWidth="1"/>
    <col min="10" max="10" width="14" customWidth="1"/>
    <col min="11" max="11" width="13" customWidth="1"/>
    <col min="12" max="12" width="14" customWidth="1"/>
    <col min="13" max="13" width="14.28515625" customWidth="1"/>
    <col min="14" max="14" width="15.42578125" customWidth="1"/>
    <col min="15" max="15" width="13" customWidth="1"/>
    <col min="16" max="16" width="14" customWidth="1"/>
    <col min="17" max="17" width="13" customWidth="1"/>
    <col min="18" max="18" width="14" customWidth="1"/>
    <col min="20" max="20" width="3.5703125" bestFit="1" customWidth="1"/>
    <col min="21" max="21" width="59.42578125" bestFit="1" customWidth="1"/>
  </cols>
  <sheetData>
    <row r="1" spans="1:18" x14ac:dyDescent="0.25">
      <c r="B1" s="64" t="s">
        <v>61</v>
      </c>
      <c r="C1" s="64"/>
      <c r="D1" s="64"/>
      <c r="E1" s="64"/>
      <c r="F1" s="64"/>
      <c r="G1" s="9"/>
      <c r="H1" s="64" t="s">
        <v>62</v>
      </c>
      <c r="I1" s="64"/>
      <c r="J1" s="64"/>
      <c r="K1" s="64"/>
      <c r="L1" s="64"/>
      <c r="M1" s="64"/>
      <c r="N1" s="64"/>
      <c r="O1" s="64"/>
      <c r="P1" s="64"/>
      <c r="Q1" s="64"/>
      <c r="R1" s="64"/>
    </row>
    <row r="2" spans="1:18" ht="50.25" customHeight="1" x14ac:dyDescent="0.25">
      <c r="A2" s="59" t="s">
        <v>63</v>
      </c>
      <c r="B2" s="10"/>
      <c r="C2" s="65" t="s">
        <v>64</v>
      </c>
      <c r="D2" s="67" t="s">
        <v>65</v>
      </c>
      <c r="E2" s="67" t="s">
        <v>66</v>
      </c>
      <c r="F2" s="67" t="s">
        <v>67</v>
      </c>
      <c r="G2" s="70" t="s">
        <v>68</v>
      </c>
      <c r="H2" s="71"/>
      <c r="I2" s="70" t="s">
        <v>69</v>
      </c>
      <c r="J2" s="71"/>
      <c r="K2" s="72" t="s">
        <v>161</v>
      </c>
      <c r="L2" s="73"/>
      <c r="M2" s="70" t="s">
        <v>70</v>
      </c>
      <c r="N2" s="71"/>
      <c r="O2" s="61" t="s">
        <v>71</v>
      </c>
      <c r="P2" s="62"/>
      <c r="Q2" s="63" t="s">
        <v>72</v>
      </c>
      <c r="R2" s="63"/>
    </row>
    <row r="3" spans="1:18" ht="24.75" customHeight="1" x14ac:dyDescent="0.25">
      <c r="A3" s="60" t="s">
        <v>176</v>
      </c>
      <c r="B3" s="11" t="s">
        <v>73</v>
      </c>
      <c r="C3" s="66"/>
      <c r="D3" s="68"/>
      <c r="E3" s="68"/>
      <c r="F3" s="69"/>
      <c r="G3" s="12" t="s">
        <v>74</v>
      </c>
      <c r="H3" s="13" t="s">
        <v>75</v>
      </c>
      <c r="I3" s="14" t="s">
        <v>74</v>
      </c>
      <c r="J3" s="15" t="s">
        <v>75</v>
      </c>
      <c r="K3" s="16" t="s">
        <v>74</v>
      </c>
      <c r="L3" s="17" t="s">
        <v>75</v>
      </c>
      <c r="M3" s="18" t="s">
        <v>74</v>
      </c>
      <c r="N3" s="19" t="s">
        <v>75</v>
      </c>
      <c r="O3" s="20" t="s">
        <v>74</v>
      </c>
      <c r="P3" s="21" t="s">
        <v>75</v>
      </c>
      <c r="Q3" s="22" t="s">
        <v>74</v>
      </c>
      <c r="R3" s="23" t="s">
        <v>75</v>
      </c>
    </row>
    <row r="4" spans="1:18" hidden="1" x14ac:dyDescent="0.25">
      <c r="A4" s="24" t="s">
        <v>177</v>
      </c>
      <c r="B4" s="24" t="s">
        <v>76</v>
      </c>
      <c r="C4" s="25" t="s">
        <v>77</v>
      </c>
      <c r="D4" s="24" t="s">
        <v>78</v>
      </c>
      <c r="E4" s="24" t="s">
        <v>79</v>
      </c>
      <c r="F4" s="26">
        <v>20</v>
      </c>
      <c r="G4" s="28">
        <f>COUNTIFS(Feuil1!$C$2:$C$1001, "*Gambetta*", Feuil1!$D$2:$D$1001, "*Tri sélectif et déchets*",Feuil1!$E$2:$E$1001,"faible")</f>
        <v>0</v>
      </c>
      <c r="H4" s="28">
        <f>COUNTIFS(Feuil1!$C$2:$C$1001, "*Gambetta*", Feuil1!$D$2:$D$1001, "*Tri sélectif et déchets*",Feuil1!$E$2:$E$1001,"élevée")</f>
        <v>0</v>
      </c>
      <c r="I4" s="28">
        <f>COUNTIFS(Feuil1!$C$2:$C$1001, "*Gambetta*", Feuil1!$D$2:$D$1001, "*Stationnement et voitures*",Feuil1!$E$2:$E$1001,"faible")</f>
        <v>0</v>
      </c>
      <c r="J4" s="28">
        <f>COUNTIFS(Feuil1!$C$2:$C$1001, "*Gambetta*", Feuil1!$D$2:$D$1001, "*Stationnement et voitures*",Feuil1!$E$2:$E$1001,"élevée")</f>
        <v>0</v>
      </c>
      <c r="K4" s="28">
        <f>COUNTIFS(Feuil1!$C$2:$C$1001, "*Gambetta*", Feuil1!$D$2:$D$1001, "*Intranquilité publique/Incivilités/Dégradations/Insécurité*",Feuil1!$E$2:$E$1001,"faible")</f>
        <v>0</v>
      </c>
      <c r="L4" s="28">
        <f>COUNTIFS(Feuil1!$C$2:$C$1001, "*Gambetta*", Feuil1!$D$2:$D$1001, "*Intranquilité publique/Incivilités/Dégradations/Insécurité*",Feuil1!$E$2:$E$1001,"élevée")</f>
        <v>0</v>
      </c>
      <c r="M4" s="28">
        <f>COUNTIFS(Feuil1!$C$2:$C$1001, "*Gambetta*", Feuil1!$D$2:$D$1001, "*Entretien espaces verts/luminaires/voiries/résidences*",Feuil1!$E$2:$E$1001,"faible")</f>
        <v>0</v>
      </c>
      <c r="N4" s="28">
        <f>COUNTIFS(Feuil1!$C$2:$C$1001, "*Gambetta*", Feuil1!$D$2:$D$1001, "*Entretien espaces verts/luminaires/voiries/résidences*",Feuil1!$E$2:$E$1001,"élevée")</f>
        <v>0</v>
      </c>
      <c r="O4" s="28">
        <f>COUNTIFS(Feuil1!$C$2:$C$1001, "*Gambetta*", Feuil1!$D$2:$D$1001, "*Parfait achèvement et SAV des constructions et réhabilitations*",Feuil1!$E$2:$E$1001,"faible")</f>
        <v>0</v>
      </c>
      <c r="P4" s="28">
        <f>COUNTIFS(Feuil1!$C$2:$C$1001, "*Gambetta*", Feuil1!$D$2:$D$1001, "*Parfait achèvement et SAV des constructions et réhabilitations*",Feuil1!$E$2:$E$1001,"élevée")</f>
        <v>0</v>
      </c>
      <c r="Q4" s="28">
        <f>COUNTIFS(Feuil1!$C$2:$C$1001, "*Gambetta*", Feuil1!$D$2:$D$1001, "*Gestion locative/humaine/sociale*",Feuil1!$E$2:$E$1001,"faible")</f>
        <v>0</v>
      </c>
      <c r="R4" s="28">
        <f>COUNTIFS(Feuil1!$C$2:$C$1001, "*Gambetta*", Feuil1!$D$2:$D$1001, "*Gestion locative/humaine/sociale*",Feuil1!$E$2:$E$1001,"élevée")</f>
        <v>0</v>
      </c>
    </row>
    <row r="5" spans="1:18" hidden="1" x14ac:dyDescent="0.25">
      <c r="A5" s="24" t="s">
        <v>177</v>
      </c>
      <c r="B5" s="24" t="s">
        <v>76</v>
      </c>
      <c r="C5" s="25" t="s">
        <v>77</v>
      </c>
      <c r="D5" s="24" t="s">
        <v>80</v>
      </c>
      <c r="E5" s="24" t="s">
        <v>81</v>
      </c>
      <c r="F5" s="26">
        <v>24</v>
      </c>
      <c r="G5" s="28">
        <f>COUNTIFS(Feuil1!$C$2:$C$1001, "*Foch*", Feuil1!$D$2:$D$1001, "*Tri sélectif et déchets*",Feuil1!$E$2:$E$1001, "faible")</f>
        <v>0</v>
      </c>
      <c r="H5" s="28">
        <f>COUNTIFS(Feuil1!$C$2:$C$1001, "*Foch*", Feuil1!$D$2:$D$1001, "*Tri sélectif et déchets*",Feuil1!$E$2:$E$1001,"élevée")</f>
        <v>0</v>
      </c>
      <c r="I5" s="28">
        <f>COUNTIFS(Feuil1!$C$2:$C$1001, "*Foch*", Feuil1!$D$2:$D$1001, "*Stationnement et voitures*",Feuil1!$E$2:$E$1001,"faible")</f>
        <v>0</v>
      </c>
      <c r="J5" s="28">
        <f>COUNTIFS(Feuil1!$C$2:$C$1001, "*Foch*", Feuil1!$D$2:$D$1001, "*Stationnement et voitures*",Feuil1!$E$2:$E$1001,"élevée")</f>
        <v>0</v>
      </c>
      <c r="K5" s="28">
        <f>COUNTIFS(Feuil1!$C$2:$C$1001, "*Foch*", Feuil1!$D$2:$D$1001, "*Intranquilité publique/Incivilités/Dégradations/Insécurité*",Feuil1!$E$2:$E$1001,"faible")</f>
        <v>0</v>
      </c>
      <c r="L5" s="28">
        <f>COUNTIFS(Feuil1!$C$2:$C$1001, "*Foch*", Feuil1!$D$2:$D$1001, "*Intranquilité publique/Incivilités/Dégradations/Insécurité*",Feuil1!$E$2:$E$1001,"élevée")</f>
        <v>0</v>
      </c>
      <c r="M5" s="28">
        <f>COUNTIFS(Feuil1!$C$2:$C$1001, "*Foch*", Feuil1!$D$2:$D$1001, "*Entretien espaces verts/luminaires/voiries/résidences*",Feuil1!$E$2:$E$1001,"faible")</f>
        <v>1</v>
      </c>
      <c r="N5" s="28">
        <f>COUNTIFS(Feuil1!$C$2:$C$1001, "*Foch*", Feuil1!$D$2:$D$1001, "*Entretien espaces verts/luminaires/voiries/résidences*",Feuil1!$E$2:$E$1001,"élevée")</f>
        <v>0</v>
      </c>
      <c r="O5" s="28">
        <f>COUNTIFS(Feuil1!$C$2:$C$1001, "*Foch*", Feuil1!$D$2:$D$1001, "*Parfait achèvement et SAV des constructions et réhabilitations*",Feuil1!$E$2:$E$1001,"faible")</f>
        <v>0</v>
      </c>
      <c r="P5" s="28">
        <f>COUNTIFS(Feuil1!$C$2:$C$1001, "*Foch*", Feuil1!$D$2:$D$1001, "*Parfait achèvement et SAV des constructions et réhabilitations*",Feuil1!$E$2:$E$1001,"élevée")</f>
        <v>0</v>
      </c>
      <c r="Q5" s="28">
        <f>COUNTIFS(Feuil1!$C$2:$C$1001, "*Foch*", Feuil1!$D$2:$D$1001, "*Gestion locative/humaine/sociale*",Feuil1!$E$2:$E$1001,"faible")</f>
        <v>0</v>
      </c>
      <c r="R5" s="28">
        <f>COUNTIFS(Feuil1!$C$2:$C$1001, "*Foch*", Feuil1!$D$2:$D$1001, "*Gestion locative/humaine/sociale*",Feuil1!$E$2:$E$1001,"élevée")</f>
        <v>0</v>
      </c>
    </row>
    <row r="6" spans="1:18" x14ac:dyDescent="0.25">
      <c r="A6" s="24" t="s">
        <v>50</v>
      </c>
      <c r="B6" s="24" t="s">
        <v>82</v>
      </c>
      <c r="C6" s="25" t="s">
        <v>83</v>
      </c>
      <c r="D6" s="27" t="s">
        <v>143</v>
      </c>
      <c r="E6" s="24" t="s">
        <v>84</v>
      </c>
      <c r="F6" s="26">
        <v>16</v>
      </c>
      <c r="G6" s="28">
        <f>COUNTIFS(Feuil1!$C$2:$C$1001, "*Moulin à vent*", Feuil1!$D$2:$D$1001, "*Tri sélectif et déchets*",Feuil1!$E$2:$E$1001,"faible")</f>
        <v>0</v>
      </c>
      <c r="H6" s="28">
        <f>COUNTIFS(Feuil1!$C$2:$C$1001, "*Moulin à vent*", Feuil1!$D$2:$D$1001, "*Tri sélectif et déchets*",Feuil1!$E$2:$E$1001,"élevée")</f>
        <v>0</v>
      </c>
      <c r="I6" s="28">
        <f>COUNTIFS(Feuil1!$C$2:$C$1001, "*Moulin à vent*", Feuil1!$D$2:$D$1001, "*Stationnement et voitures*",Feuil1!$E$2:$E$1001,"faible")</f>
        <v>0</v>
      </c>
      <c r="J6" s="28">
        <f>COUNTIFS(Feuil1!$C$2:$C$1001, "*Moulin à vent*", Feuil1!$D$2:$D$1001, "*Stationnement et voitures*",Feuil1!$E$2:$E$1001,"élevée")</f>
        <v>0</v>
      </c>
      <c r="K6" s="28">
        <f>COUNTIFS(Feuil1!$C$2:$C$1001, "*Moulin à vent*", Feuil1!$D$2:$D$1001, "*Intranquilité publique/Incivilités/Dégradations/Insécurité*",Feuil1!$E$2:$E$1001,"faible")</f>
        <v>0</v>
      </c>
      <c r="L6" s="28">
        <f>COUNTIFS(Feuil1!$C$2:$C$1001, "*Moulin à vent*", Feuil1!$D$2:$D$1001, "*Intranquilité publique/Incivilités/Dégradations/Insécurité*",Feuil1!$E$2:$E$1001,"élevée")</f>
        <v>0</v>
      </c>
      <c r="M6" s="28">
        <f>COUNTIFS(Feuil1!$C$2:$C$1001, "*Moulin à vent*", Feuil1!$D$2:$D$1001, "*Entretien espaces verts/luminaires/voiries/résidences*",Feuil1!$E$2:$E$1001,"faible")</f>
        <v>0</v>
      </c>
      <c r="N6" s="28">
        <f>COUNTIFS(Feuil1!$C$2:$C$1001, "*Moulin à vent*", Feuil1!$D$2:$D$1001, "*Entretien espaces verts/luminaires/voiries/résidences*",Feuil1!$E$2:$E$1001,"élevée")</f>
        <v>0</v>
      </c>
      <c r="O6" s="28">
        <f>COUNTIFS(Feuil1!$C$2:$C$1001, "*Moulin à vent*", Feuil1!$D$2:$D$1001, "*Parfait achèvement et SAV des constructions et réhabilitations*",Feuil1!$E$2:$E$1001,"faible")</f>
        <v>1</v>
      </c>
      <c r="P6" s="28">
        <f>COUNTIFS(Feuil1!$C$2:$C$1001, "*Moulin à vent*", Feuil1!$D$2:$D$1001, "*Parfait achèvement et SAV des constructions et réhabilitations*",Feuil1!$E$2:$E$1001,"élevée")</f>
        <v>0</v>
      </c>
      <c r="Q6" s="28">
        <f>COUNTIFS(Feuil1!$C$2:$C$1001, "*Moulin à vent*", Feuil1!$D$2:$D$1001, "*Gestion locative/humaine/sociale*",Feuil1!$E$2:$E$1001,"faible")</f>
        <v>0</v>
      </c>
      <c r="R6" s="28">
        <f>COUNTIFS(Feuil1!$C$2:$C$1001, "*Moulin à vent*", Feuil1!$D$2:$D$1001, "*Gestion locative/humaine/sociale*",Feuil1!$E$2:$E$1001,"élevée")</f>
        <v>1</v>
      </c>
    </row>
    <row r="7" spans="1:18" ht="25.5" hidden="1" x14ac:dyDescent="0.25">
      <c r="A7" s="24" t="s">
        <v>10</v>
      </c>
      <c r="B7" s="24" t="s">
        <v>82</v>
      </c>
      <c r="C7" s="25" t="s">
        <v>77</v>
      </c>
      <c r="D7" s="27" t="s">
        <v>85</v>
      </c>
      <c r="E7" s="24" t="s">
        <v>86</v>
      </c>
      <c r="F7" s="26">
        <v>48</v>
      </c>
      <c r="G7" s="28">
        <f>COUNTIFS(Feuil1!$C$2:$C$1001, "*Huguette et Michel Fichaux*", Feuil1!$D$2:$D$1001, "*Tri sélectif et déchets*",Feuil1!$E$2:$E$1001,"faible")</f>
        <v>1</v>
      </c>
      <c r="H7" s="28">
        <f>COUNTIFS(Feuil1!$C$2:$C$1001, "*Huguette et Michel Fichaux*", Feuil1!$D$2:$D$1001, "*Tri sélectif et déchets*",Feuil1!$E$2:$E$1001,"élevée")</f>
        <v>0</v>
      </c>
      <c r="I7" s="28">
        <f>COUNTIFS(Feuil1!$C$2:$C$1001, "*Huguette et Michel Fichaux*", Feuil1!$D$2:$D$1001, "*Stationnement et voitures*",Feuil1!$E$2:$E$1001,"faible")</f>
        <v>4</v>
      </c>
      <c r="J7" s="28">
        <f>COUNTIFS(Feuil1!$C$2:$C$1001, "*Huguette et Michel Fichaux*", Feuil1!$D$2:$D$1001, "*Stationnement et voitures*",Feuil1!$E$2:$E$1001,"élevée")</f>
        <v>0</v>
      </c>
      <c r="K7" s="28">
        <f>COUNTIFS(Feuil1!$C$2:$C$1001, "*Huguette et Michel Fichaux*", Feuil1!$D$2:$D$1001, "*Intranquilité publique/Incivilités/Dégradations/Insécurité*",Feuil1!$E$2:$E$1001,"faible")</f>
        <v>0</v>
      </c>
      <c r="L7" s="28">
        <f>COUNTIFS(Feuil1!$C$2:$C$1001, "*Huguette et Michel Fichaux*", Feuil1!$D$2:$D$1001, "*Intranquilité publique/Incivilités/Dégradations/Insécurité*",Feuil1!$E$2:$E$1001,"élevée")</f>
        <v>0</v>
      </c>
      <c r="M7" s="28">
        <f>COUNTIFS(Feuil1!$C$2:$C$1001, "*Huguette et Michel Fichaux*", Feuil1!$D$2:$D$1001, "*Entretien espaces verts/luminaires/voiries/résidences*",Feuil1!$E$2:$E$1001,"faible")</f>
        <v>15</v>
      </c>
      <c r="N7" s="28">
        <f>COUNTIFS(Feuil1!$C$2:$C$1001, "*Huguette et Michel Fichaux*", Feuil1!$D$2:$D$1001, "*Entretien espaces verts/luminaires/voiries/résidences*",Feuil1!$E$2:$E$1001,"élevée")</f>
        <v>0</v>
      </c>
      <c r="O7" s="28">
        <f>COUNTIFS(Feuil1!$C$2:$C$1001, "*Huguette et Michel Fichaux*", Feuil1!$D$2:$D$1001, "*Parfait achèvement et SAV des constructions et réhabilitations*",Feuil1!$E$2:$E$1001,"faible")</f>
        <v>2</v>
      </c>
      <c r="P7" s="28">
        <f>COUNTIFS(Feuil1!$C$2:$C$1001, "*Huguette et Michel Fichaux*", Feuil1!$D$2:$D$1001, "*Parfait achèvement et SAV des constructions et réhabilitations*",Feuil1!$E$2:$E$1001,"élevée")</f>
        <v>0</v>
      </c>
      <c r="Q7" s="28">
        <f>COUNTIFS(Feuil1!$C$2:$C$1001, "*Huguette et Michel Fichaux*", Feuil1!$D$2:$D$1001, "*Gestion locative/humaine/sociale*",Feuil1!$E$2:$E$1001,"faible")</f>
        <v>2</v>
      </c>
      <c r="R7" s="28">
        <f>COUNTIFS(Feuil1!$C$2:$C$1001, "*Huguette et Michel Fichaux*", Feuil1!$D$2:$D$1001, "*Gestion locative/humaine/sociale*",Feuil1!$E$2:$E$1001,"élevée")</f>
        <v>0</v>
      </c>
    </row>
    <row r="8" spans="1:18" hidden="1" x14ac:dyDescent="0.25">
      <c r="A8" s="29" t="s">
        <v>54</v>
      </c>
      <c r="B8" s="29" t="s">
        <v>76</v>
      </c>
      <c r="C8" s="30" t="s">
        <v>6</v>
      </c>
      <c r="D8" s="31" t="s">
        <v>87</v>
      </c>
      <c r="E8" s="31" t="s">
        <v>88</v>
      </c>
      <c r="F8" s="32">
        <v>12</v>
      </c>
      <c r="G8" s="28">
        <f>COUNTIFS(Feuil1!$C$2:$C$1001, "*Petit bois*", Feuil1!$D$2:$D$1001, "*Tri sélectif et déchets*",Feuil1!$E$2:$E$1001,"faible")</f>
        <v>1</v>
      </c>
      <c r="H8" s="28">
        <f>COUNTIFS(Feuil1!$C$2:$C$1001, "*Petit bois*", Feuil1!$D$2:$D$1001, "*Tri sélectif et déchets*",Feuil1!$E$2:$E$1001,"élevée")</f>
        <v>0</v>
      </c>
      <c r="I8" s="28">
        <f>COUNTIFS(Feuil1!$C$2:$C$1001, "*Petit bois*", Feuil1!$D$2:$D$1001, "*Stationnement et voitures*",Feuil1!$E$2:$E$1001,"faible")</f>
        <v>0</v>
      </c>
      <c r="J8" s="28">
        <f>COUNTIFS(Feuil1!$C$2:$C$1001, "*Petit bois*", Feuil1!$D$2:$D$1001, "*Stationnement et voitures*",Feuil1!$E$2:$E$1001,"élevée")</f>
        <v>0</v>
      </c>
      <c r="K8" s="28">
        <f>COUNTIFS(Feuil1!$C$2:$C$1001, "*Petit bois*", Feuil1!$D$2:$D$1001, "*Intranquilité publique/Incivilités/Dégradations/Insécurité*",Feuil1!$E$2:$E$1001,"faible")</f>
        <v>1</v>
      </c>
      <c r="L8" s="28">
        <f>COUNTIFS(Feuil1!$C$2:$C$1001, "*Petit bois*", Feuil1!$D$2:$D$1001, "*Intranquilité publique/Incivilités/Dégradations/Insécurité*",Feuil1!$E$2:$E$1001,"élevée")</f>
        <v>0</v>
      </c>
      <c r="M8" s="28">
        <f>COUNTIFS(Feuil1!$C$2:$C$1001, "*Petit bois*", Feuil1!$D$2:$D$1001, "*Entretien espaces verts/luminaires/voiries/résidences*",Feuil1!$E$2:$E$1001,"faible")</f>
        <v>2</v>
      </c>
      <c r="N8" s="28">
        <f>COUNTIFS(Feuil1!$C$2:$C$1001, "*Petit bois*", Feuil1!$D$2:$D$1001, "*Entretien espaces verts/luminaires/voiries/résidences*",Feuil1!$E$2:$E$1001,"élevée")</f>
        <v>0</v>
      </c>
      <c r="O8" s="28">
        <f>COUNTIFS(Feuil1!$C$2:$C$1001, "*Petit bois*", Feuil1!$D$2:$D$1001, "*Parfait achèvement et SAV des constructions et réhabilitations*",Feuil1!$E$2:$E$1001,"faible")</f>
        <v>0</v>
      </c>
      <c r="P8" s="28">
        <f>COUNTIFS(Feuil1!$C$2:$C$1001, "*Petit bois*", Feuil1!$D$2:$D$1001, "*Parfait achèvement et SAV des constructions et réhabilitations*",Feuil1!$E$2:$E$1001,"élevée")</f>
        <v>0</v>
      </c>
      <c r="Q8" s="28">
        <f>COUNTIFS(Feuil1!$C$2:$C$1001, "*Petit bois*", Feuil1!$D$2:$D$1001, "*Gestion locative/humaine/sociale*",Feuil1!$E$2:$E$1001,"faible")</f>
        <v>1</v>
      </c>
      <c r="R8" s="28">
        <f>COUNTIFS(Feuil1!$C$2:$C$1001, "*Petit bois*", Feuil1!$D$2:$D$1001, "*Gestion locative/humaine/sociale*",Feuil1!$E$2:$E$1001,"élevée")</f>
        <v>0</v>
      </c>
    </row>
    <row r="9" spans="1:18" hidden="1" x14ac:dyDescent="0.25">
      <c r="A9" s="31" t="s">
        <v>10</v>
      </c>
      <c r="B9" s="31" t="s">
        <v>89</v>
      </c>
      <c r="C9" s="30" t="s">
        <v>90</v>
      </c>
      <c r="D9" s="31" t="s">
        <v>91</v>
      </c>
      <c r="E9" s="31" t="s">
        <v>92</v>
      </c>
      <c r="F9" s="32">
        <v>12</v>
      </c>
      <c r="G9" s="28">
        <f>COUNTIFS(Feuil1!$C$2:$C$1001, "*Rue de Boussières*", Feuil1!$D$2:$D$1001, "*Tri sélectif et déchets*",Feuil1!$E$2:$E$1001,"faible")</f>
        <v>0</v>
      </c>
      <c r="H9" s="28">
        <f>COUNTIFS(Feuil1!$C$2:$C$1001, "*Rue de Boussières*", Feuil1!$D$2:$D$1001, "*Tri sélectif et déchets*",Feuil1!$E$2:$E$1001,"élevée")</f>
        <v>0</v>
      </c>
      <c r="I9" s="28">
        <f>COUNTIFS(Feuil1!$C$2:$C$1001, "*Rue de Boussières*", Feuil1!$D$2:$D$1001, "*Stationnement et voitures*",Feuil1!$E$2:$E$1001,"faible")</f>
        <v>0</v>
      </c>
      <c r="J9" s="28">
        <f>COUNTIFS(Feuil1!$C$2:$C$1001, "*Rue de Boussières*", Feuil1!$D$2:$D$1001, "*Stationnement et voitures*",Feuil1!$E$2:$E$1001,"élevée")</f>
        <v>0</v>
      </c>
      <c r="K9" s="28">
        <f>COUNTIFS(Feuil1!$C$2:$C$1001, "*Rue de Boussières*", Feuil1!$D$2:$D$1001, "*Intranquilité publique/Incivilités/Dégradations/Insécurité*",Feuil1!$E$2:$E$1001,"faible")</f>
        <v>0</v>
      </c>
      <c r="L9" s="28">
        <f>COUNTIFS(Feuil1!$C$2:$C$1001, "*Rue de Boussières*", Feuil1!$D$2:$D$1001, "*Intranquilité publique/Incivilités/Dégradations/Insécurité*",Feuil1!$E$2:$E$1001,"élevée")</f>
        <v>0</v>
      </c>
      <c r="M9" s="28">
        <f>COUNTIFS(Feuil1!$C$2:$C$1001, "*Rue de Boussières*", Feuil1!$D$2:$D$1001, "*Entretien espaces verts/luminaires/voiries/résidences*",Feuil1!$E$2:$E$1001,"faible")</f>
        <v>0</v>
      </c>
      <c r="N9" s="28">
        <f>COUNTIFS(Feuil1!$C$2:$C$1001, "*Rue de Boussières*", Feuil1!$D$2:$D$1001, "*Entretien espaces verts/luminaires/voiries/résidences*",Feuil1!$E$2:$E$1001,"élevée")</f>
        <v>0</v>
      </c>
      <c r="O9" s="28">
        <f>COUNTIFS(Feuil1!$C$2:$C$1001, "*Rue de Boussières*", Feuil1!$D$2:$D$1001, "*Parfait achèvement et SAV des constructions et réhabilitations*",Feuil1!$E$2:$E$1001,"faible")</f>
        <v>0</v>
      </c>
      <c r="P9" s="28">
        <f>COUNTIFS(Feuil1!$C$2:$C$1001, "*Rue de Boussières*", Feuil1!$D$2:$D$1001, "*Parfait achèvement et SAV des constructions et réhabilitations*",Feuil1!$E$2:$E$1001,"élevée")</f>
        <v>0</v>
      </c>
      <c r="Q9" s="28">
        <f>COUNTIFS(Feuil1!$C$2:$C$1001, "*Rue de Boussières*", Feuil1!$D$2:$D$1001, "*Gestion locative/humaine/sociale*",Feuil1!$E$2:$E$1001,"faible")</f>
        <v>0</v>
      </c>
      <c r="R9" s="28">
        <f>COUNTIFS(Feuil1!$C$2:$C$1001, "*Rue de Boussières*", Feuil1!$D$2:$D$1001, "*Gestion locative/humaine/sociale*",Feuil1!$E$2:$E$1001,"élevée")</f>
        <v>0</v>
      </c>
    </row>
    <row r="10" spans="1:18" hidden="1" x14ac:dyDescent="0.25">
      <c r="A10" s="29" t="s">
        <v>54</v>
      </c>
      <c r="B10" s="29" t="s">
        <v>76</v>
      </c>
      <c r="C10" s="30" t="s">
        <v>6</v>
      </c>
      <c r="D10" s="29" t="s">
        <v>93</v>
      </c>
      <c r="E10" s="29" t="s">
        <v>94</v>
      </c>
      <c r="F10" s="33">
        <v>20</v>
      </c>
      <c r="G10" s="28">
        <f>COUNTIFS(Feuil1!$C$2:$C$1001, "*Maurice Rose*", Feuil1!$D$2:$D$1001, "*Tri sélectif et déchets*",Feuil1!$E$2:$E$1001,"faible")</f>
        <v>1</v>
      </c>
      <c r="H10" s="28">
        <f>COUNTIFS(Feuil1!$C$2:$C$1001, "*Maurice Rose*", Feuil1!$D$2:$D$1001, "*Tri sélectif et déchets*",Feuil1!$E$2:$E$1001,"élevée")</f>
        <v>0</v>
      </c>
      <c r="I10" s="28">
        <f>COUNTIFS(Feuil1!$C$2:$C$1001, "*Maurice Rose*", Feuil1!$D$2:$D$1001, "*Stationnement et voitures*",Feuil1!$E$2:$E$1001,"faible")</f>
        <v>0</v>
      </c>
      <c r="J10" s="28">
        <f>COUNTIFS(Feuil1!$C$2:$C$1001, "*Maurice Rose*", Feuil1!$D$2:$D$1001, "*Stationnement et voitures*",Feuil1!$E$2:$E$1001,"élevée")</f>
        <v>0</v>
      </c>
      <c r="K10" s="28">
        <f>COUNTIFS(Feuil1!$C$2:$C$1001, "*Maurice Rose*", Feuil1!$D$2:$D$1001, "*Intranquilité publique/Incivilités/Dégradations/Insécurité*",Feuil1!$E$2:$E$1001,"faible")</f>
        <v>1</v>
      </c>
      <c r="L10" s="28">
        <f>COUNTIFS(Feuil1!$C$2:$C$1001, "*Maurice Rose*", Feuil1!$D$2:$D$1001, "*Intranquilité publique/Incivilités/Dégradations/Insécurité*",Feuil1!$E$2:$E$1001,"élevée")</f>
        <v>0</v>
      </c>
      <c r="M10" s="28">
        <f>COUNTIFS(Feuil1!$C$2:$C$1001, "*Maurice Rose*", Feuil1!$D$2:$D$1001, "*Entretien espaces verts/luminaires/voiries/résidences*",Feuil1!$E$2:$E$1001,"faible")</f>
        <v>0</v>
      </c>
      <c r="N10" s="28">
        <f>COUNTIFS(Feuil1!$C$2:$C$1001, "*Maurice Rose*", Feuil1!$D$2:$D$1001, "*Entretien espaces verts/luminaires/voiries/résidences*",Feuil1!$E$2:$E$1001,"élevée")</f>
        <v>0</v>
      </c>
      <c r="O10" s="28">
        <f>COUNTIFS(Feuil1!$C$2:$C$1001, "*Maurice Rose*", Feuil1!$D$2:$D$1001, "*Parfait achèvement et SAV des constructions et réhabilitations*",Feuil1!$E$2:$E$1001,"faible")</f>
        <v>2</v>
      </c>
      <c r="P10" s="28">
        <f>COUNTIFS(Feuil1!$C$2:$C$1001, "*Maurice Rose*", Feuil1!$D$2:$D$1001, "*Parfait achèvement et SAV des constructions et réhabilitations*",Feuil1!$E$2:$E$1001,"élevée")</f>
        <v>0</v>
      </c>
      <c r="Q10" s="28">
        <f>COUNTIFS(Feuil1!$C$2:$C$1001, "*Maurice Rose*", Feuil1!$D$2:$D$1001, "*Gestion locative/humaine/sociale*",Feuil1!$E$2:$E$1001,"faible")</f>
        <v>0</v>
      </c>
      <c r="R10" s="28">
        <f>COUNTIFS(Feuil1!$C$2:$C$1001, "*Maurice Rose*", Feuil1!$D$2:$D$1001, "*Gestion locative/humaine/sociale*",Feuil1!$E$2:$E$1001,"élevée")</f>
        <v>0</v>
      </c>
    </row>
    <row r="11" spans="1:18" hidden="1" x14ac:dyDescent="0.25">
      <c r="A11" s="29" t="s">
        <v>54</v>
      </c>
      <c r="B11" s="29" t="s">
        <v>76</v>
      </c>
      <c r="C11" s="30" t="s">
        <v>6</v>
      </c>
      <c r="D11" s="29" t="s">
        <v>95</v>
      </c>
      <c r="E11" s="29" t="s">
        <v>96</v>
      </c>
      <c r="F11" s="33">
        <v>10</v>
      </c>
      <c r="G11" s="28">
        <f>COUNTIFS(Feuil1!$C$2:$C$1001, "*Prosper*", Feuil1!$D$2:$D$1001, "*Tri sélectif et déchets*",Feuil1!$E$2:$E$1001,"faible")</f>
        <v>1</v>
      </c>
      <c r="H11" s="28">
        <f>COUNTIFS(Feuil1!$C$2:$C$1001, "*Prosper*", Feuil1!$D$2:$D$1001, "*Tri sélectif et déchets*",Feuil1!$E$2:$E$1001,"élevée")</f>
        <v>0</v>
      </c>
      <c r="I11" s="28">
        <f>COUNTIFS(Feuil1!$C$2:$C$1001, "*Prosper*", Feuil1!$D$2:$D$1001, "*Stationnement et voitures*",Feuil1!$E$2:$E$1001,"faible")</f>
        <v>0</v>
      </c>
      <c r="J11" s="28">
        <f>COUNTIFS(Feuil1!$C$2:$C$1001, "*Prosper*", Feuil1!$D$2:$D$1001, "*Stationnement et voitures*",Feuil1!$E$2:$E$1001,"élevée")</f>
        <v>0</v>
      </c>
      <c r="K11" s="28">
        <f>COUNTIFS(Feuil1!$C$2:$C$1001, "*Prosper*", Feuil1!$D$2:$D$1001, "*Intranquilité publique/Incivilités/Dégradations/Insécurité*",Feuil1!$E$2:$E$1001,"faible")</f>
        <v>0</v>
      </c>
      <c r="L11" s="28">
        <f>COUNTIFS(Feuil1!$C$2:$C$1001, "*Prosper*", Feuil1!$D$2:$D$1001, "*Intranquilité publique/Incivilités/Dégradations/Insécurité*",Feuil1!$E$2:$E$1001,"élevée")</f>
        <v>0</v>
      </c>
      <c r="M11" s="28">
        <f>COUNTIFS(Feuil1!$C$2:$C$1001, "*Prosper*", Feuil1!$D$2:$D$1001, "*Entretien espaces verts/luminaires/voiries/résidences*",Feuil1!$E$2:$E$1001,"faible")</f>
        <v>1</v>
      </c>
      <c r="N11" s="28">
        <f>COUNTIFS(Feuil1!$C$2:$C$1001, "*Prosper*", Feuil1!$D$2:$D$1001, "*Entretien espaces verts/luminaires/voiries/résidences*",Feuil1!$E$2:$E$1001,"élevée")</f>
        <v>0</v>
      </c>
      <c r="O11" s="28">
        <f>COUNTIFS(Feuil1!$C$2:$C$1001, "*Prosper*", Feuil1!$D$2:$D$1001, "*Parfait achèvement et SAV des constructions et réhabilitations*",Feuil1!$E$2:$E$1001,"faible")</f>
        <v>2</v>
      </c>
      <c r="P11" s="28">
        <f>COUNTIFS(Feuil1!$C$2:$C$1001, "*Prosper*", Feuil1!$D$2:$D$1001, "*Parfait achèvement et SAV des constructions et réhabilitations*",Feuil1!$E$2:$E$1001,"élevée")</f>
        <v>0</v>
      </c>
      <c r="Q11" s="28">
        <f>COUNTIFS(Feuil1!$C$2:$C$1001, "*Prosper*", Feuil1!$D$2:$D$1001, "*Gestion locative/humaine/sociale*",Feuil1!$E$2:$E$1001,"faible")</f>
        <v>0</v>
      </c>
      <c r="R11" s="28">
        <f>COUNTIFS(Feuil1!$C$2:$C$1001, "*Prosper*", Feuil1!$D$2:$D$1001, "*Gestion locative/humaine/sociale*",Feuil1!$E$2:$E$1001,"élevée")</f>
        <v>0</v>
      </c>
    </row>
    <row r="12" spans="1:18" hidden="1" x14ac:dyDescent="0.25">
      <c r="A12" s="29" t="s">
        <v>10</v>
      </c>
      <c r="B12" s="29" t="s">
        <v>89</v>
      </c>
      <c r="C12" s="30" t="s">
        <v>77</v>
      </c>
      <c r="D12" s="29" t="s">
        <v>167</v>
      </c>
      <c r="E12" s="29" t="s">
        <v>97</v>
      </c>
      <c r="F12" s="33">
        <v>18</v>
      </c>
      <c r="G12" s="28">
        <f>COUNTIFS(Feuil1!$C$2:$C$1001, "*Alexandre Dumas*", Feuil1!$D$2:$D$1001, "*Tri sélectif et déchets*",Feuil1!$E$2:$E$1001,"faible")</f>
        <v>1</v>
      </c>
      <c r="H12" s="28">
        <f>COUNTIFS(Feuil1!$C$2:$C$1001, "*Alexandre Dumas*", Feuil1!$D$2:$D$1001, "*Tri sélectif et déchets*",Feuil1!$E$2:$E$1001,"élevée")</f>
        <v>0</v>
      </c>
      <c r="I12" s="28">
        <f>COUNTIFS(Feuil1!$C$2:$C$1001, "*Alexandre Dumas*", Feuil1!$D$2:$D$1001, "*Stationnement et voitures*",Feuil1!$E$2:$E$1001,"faible")</f>
        <v>0</v>
      </c>
      <c r="J12" s="28">
        <f>COUNTIFS(Feuil1!$C$2:$C$1001, "*Alexandre Dumas*", Feuil1!$D$2:$D$1001, "*Stationnement et voitures*",Feuil1!$E$2:$E$1001,"élevée")</f>
        <v>0</v>
      </c>
      <c r="K12" s="28">
        <f>COUNTIFS(Feuil1!$C$2:$C$1001, "*Alexandre Dumas*", Feuil1!$D$2:$D$1001, "*Intranquilité publique/Incivilités/Dégradations/Insécurité*",Feuil1!$E$2:$E$1001,"faible")</f>
        <v>0</v>
      </c>
      <c r="L12" s="28">
        <f>COUNTIFS(Feuil1!$C$2:$C$1001, "*Alexandre Dumas*", Feuil1!$D$2:$D$1001, "*Intranquilité publique/Incivilités/Dégradations/Insécurité*",Feuil1!$E$2:$E$1001,"élevée")</f>
        <v>0</v>
      </c>
      <c r="M12" s="28">
        <f>COUNTIFS(Feuil1!$C$2:$C$1001, "*Alexandre Dumas*", Feuil1!$D$2:$D$1001, "*Entretien espaces verts/luminaires/voiries/résidences*",Feuil1!$E$2:$E$1001,"faible")</f>
        <v>1</v>
      </c>
      <c r="N12" s="28">
        <f>COUNTIFS(Feuil1!$C$2:$C$1001, "*Alexandre Dumas*", Feuil1!$D$2:$D$1001, "*Entretien espaces verts/luminaires/voiries/résidences*",Feuil1!$E$2:$E$1001,"élevée")</f>
        <v>0</v>
      </c>
      <c r="O12" s="28">
        <f>COUNTIFS(Feuil1!$C$2:$C$1001, "*Alexandre Dumas*", Feuil1!$D$2:$D$1001, "*Parfait achèvement et SAV des constructions et réhabilitations*",Feuil1!$E$2:$E$1001,"faible")</f>
        <v>0</v>
      </c>
      <c r="P12" s="28">
        <f>COUNTIFS(Feuil1!$C$2:$C$1001, "*Alexandre Dumas*", Feuil1!$D$2:$D$1001, "*Parfait achèvement et SAV des constructions et réhabilitations*",Feuil1!$E$2:$E$1001,"élevée")</f>
        <v>0</v>
      </c>
      <c r="Q12" s="28">
        <f>COUNTIFS(Feuil1!$C$2:$C$1001, "*Alexandre Dumas*", Feuil1!$D$2:$D$1001, "*Gestion locative/humaine/sociale*",Feuil1!$E$2:$E$1001,"faible")</f>
        <v>1</v>
      </c>
      <c r="R12" s="28">
        <f>COUNTIFS(Feuil1!$C$2:$C$1001, "*Alexandre Dumas*", Feuil1!$D$2:$D$1001, "*Gestion locative/humaine/sociale*",Feuil1!$E$2:$E$1001,"élevée")</f>
        <v>1</v>
      </c>
    </row>
    <row r="13" spans="1:18" hidden="1" x14ac:dyDescent="0.25">
      <c r="A13" s="29" t="s">
        <v>177</v>
      </c>
      <c r="B13" s="29" t="s">
        <v>76</v>
      </c>
      <c r="C13" s="30" t="s">
        <v>90</v>
      </c>
      <c r="D13" s="29" t="s">
        <v>59</v>
      </c>
      <c r="E13" s="29" t="s">
        <v>98</v>
      </c>
      <c r="F13" s="33">
        <v>22</v>
      </c>
      <c r="G13" s="28">
        <f>COUNTIFS(Feuil1!$C$2:$C$1001, "*Boulevard de L'Ecluse*", Feuil1!$D$2:$D$1001, "*Tri sélectif et déchets*",Feuil1!$E$2:$E$1001,"faible")</f>
        <v>0</v>
      </c>
      <c r="H13" s="28">
        <f>COUNTIFS(Feuil1!$C$2:$C$1001, "*Boulevard de L'Ecluse*", Feuil1!$D$2:$D$1001, "*Tri sélectif et déchets*",Feuil1!$E$2:$E$1001,"élevée")</f>
        <v>0</v>
      </c>
      <c r="I13" s="28">
        <f>COUNTIFS(Feuil1!$C$2:$C$1001, "*Boulevard de L'Ecluse*", Feuil1!$D$2:$D$1001, "*Stationnement et voitures*",Feuil1!$E$2:$E$1001,"faible")</f>
        <v>0</v>
      </c>
      <c r="J13" s="28">
        <f>COUNTIFS(Feuil1!$C$2:$C$1001, "*Boulevard de L'Ecluse*", Feuil1!$D$2:$D$1001, "*Stationnement et voitures*",Feuil1!$E$2:$E$1001,"élevée")</f>
        <v>0</v>
      </c>
      <c r="K13" s="28">
        <f>COUNTIFS(Feuil1!$C$2:$C$1001, "*Boulevard de L'Ecluse*", Feuil1!$D$2:$D$1001, "*Intranquilité publique/Incivilités/Dégradations/Insécurité*",Feuil1!$E$2:$E$1001,"faible")</f>
        <v>0</v>
      </c>
      <c r="L13" s="28">
        <f>COUNTIFS(Feuil1!$C$2:$C$1001, "*Boulevard de L'Ecluse*", Feuil1!$D$2:$D$1001, "*Intranquilité publique/Incivilités/Dégradations/Insécurité*",Feuil1!$E$2:$E$1001,"élevée")</f>
        <v>0</v>
      </c>
      <c r="M13" s="28">
        <f>COUNTIFS(Feuil1!$C$2:$C$1001, "*Boulevard de L'Ecluse*", Feuil1!$D$2:$D$1001, "*Entretien espaces verts/luminaires/voiries/résidences*",Feuil1!$E$2:$E$1001,"faible")</f>
        <v>0</v>
      </c>
      <c r="N13" s="28">
        <f>COUNTIFS(Feuil1!$C$2:$C$1001, "*Boulevard de L'Ecluse*", Feuil1!$D$2:$D$1001, "*Entretien espaces verts/luminaires/voiries/résidences*",Feuil1!$E$2:$E$1001,"élevée")</f>
        <v>0</v>
      </c>
      <c r="O13" s="28">
        <f>COUNTIFS(Feuil1!$C$2:$C$1001, "*Boulevard de L'Ecluse*", Feuil1!$D$2:$D$1001, "*Parfait achèvement et SAV des constructions et réhabilitations*",Feuil1!$E$2:$E$1001,"faible")</f>
        <v>1</v>
      </c>
      <c r="P13" s="28">
        <f>COUNTIFS(Feuil1!$C$2:$C$1001, "*Boulevard de L'Ecluse*", Feuil1!$D$2:$D$1001, "*Parfait achèvement et SAV des constructions et réhabilitations*",Feuil1!$E$2:$E$1001,"élevée")</f>
        <v>0</v>
      </c>
      <c r="Q13" s="28">
        <f>COUNTIFS(Feuil1!$C$2:$C$1001, "*Boulevard de L'Ecluse*", Feuil1!$D$2:$D$1001, "*Gestion locative/humaine/sociale*",Feuil1!$E$2:$E$1001,"faible")</f>
        <v>0</v>
      </c>
      <c r="R13" s="28">
        <f>COUNTIFS(Feuil1!$C$2:$C$1001, "*Boulevard de L'Ecluse*", Feuil1!$D$2:$D$1001, "*Gestion locative/humaine/sociale*",Feuil1!$E$2:$E$1001,"élevée")</f>
        <v>0</v>
      </c>
    </row>
    <row r="14" spans="1:18" x14ac:dyDescent="0.25">
      <c r="A14" s="29" t="s">
        <v>50</v>
      </c>
      <c r="B14" s="29" t="s">
        <v>76</v>
      </c>
      <c r="C14" s="30" t="s">
        <v>83</v>
      </c>
      <c r="D14" s="29" t="s">
        <v>151</v>
      </c>
      <c r="E14" s="29" t="s">
        <v>99</v>
      </c>
      <c r="F14" s="33">
        <v>24</v>
      </c>
      <c r="G14" s="28">
        <f>COUNTIFS(Feuil1!$C$2:$C$1001, "Nouveau monde", Feuil1!$D$2:$D$1001, "*Tri sélectif et déchets*",Feuil1!$E$2:$E$1001,"faible")</f>
        <v>0</v>
      </c>
      <c r="H14" s="28">
        <f>COUNTIFS(Feuil1!$C$2:$C$1001, "Nouveau monde", Feuil1!$D$2:$D$1001, "*Tri sélectif et déchets*",Feuil1!$E$2:$E$1001,"élevée")</f>
        <v>0</v>
      </c>
      <c r="I14" s="28">
        <f>COUNTIFS(Feuil1!$C$2:$C$1001, "Nouveau monde", Feuil1!$D$2:$D$1001, "*Stationnement et voitures*",Feuil1!$E$2:$E$1001,"faible")</f>
        <v>2</v>
      </c>
      <c r="J14" s="28">
        <f>COUNTIFS(Feuil1!$C$2:$C$1001, "Nouveau monde", Feuil1!$D$2:$D$1001, "*Stationnement et voitures*",Feuil1!$E$2:$E$1001,"élevée")</f>
        <v>0</v>
      </c>
      <c r="K14" s="28">
        <f>COUNTIFS(Feuil1!$C$2:$C$1001, "Nouveau monde", Feuil1!$D$2:$D$1001, "*Intranquilité publique/Incivilités/Dégradations/Insécurité*",Feuil1!$E$2:$E$1001,"faible")</f>
        <v>2</v>
      </c>
      <c r="L14" s="28">
        <f>COUNTIFS(Feuil1!$C$2:$C$1001, "Nouveau monde", Feuil1!$D$2:$D$1001, "*Intranquilité publique/Incivilités/Dégradations/Insécurité*",Feuil1!$E$2:$E$1001,"élevée")</f>
        <v>0</v>
      </c>
      <c r="M14" s="28">
        <f>COUNTIFS(Feuil1!$C$2:$C$1001, "Nouveau Monde", Feuil1!$D$2:$D$1001, "*Entretien espaces verts/luminaires/voiries/résidences*",Feuil1!$E$2:$E$1001,"faible")</f>
        <v>2</v>
      </c>
      <c r="N14" s="28">
        <f>COUNTIFS(Feuil1!$C$2:$C$1001, "Nouveau monde", Feuil1!$D$2:$D$1001, "*Entretien espaces verts/luminaires/voiries/résidences*",Feuil1!$E$2:$E$1001,"élevée")</f>
        <v>0</v>
      </c>
      <c r="O14" s="28">
        <f>COUNTIFS(Feuil1!$C$2:$C$1001, "Nouveau monde", Feuil1!$D$2:$D$1001, "*Parfait achèvement et SAV des constructions et réhabilitations*",Feuil1!$E$2:$E$1001,"faible")</f>
        <v>1</v>
      </c>
      <c r="P14" s="28">
        <f>COUNTIFS(Feuil1!$C$2:$C$1001, "Nouveau monde", Feuil1!$D$2:$D$1001, "*Parfait achèvement et SAV des constructions et réhabilitations*",Feuil1!$E$2:$E$1001,"élevée")</f>
        <v>2</v>
      </c>
      <c r="Q14" s="28">
        <f>COUNTIFS(Feuil1!$C$2:$C$1001, "Nouveau monde", Feuil1!$D$2:$D$1001, "*Gestion locative/humaine/sociale*",Feuil1!$E$2:$E$1001,"faible")</f>
        <v>1</v>
      </c>
      <c r="R14" s="28">
        <f>COUNTIFS(Feuil1!$C$2:$C$1001, "Nouveau monde", Feuil1!$D$2:$D$1001, "*Gestion locative/humaine/sociale*",Feuil1!$E$2:$E$1001,"élevée")</f>
        <v>0</v>
      </c>
    </row>
    <row r="15" spans="1:18" hidden="1" x14ac:dyDescent="0.25">
      <c r="A15" s="29" t="s">
        <v>10</v>
      </c>
      <c r="B15" s="29" t="s">
        <v>76</v>
      </c>
      <c r="C15" s="30" t="s">
        <v>77</v>
      </c>
      <c r="D15" s="29" t="s">
        <v>100</v>
      </c>
      <c r="E15" s="29" t="s">
        <v>101</v>
      </c>
      <c r="F15" s="33">
        <v>35</v>
      </c>
      <c r="G15" s="28">
        <f>COUNTIFS(Feuil1!$C$2:$C$1001, "*Nations*", Feuil1!$D$2:$D$1001, "*Tri sélectif et déchets*",Feuil1!$E$2:$E$1001,"faible")</f>
        <v>0</v>
      </c>
      <c r="H15" s="28">
        <f>COUNTIFS(Feuil1!$C$2:$C$1001, "*Nations*", Feuil1!$D$2:$D$1001, "*Tri sélectif et déchets*",Feuil1!$E$2:$E$1001,"élevée")</f>
        <v>0</v>
      </c>
      <c r="I15" s="28">
        <f>COUNTIFS(Feuil1!$C$2:$C$1001, "*Nations*", Feuil1!$D$2:$D$1001, "*Stationnement et voitures*",Feuil1!$E$2:$E$1001,"faible")</f>
        <v>0</v>
      </c>
      <c r="J15" s="28">
        <f>COUNTIFS(Feuil1!$C$2:$C$1001, "*Nations*", Feuil1!$D$2:$D$1001, "*Stationnement et voitures*",Feuil1!$E$2:$E$1001,"élevée")</f>
        <v>0</v>
      </c>
      <c r="K15" s="28">
        <f>COUNTIFS(Feuil1!$C$2:$C$1001, "*Nations*", Feuil1!$D$2:$D$1001, "*Intranquilité publique/Incivilités/Dégradations/Insécurité*",Feuil1!$E$2:$E$1001,"faible")</f>
        <v>0</v>
      </c>
      <c r="L15" s="28">
        <f>COUNTIFS(Feuil1!$C$2:$C$1001, "*Nations*", Feuil1!$D$2:$D$1001, "*Intranquilité publique/Incivilités/Dégradations/Insécurité*",Feuil1!$E$2:$E$1001,"élevée")</f>
        <v>0</v>
      </c>
      <c r="M15" s="28">
        <f>COUNTIFS(Feuil1!$C$2:$C$1001, "*Nations*", Feuil1!$D$2:$D$1001, "*Entretien espaces verts/luminaires/voiries/résidences*",Feuil1!$E$2:$E$1001,"faible")</f>
        <v>0</v>
      </c>
      <c r="N15" s="28">
        <f>COUNTIFS(Feuil1!$C$2:$C$1001, "*Nations*", Feuil1!$D$2:$D$1001, "*Entretien espaces verts/luminaires/voiries/résidences*",Feuil1!$E$2:$E$1001,"élevée")</f>
        <v>0</v>
      </c>
      <c r="O15" s="28">
        <f>COUNTIFS(Feuil1!$C$2:$C$1001, "*Nations*", Feuil1!$D$2:$D$1001, "*Parfait achèvement et SAV des constructions et réhabilitations*",Feuil1!$E$2:$E$1001,"faible")</f>
        <v>0</v>
      </c>
      <c r="P15" s="28">
        <f>COUNTIFS(Feuil1!$C$2:$C$1001, "*Nations*", Feuil1!$D$2:$D$1001, "*Parfait achèvement et SAV des constructions et réhabilitations*",Feuil1!$E$2:$E$1001,"élevée")</f>
        <v>0</v>
      </c>
      <c r="Q15" s="28">
        <f>COUNTIFS(Feuil1!$C$2:$C$1001, "*Nations*", Feuil1!$D$2:$D$1001, "*Gestion locative/humaine/sociale*",Feuil1!$E$2:$E$1001,"faible")</f>
        <v>0</v>
      </c>
      <c r="R15" s="28">
        <f>COUNTIFS(Feuil1!$C$2:$C$1001, "*Nations*", Feuil1!$D$2:$D$1001, "*Gestion locative/humaine/sociale*",Feuil1!$E$2:$E$1001,"élevée")</f>
        <v>0</v>
      </c>
    </row>
    <row r="16" spans="1:18" x14ac:dyDescent="0.25">
      <c r="A16" s="29" t="s">
        <v>50</v>
      </c>
      <c r="B16" s="29" t="s">
        <v>82</v>
      </c>
      <c r="C16" s="30" t="s">
        <v>83</v>
      </c>
      <c r="D16" s="29" t="s">
        <v>102</v>
      </c>
      <c r="E16" s="29" t="s">
        <v>103</v>
      </c>
      <c r="F16" s="33">
        <v>35</v>
      </c>
      <c r="G16" s="28">
        <f>COUNTIFS(Feuil1!$C$2:$C$1001, "*Rue Denise*", Feuil1!$D$2:$D$1001, "*Tri sélectif et déchets*",Feuil1!$E$2:$E$1001,"faible")</f>
        <v>0</v>
      </c>
      <c r="H16" s="28">
        <f>COUNTIFS(Feuil1!$C$2:$C$1001, "*Rue Denise*", Feuil1!$D$2:$D$1001, "*Tri sélectif et déchets*",Feuil1!$E$2:$E$1001,"élevée")</f>
        <v>0</v>
      </c>
      <c r="I16" s="28">
        <f>COUNTIFS(Feuil1!$C$2:$C$1001, "*Rue Denise*", Feuil1!$D$2:$D$1001, "*Stationnement et voitures*",Feuil1!$E$2:$E$1001,"faible")</f>
        <v>0</v>
      </c>
      <c r="J16" s="28">
        <f>COUNTIFS(Feuil1!$C$2:$C$1001, "*Rue Denise*", Feuil1!$D$2:$D$1001, "*Stationnement et voitures*",Feuil1!$E$2:$E$1001,"élevée")</f>
        <v>0</v>
      </c>
      <c r="K16" s="28">
        <f>COUNTIFS(Feuil1!$C$2:$C$1001, "*Rue Denise*", Feuil1!$D$2:$D$1001, "*Intranquilité publique/Incivilités/Dégradations/Insécurité*",Feuil1!$E$2:$E$1001,"faible")</f>
        <v>1</v>
      </c>
      <c r="L16" s="28">
        <f>COUNTIFS(Feuil1!$C$2:$C$1001, "*Rue Denise*", Feuil1!$D$2:$D$1001, "*Intranquilité publique/Incivilités/Dégradations/Insécurité*",Feuil1!$E$2:$E$1001,"élevée")</f>
        <v>0</v>
      </c>
      <c r="M16" s="28">
        <f>COUNTIFS(Feuil1!$C$2:$C$1001, "*Rue Denise*", Feuil1!$D$2:$D$1001, "*Entretien espaces verts/luminaires/voiries/résidences*",Feuil1!$E$2:$E$1001,"faible")</f>
        <v>1</v>
      </c>
      <c r="N16" s="28">
        <f>COUNTIFS(Feuil1!$C$2:$C$1001, "*Rue Denise*", Feuil1!$D$2:$D$1001, "*Entretien espaces verts/luminaires/voiries/résidences*",Feuil1!$E$2:$E$1001,"élevée")</f>
        <v>0</v>
      </c>
      <c r="O16" s="28">
        <f>COUNTIFS(Feuil1!$C$2:$C$1001, "*Rue Denise*", Feuil1!$D$2:$D$1001, "*Parfait achèvement et SAV des constructions et réhabilitations*",Feuil1!$E$2:$E$1001,"faible")</f>
        <v>0</v>
      </c>
      <c r="P16" s="28">
        <f>COUNTIFS(Feuil1!$C$2:$C$1001, "*Rue Denise*", Feuil1!$D$2:$D$1001, "*Parfait achèvement et SAV des constructions et réhabilitations*",Feuil1!$E$2:$E$1001,"élevée")</f>
        <v>0</v>
      </c>
      <c r="Q16" s="28">
        <f>COUNTIFS(Feuil1!$C$2:$C$1001, "*Rue Denise*", Feuil1!$D$2:$D$1001, "*Gestion locative/humaine/sociale*",Feuil1!$E$2:$E$1001,"faible")</f>
        <v>0</v>
      </c>
      <c r="R16" s="28">
        <f>COUNTIFS(Feuil1!$C$2:$C$1001, "*Rue Denise*", Feuil1!$D$2:$D$1001, "*Gestion locative/humaine/sociale*",Feuil1!$E$2:$E$1001,"élevée")</f>
        <v>0</v>
      </c>
    </row>
    <row r="17" spans="1:18" hidden="1" x14ac:dyDescent="0.25">
      <c r="A17" s="29" t="s">
        <v>54</v>
      </c>
      <c r="B17" s="29" t="s">
        <v>76</v>
      </c>
      <c r="C17" s="30" t="s">
        <v>6</v>
      </c>
      <c r="D17" s="29" t="s">
        <v>144</v>
      </c>
      <c r="E17" s="29" t="s">
        <v>104</v>
      </c>
      <c r="F17" s="33">
        <v>23</v>
      </c>
      <c r="G17" s="28">
        <f>COUNTIFS(Feuil1!$C$2:$C$1001, "*Honegger*", Feuil1!$D$2:$D$1001, "*Tri sélectif et déchets*",Feuil1!$E$2:$E$1001,"faible")</f>
        <v>0</v>
      </c>
      <c r="H17" s="28">
        <f>COUNTIFS(Feuil1!$C$2:$C$1001, "*Honegger*", Feuil1!$D$2:$D$1001, "*Tri sélectif et déchets*",Feuil1!$E$2:$E$1001,"élevée")</f>
        <v>0</v>
      </c>
      <c r="I17" s="28">
        <f>COUNTIFS(Feuil1!$C$2:$C$1001, "*Honegger*", Feuil1!$D$2:$D$1001, "*Stationnement et voitures*",Feuil1!$E$2:$E$1001,"faible")</f>
        <v>0</v>
      </c>
      <c r="J17" s="28">
        <f>COUNTIFS(Feuil1!$C$2:$C$1001, "*Honegger*", Feuil1!$D$2:$D$1001, "*Stationnement et voitures*",Feuil1!$E$2:$E$1001,"élevée")</f>
        <v>0</v>
      </c>
      <c r="K17" s="28">
        <f>COUNTIFS(Feuil1!$C$2:$C$1001, "*Honegger*", Feuil1!$D$2:$D$1001, "*Intranquilité publique/Incivilités/Dégradations/Insécurité*",Feuil1!$E$2:$E$1001,"faible")</f>
        <v>0</v>
      </c>
      <c r="L17" s="28">
        <f>COUNTIFS(Feuil1!$C$2:$C$1001, "*Honegger*", Feuil1!$D$2:$D$1001, "*Intranquilité publique/Incivilités/Dégradations/Insécurité*",Feuil1!$E$2:$E$1001,"élevée")</f>
        <v>0</v>
      </c>
      <c r="M17" s="28">
        <f>COUNTIFS(Feuil1!$C$2:$C$1001, "*Honegger*", Feuil1!$D$2:$D$1001, "*Entretien espaces verts/luminaires/voiries/résidences*",Feuil1!$E$2:$E$1001,"faible")</f>
        <v>1</v>
      </c>
      <c r="N17" s="28">
        <f>COUNTIFS(Feuil1!$C$2:$C$1001, "*Honegger*", Feuil1!$D$2:$D$1001, "*Entretien espaces verts/luminaires/voiries/résidences*",Feuil1!$E$2:$E$1001,"élevée")</f>
        <v>0</v>
      </c>
      <c r="O17" s="28">
        <f>COUNTIFS(Feuil1!$C$2:$C$1001, "*Honegger*", Feuil1!$D$2:$D$1001, "*Parfait achèvement et SAV des constructions et réhabilitations*",Feuil1!$E$2:$E$1001,"faible")</f>
        <v>1</v>
      </c>
      <c r="P17" s="28">
        <f>COUNTIFS(Feuil1!$C$2:$C$1001, "*Honegger*", Feuil1!$D$2:$D$1001, "*Parfait achèvement et SAV des constructions et réhabilitations*",Feuil1!$E$2:$E$1001,"élevée")</f>
        <v>0</v>
      </c>
      <c r="Q17" s="28">
        <f>COUNTIFS(Feuil1!$C$2:$C$1001, "*Honegger*", Feuil1!$D$2:$D$1001, "*Gestion locative/humaine/sociale*",Feuil1!$E$2:$E$1001,"faible")</f>
        <v>0</v>
      </c>
      <c r="R17" s="28">
        <f>COUNTIFS(Feuil1!$C$2:$C$1001, "*Honegger*", Feuil1!$D$2:$D$1001, "*Gestion locative/humaine/sociale*",Feuil1!$E$2:$E$1001,"élevée")</f>
        <v>0</v>
      </c>
    </row>
    <row r="18" spans="1:18" hidden="1" x14ac:dyDescent="0.25">
      <c r="A18" s="29" t="s">
        <v>177</v>
      </c>
      <c r="B18" s="29" t="s">
        <v>76</v>
      </c>
      <c r="C18" s="30" t="s">
        <v>90</v>
      </c>
      <c r="D18" s="29" t="s">
        <v>155</v>
      </c>
      <c r="E18" s="29" t="s">
        <v>105</v>
      </c>
      <c r="F18" s="33">
        <v>12</v>
      </c>
      <c r="G18" s="28">
        <f>COUNTIFS(Feuil1!$C$2:$C$1001, "*Parc*", Feuil1!$D$2:$D$1001, "*Tri sélectif et déchets*",Feuil1!$E$2:$E$1001,"faible")</f>
        <v>0</v>
      </c>
      <c r="H18" s="28">
        <f>COUNTIFS(Feuil1!$C$2:$C$1001, "*Parc*", Feuil1!$D$2:$D$1001, "*Tri sélectif et déchets*",Feuil1!$E$2:$E$1001,"élevée")</f>
        <v>0</v>
      </c>
      <c r="I18" s="28">
        <f>COUNTIFS(Feuil1!$C$2:$C$1001, "*Parc*", Feuil1!$D$2:$D$1001, "*Stationnement et voitures*",Feuil1!$E$2:$E$1001,"faible")</f>
        <v>1</v>
      </c>
      <c r="J18" s="28">
        <f>COUNTIFS(Feuil1!$C$2:$C$1001, "*Parc*", Feuil1!$D$2:$D$1001, "*Stationnement et voitures*",Feuil1!$E$2:$E$1001,"élevée")</f>
        <v>0</v>
      </c>
      <c r="K18" s="28">
        <f>COUNTIFS(Feuil1!$C$2:$C$1001, "*Parc*", Feuil1!$D$2:$D$1001, "*Intranquilité publique/Incivilités/Dégradations/Insécurité*",Feuil1!$E$2:$E$1001,"faible")</f>
        <v>0</v>
      </c>
      <c r="L18" s="28">
        <f>COUNTIFS(Feuil1!$C$2:$C$1001, "*Parc*", Feuil1!$D$2:$D$1001, "*Intranquilité publique/Incivilités/Dégradations/Insécurité*",Feuil1!$E$2:$E$1001,"élevée")</f>
        <v>0</v>
      </c>
      <c r="M18" s="28">
        <f>COUNTIFS(Feuil1!$C$2:$C$1001, "*Parc*", Feuil1!$D$2:$D$1001, "*Entretien espaces verts/luminaires/voiries/résidences*",Feuil1!$E$2:$E$1001,"faible")</f>
        <v>0</v>
      </c>
      <c r="N18" s="28">
        <f>COUNTIFS(Feuil1!$C$2:$C$1001, "*Parc*", Feuil1!$D$2:$D$1001, "*Entretien espaces verts/luminaires/voiries/résidences*",Feuil1!$E$2:$E$1001,"élevée")</f>
        <v>0</v>
      </c>
      <c r="O18" s="28">
        <f>COUNTIFS(Feuil1!$C$2:$C$1001, "*Parc*", Feuil1!$D$2:$D$1001, "*Parfait achèvement et SAV des constructions et réhabilitations*",Feuil1!$E$2:$E$1001,"faible")</f>
        <v>1</v>
      </c>
      <c r="P18" s="28">
        <f>COUNTIFS(Feuil1!$C$2:$C$1001, "*Parc*", Feuil1!$D$2:$D$1001, "*Parfait achèvement et SAV des constructions et réhabilitations*",Feuil1!$E$2:$E$1001,"élevée")</f>
        <v>0</v>
      </c>
      <c r="Q18" s="28">
        <f>COUNTIFS(Feuil1!$C$2:$C$1001, "*Parc*", Feuil1!$D$2:$D$1001, "*Gestion locative/humaine/sociale*",Feuil1!$E$2:$E$1001,"faible")</f>
        <v>0</v>
      </c>
      <c r="R18" s="28">
        <f>COUNTIFS(Feuil1!$C$2:$C$1001, "*Parc*", Feuil1!$D$2:$D$1001, "*Gestion locative/humaine/sociale*",Feuil1!$E$2:$E$1001,"élevée")</f>
        <v>0</v>
      </c>
    </row>
    <row r="19" spans="1:18" hidden="1" x14ac:dyDescent="0.25">
      <c r="A19" s="29" t="s">
        <v>177</v>
      </c>
      <c r="B19" s="29" t="s">
        <v>76</v>
      </c>
      <c r="C19" s="30" t="s">
        <v>90</v>
      </c>
      <c r="D19" s="29" t="s">
        <v>106</v>
      </c>
      <c r="E19" s="29" t="s">
        <v>107</v>
      </c>
      <c r="F19" s="33">
        <v>15</v>
      </c>
      <c r="G19" s="28">
        <f>COUNTIFS(Feuil1!$C$2:$C$1001, "*Les Terrasses*", Feuil1!$D$2:$D$1001, "*Tri sélectif et déchets*",Feuil1!$E$2:$E$1001,"faible")</f>
        <v>1</v>
      </c>
      <c r="H19" s="28">
        <f>COUNTIFS(Feuil1!$C$2:$C$1001, "*Les Terrasses*", Feuil1!$D$2:$D$1001, "*Tri sélectif et déchets*",Feuil1!$E$2:$E$1001,"élevée")</f>
        <v>0</v>
      </c>
      <c r="I19" s="28">
        <f>COUNTIFS(Feuil1!$C$2:$C$1001, "*Les Terrasses*", Feuil1!$D$2:$D$1001, "*Stationnement et voitures*",Feuil1!$E$2:$E$1001,"faible")</f>
        <v>0</v>
      </c>
      <c r="J19" s="28">
        <f>COUNTIFS(Feuil1!$C$2:$C$1001, "*Les Terrasses*", Feuil1!$D$2:$D$1001, "*Stationnement et voitures*",Feuil1!$E$2:$E$1001,"élevée")</f>
        <v>0</v>
      </c>
      <c r="K19" s="28">
        <f>COUNTIFS(Feuil1!$C$2:$C$1001, "*Les Terrasses*", Feuil1!$D$2:$D$1001, "*Intranquilité publique/Incivilités/Dégradations/Insécurité*",Feuil1!$E$2:$E$1001,"faible")</f>
        <v>0</v>
      </c>
      <c r="L19" s="28">
        <f>COUNTIFS(Feuil1!$C$2:$C$1001, "*Les Terrasses*", Feuil1!$D$2:$D$1001, "*Intranquilité publique/Incivilités/Dégradations/Insécurité*",Feuil1!$E$2:$E$1001,"élevée")</f>
        <v>0</v>
      </c>
      <c r="M19" s="28">
        <f>COUNTIFS(Feuil1!$C$2:$C$1001, "*Les Terrasses*", Feuil1!$D$2:$D$1001, "*Entretien espaces verts/luminaires/voiries/résidences*",Feuil1!$E$2:$E$1001,"faible")</f>
        <v>0</v>
      </c>
      <c r="N19" s="28">
        <f>COUNTIFS(Feuil1!$C$2:$C$1001, "*Les Terrasses*", Feuil1!$D$2:$D$1001, "*Entretien espaces verts/luminaires/voiries/résidences*",Feuil1!$E$2:$E$1001,"élevée")</f>
        <v>0</v>
      </c>
      <c r="O19" s="28">
        <f>COUNTIFS(Feuil1!$C$2:$C$1001, "*Les Terrasses*", Feuil1!$D$2:$D$1001, "*Parfait achèvement et SAV des constructions et réhabilitations*",Feuil1!$E$2:$E$1001,"faible")</f>
        <v>0</v>
      </c>
      <c r="P19" s="28">
        <f>COUNTIFS(Feuil1!$C$2:$C$1001, "*Les Terrasses*", Feuil1!$D$2:$D$1001, "*Parfait achèvement et SAV des constructions et réhabilitations*",Feuil1!$E$2:$E$1001,"élevée")</f>
        <v>0</v>
      </c>
      <c r="Q19" s="28">
        <f>COUNTIFS(Feuil1!$C$2:$C$1001, "*Les Terrasses*", Feuil1!$D$2:$D$1001, "*Gestion locative/humaine/sociale*",Feuil1!$E$2:$E$1001,"faible")</f>
        <v>0</v>
      </c>
      <c r="R19" s="28">
        <f>COUNTIFS(Feuil1!$C$2:$C$1001, "*Les Terrasses*", Feuil1!$D$2:$D$1001, "*Gestion locative/humaine/sociale*",Feuil1!$E$2:$E$1001,"élevée")</f>
        <v>0</v>
      </c>
    </row>
    <row r="20" spans="1:18" s="49" customFormat="1" x14ac:dyDescent="0.25">
      <c r="A20" s="45" t="s">
        <v>50</v>
      </c>
      <c r="B20" s="45" t="s">
        <v>82</v>
      </c>
      <c r="C20" s="46" t="s">
        <v>83</v>
      </c>
      <c r="D20" s="47" t="s">
        <v>175</v>
      </c>
      <c r="E20" s="45" t="s">
        <v>108</v>
      </c>
      <c r="F20" s="48">
        <v>18</v>
      </c>
      <c r="G20" s="48">
        <f>COUNTIFS(Feuil1!$C$2:$C$1001, "Place du Nouveau Monde", Feuil1!$D$2:$D$1001, "*Tri sélectif et déchets*",Feuil1!$E$2:$E$1001,"faible")</f>
        <v>0</v>
      </c>
      <c r="H20" s="48">
        <f>COUNTIFS(Feuil1!$C$2:$C$1001, "Place du Nouveau Monde et rue Odette", Feuil1!$D$2:$D$1001, "*Tri sélectif et déchets*",Feuil1!$E$2:$E$1001,"élevée")</f>
        <v>0</v>
      </c>
      <c r="I20" s="48">
        <f>COUNTIFS(Feuil1!$C$2:$C$1001, "Place du Nouveau Monde et rue Odette", Feuil1!$D$2:$D$1001, "*Stationnement et voitures*",Feuil1!$E$2:$E$1001,"faible")</f>
        <v>1</v>
      </c>
      <c r="J20" s="48">
        <f>COUNTIFS(Feuil1!$C$2:$C$1001, "Place du Nouveau Monde et rue Odette", Feuil1!$D$2:$D$1001, "*Stationnement et voitures*",Feuil1!$E$2:$E$1001,"élevée")</f>
        <v>0</v>
      </c>
      <c r="K20" s="48">
        <f>COUNTIFS(Feuil1!$C$2:$C$1001, "Place du Nouveau Monde et rue Odette", Feuil1!$D$2:$D$1001, "*Intranquilité publique/Incivilités/Dégradations/Insécurité*",Feuil1!$E$2:$E$1001,"faible")</f>
        <v>1</v>
      </c>
      <c r="L20" s="48">
        <f>COUNTIFS(Feuil1!$C$2:$C$1001, "Place du Nouveau Monde et rue Odette", Feuil1!$D$2:$D$1001, "*Intranquilité publique/Incivilités/Dégradations/Insécurité*",Feuil1!$E$2:$E$1001,"élevée")</f>
        <v>1</v>
      </c>
      <c r="M20" s="48">
        <f>COUNTIFS(Feuil1!$C$2:$C$1001, "Place du Nouveau Monde et rue Odette", Feuil1!$D$2:$D$1001, "*Entretien espaces verts/luminaires/voiries/résidences*",Feuil1!$E$2:$E$1001,"faible")</f>
        <v>1</v>
      </c>
      <c r="N20" s="48">
        <f>COUNTIFS(Feuil1!$C$2:$C$1001, "Place du Nouveau Monde et rue Odette", Feuil1!$D$2:$D$1001, "*Entretien espaces verts/luminaires/voiries/résidences*",Feuil1!$E$2:$E$1001,"élevée")</f>
        <v>0</v>
      </c>
      <c r="O20" s="48">
        <f>COUNTIFS(Feuil1!$C$2:$C$1001, "Place du Nouveau Monde et rue Odette", Feuil1!$D$2:$D$1001, "*Parfait achèvement et SAV des constructions et réhabilitations*",Feuil1!$E$2:$E$1001,"faible")</f>
        <v>5</v>
      </c>
      <c r="P20" s="48">
        <f>COUNTIFS(Feuil1!$C$2:$C$1001, "Place du Nouveau Monde et rue Odette", Feuil1!$D$2:$D$1001, "*Parfait achèvement et SAV des constructions et réhabilitations*",Feuil1!$E$2:$E$1001,"élevée")</f>
        <v>1</v>
      </c>
      <c r="Q20" s="48">
        <f>COUNTIFS(Feuil1!$C$2:$C$1001, "Place du Nouveau Monde et rue Odette", Feuil1!$D$2:$D$1001, "*Gestion locative/humaine/sociale*",Feuil1!$E$2:$E$1001,"faible")</f>
        <v>3</v>
      </c>
      <c r="R20" s="48">
        <f>COUNTIFS(Feuil1!$C$2:$C$1001, "Place du Nouveau Monde et rue Odette", Feuil1!$D$2:$D$1001, "*Gestion locative/humaine/sociale*",Feuil1!$E$2:$E$1001,"élevée")</f>
        <v>1</v>
      </c>
    </row>
    <row r="21" spans="1:18" hidden="1" x14ac:dyDescent="0.25">
      <c r="A21" s="29" t="s">
        <v>177</v>
      </c>
      <c r="B21" s="29" t="s">
        <v>76</v>
      </c>
      <c r="C21" s="30" t="s">
        <v>90</v>
      </c>
      <c r="D21" s="29" t="s">
        <v>109</v>
      </c>
      <c r="E21" s="29" t="s">
        <v>110</v>
      </c>
      <c r="F21" s="33">
        <v>24</v>
      </c>
      <c r="G21" s="28">
        <f>COUNTIFS(Feuil1!$C$2:$C$1001, "*Sainte Anne*", Feuil1!$D$2:$D$1001, "*Tri sélectif et déchets*",Feuil1!$E$2:$E$1001,"faible")</f>
        <v>0</v>
      </c>
      <c r="H21" s="28">
        <f>COUNTIFS(Feuil1!$C$2:$C$1001, "*Sainte Anne*", Feuil1!$D$2:$D$1001, "*Tri sélectif et déchets*",Feuil1!$E$2:$E$1001,"élevée")</f>
        <v>0</v>
      </c>
      <c r="I21" s="28">
        <f>COUNTIFS(Feuil1!$C$2:$C$1001, "*Sainte Anne*", Feuil1!$D$2:$D$1001, "*Stationnement et voitures*",Feuil1!$E$2:$E$1001,"faible")</f>
        <v>0</v>
      </c>
      <c r="J21" s="28">
        <f>COUNTIFS(Feuil1!$C$2:$C$1001, "*Sainte Anne*", Feuil1!$D$2:$D$1001, "*Stationnement et voitures*",Feuil1!$E$2:$E$1001,"élevée")</f>
        <v>0</v>
      </c>
      <c r="K21" s="28">
        <f>COUNTIFS(Feuil1!$C$2:$C$1001, "*Sainte Anne*", Feuil1!$D$2:$D$1001, "*Intranquilité publique/Incivilités/Dégradations/Insécurité*",Feuil1!$E$2:$E$1001,"faible")</f>
        <v>0</v>
      </c>
      <c r="L21" s="28">
        <f>COUNTIFS(Feuil1!$C$2:$C$1001, "*Sainte Anne*", Feuil1!$D$2:$D$1001, "*Intranquilité publique/Incivilités/Dégradations/Insécurité*",Feuil1!$E$2:$E$1001,"élevée")</f>
        <v>0</v>
      </c>
      <c r="M21" s="28">
        <f>COUNTIFS(Feuil1!$C$2:$C$1001, "*Sainte Anne*", Feuil1!$D$2:$D$1001, "*Entretien espaces verts/luminaires/voiries/résidences*",Feuil1!$E$2:$E$1001,"faible")</f>
        <v>0</v>
      </c>
      <c r="N21" s="28">
        <f>COUNTIFS(Feuil1!$C$2:$C$1001, "*Sainte Anne*", Feuil1!$D$2:$D$1001, "*Entretien espaces verts/luminaires/voiries/résidences*",Feuil1!$E$2:$E$1001,"élevée")</f>
        <v>1</v>
      </c>
      <c r="O21" s="28">
        <f>COUNTIFS(Feuil1!$C$2:$C$1001, "*Sainte Anne*", Feuil1!$D$2:$D$1001, "*Parfait achèvement et SAV des constructions et réhabilitations*",Feuil1!$E$2:$E$1001,"faible")</f>
        <v>0</v>
      </c>
      <c r="P21" s="28">
        <f>COUNTIFS(Feuil1!$C$2:$C$1001, "*Sainte Anne*", Feuil1!$D$2:$D$1001, "*Parfait achèvement et SAV des constructions et réhabilitations*",Feuil1!$E$2:$E$1001,"élevée")</f>
        <v>0</v>
      </c>
      <c r="Q21" s="28">
        <f>COUNTIFS(Feuil1!$C$2:$C$1001, "*Sainte Anne*", Feuil1!$D$2:$D$1001, "*Gestion locative/humaine/sociale*",Feuil1!$E$2:$E$1001,"faible")</f>
        <v>0</v>
      </c>
      <c r="R21" s="28">
        <f>COUNTIFS(Feuil1!$C$2:$C$1001, "*Sainte Anne*", Feuil1!$D$2:$D$1001, "*Gestion locative/humaine/sociale*",Feuil1!$E$2:$E$1001,"élevée")</f>
        <v>0</v>
      </c>
    </row>
    <row r="22" spans="1:18" x14ac:dyDescent="0.25">
      <c r="A22" s="29" t="s">
        <v>50</v>
      </c>
      <c r="B22" s="29" t="s">
        <v>82</v>
      </c>
      <c r="C22" s="30" t="s">
        <v>83</v>
      </c>
      <c r="D22" s="29" t="s">
        <v>170</v>
      </c>
      <c r="E22" s="29" t="s">
        <v>111</v>
      </c>
      <c r="F22" s="33">
        <v>126</v>
      </c>
      <c r="G22" s="28">
        <f>COUNTIFS(Feuil1!$C$2:$C$1001, "*Provinces de France*", Feuil1!$D$2:$D$1001, "*Tri sélectif et déchets*",Feuil1!$E$2:$E$1001,"faible")</f>
        <v>1</v>
      </c>
      <c r="H22" s="28">
        <f>COUNTIFS(Feuil1!$C$2:$C$1001, "*Provinces de France*", Feuil1!$D$2:$D$1001, "*Tri sélectif et déchets*",Feuil1!$E$2:$E$1001,"élevée")</f>
        <v>0</v>
      </c>
      <c r="I22" s="28">
        <f>COUNTIFS(Feuil1!$C$2:$C$1001, "*Provinces de France*", Feuil1!$D$2:$D$1001, "*Stationnement et voitures*",Feuil1!$E$2:$E$1001,"faible")</f>
        <v>2</v>
      </c>
      <c r="J22" s="28">
        <f>COUNTIFS(Feuil1!$C$2:$C$1001, "*Provinces de France*", Feuil1!$D$2:$D$1001, "*Stationnement et voitures*",Feuil1!$E$2:$E$1001,"élevée")</f>
        <v>0</v>
      </c>
      <c r="K22" s="28">
        <f>COUNTIFS(Feuil1!$C$2:$C$1001, "*Provinces de France*", Feuil1!$D$2:$D$1001, "*Intranquilité publique/Incivilités/Dégradations/Insécurité*",Feuil1!$E$2:$E$1001,"faible")</f>
        <v>0</v>
      </c>
      <c r="L22" s="28">
        <f>COUNTIFS(Feuil1!$C$2:$C$1001, "*Provinces de France*", Feuil1!$D$2:$D$1001, "*Intranquilité publique/Incivilités/Dégradations/Insécurité*",Feuil1!$E$2:$E$1001,"élevée")</f>
        <v>0</v>
      </c>
      <c r="M22" s="28">
        <f>COUNTIFS(Feuil1!$C$2:$C$1001, "*Provinces de France*", Feuil1!$D$2:$D$1001, "*Entretien espaces verts/luminaires/voiries/résidences*",Feuil1!$E$2:$E$1001,"faible")</f>
        <v>1</v>
      </c>
      <c r="N22" s="28">
        <f>COUNTIFS(Feuil1!$C$2:$C$1001, "*Provinces de France*", Feuil1!$D$2:$D$1001, "*Entretien espaces verts/luminaires/voiries/résidences*",Feuil1!$E$2:$E$1001,"élevée")</f>
        <v>0</v>
      </c>
      <c r="O22" s="28">
        <f>COUNTIFS(Feuil1!$C$2:$C$1001, "*Provinces de France*", Feuil1!$D$2:$D$1001, "*Parfait achèvement et SAV des constructions et réhabilitations*",Feuil1!$E$2:$E$1001,"faible")</f>
        <v>0</v>
      </c>
      <c r="P22" s="28">
        <f>COUNTIFS(Feuil1!$C$2:$C$1001, "*Provinces de France*", Feuil1!$D$2:$D$1001, "*Parfait achèvement et SAV des constructions et réhabilitations*",Feuil1!$E$2:$E$1001,"élevée")</f>
        <v>0</v>
      </c>
      <c r="Q22" s="28">
        <f>COUNTIFS(Feuil1!$C$2:$C$1001, "*Provinces de France*", Feuil1!$D$2:$D$1001, "*Gestion locative/humaine/sociale*",Feuil1!$E$2:$E$1001,"faible")</f>
        <v>0</v>
      </c>
      <c r="R22" s="28">
        <f>COUNTIFS(Feuil1!$C$2:$C$1001, "*Provinces de France*", Feuil1!$D$2:$D$1001, "*Gestion locative/humaine/sociale*",Feuil1!$E$2:$E$1001,"élevée")</f>
        <v>0</v>
      </c>
    </row>
    <row r="23" spans="1:18" hidden="1" x14ac:dyDescent="0.25">
      <c r="A23" s="29" t="s">
        <v>10</v>
      </c>
      <c r="B23" s="29" t="s">
        <v>76</v>
      </c>
      <c r="C23" s="30" t="s">
        <v>77</v>
      </c>
      <c r="D23" s="29" t="s">
        <v>112</v>
      </c>
      <c r="E23" s="29" t="s">
        <v>113</v>
      </c>
      <c r="F23" s="33">
        <v>192</v>
      </c>
      <c r="G23" s="28">
        <f>COUNTIFS(Feuil1!$C$2:$C$1001, "*Exotiques*", Feuil1!$D$2:$D$1001, "*Tri sélectif et déchets*",Feuil1!$E$2:$E$1001,"faible")</f>
        <v>1</v>
      </c>
      <c r="H23" s="28">
        <f>COUNTIFS(Feuil1!$C$2:$C$1001, "*Exotiques*", Feuil1!$D$2:$D$1001, "*Tri sélectif et déchets*",Feuil1!$E$2:$E$1001,"élevée")</f>
        <v>0</v>
      </c>
      <c r="I23" s="28">
        <f>COUNTIFS(Feuil1!$C$2:$C$1001, "*Exotiques*", Feuil1!$D$2:$D$1001, "*Stationnement et voitures*",Feuil1!$E$2:$E$1001,"faible")</f>
        <v>0</v>
      </c>
      <c r="J23" s="28">
        <f>COUNTIFS(Feuil1!$C$2:$C$1001, "*Exotiques*", Feuil1!$D$2:$D$1001, "*Stationnement et voitures*",Feuil1!$E$2:$E$1001,"élevée")</f>
        <v>0</v>
      </c>
      <c r="K23" s="28">
        <f>COUNTIFS(Feuil1!$C$2:$C$1001, "*Exotiques*", Feuil1!$D$2:$D$1001, "*Intranquilité publique/Incivilités/Dégradations/Insécurité*",Feuil1!$E$2:$E$1001,"faible")</f>
        <v>0</v>
      </c>
      <c r="L23" s="28">
        <f>COUNTIFS(Feuil1!$C$2:$C$1001, "*Exotiques*", Feuil1!$D$2:$D$1001, "*Intranquilité publique/Incivilités/Dégradations/Insécurité*",Feuil1!$E$2:$E$1001,"élevée")</f>
        <v>2</v>
      </c>
      <c r="M23" s="28">
        <f>COUNTIFS(Feuil1!$C$2:$C$1001, "*Exotiques*", Feuil1!$D$2:$D$1001, "*Entretien espaces verts/luminaires/voiries/résidences*",Feuil1!$E$2:$E$1001,"faible")</f>
        <v>0</v>
      </c>
      <c r="N23" s="28">
        <f>COUNTIFS(Feuil1!$C$2:$C$1001, "*Exotiques*", Feuil1!$D$2:$D$1001, "*Entretien espaces verts/luminaires/voiries/résidences*",Feuil1!$E$2:$E$1001,"élevée")</f>
        <v>0</v>
      </c>
      <c r="O23" s="28">
        <f>COUNTIFS(Feuil1!$C$2:$C$1001, "*Exotiques*", Feuil1!$D$2:$D$1001, "*Parfait achèvement et SAV des constructions et réhabilitations*",Feuil1!$E$2:$E$1001,"faible")</f>
        <v>0</v>
      </c>
      <c r="P23" s="28">
        <f>COUNTIFS(Feuil1!$C$2:$C$1001, "*Exotiques*", Feuil1!$D$2:$D$1001, "*Parfait achèvement et SAV des constructions et réhabilitations*",Feuil1!$E$2:$E$1001,"élevée")</f>
        <v>1</v>
      </c>
      <c r="Q23" s="28">
        <f>COUNTIFS(Feuil1!$C$2:$C$1001, "*Exotiques*", Feuil1!$D$2:$D$1001, "*Gestion locative/humaine/sociale*",Feuil1!$E$2:$E$1001,"faible")</f>
        <v>0</v>
      </c>
      <c r="R23" s="28">
        <f>COUNTIFS(Feuil1!$C$2:$C$1001, "*Exotiques*", Feuil1!$D$2:$D$1001, "*Gestion locative/humaine/sociale*",Feuil1!$E$2:$E$1001,"élevée")</f>
        <v>0</v>
      </c>
    </row>
    <row r="24" spans="1:18" hidden="1" x14ac:dyDescent="0.25">
      <c r="A24" s="29" t="s">
        <v>54</v>
      </c>
      <c r="B24" s="29" t="s">
        <v>76</v>
      </c>
      <c r="C24" s="30" t="s">
        <v>6</v>
      </c>
      <c r="D24" s="29" t="s">
        <v>114</v>
      </c>
      <c r="E24" s="29" t="s">
        <v>115</v>
      </c>
      <c r="F24" s="33">
        <v>207</v>
      </c>
      <c r="G24" s="28">
        <f>COUNTIFS(Feuil1!$C$2:$C$1001, "*Bois du Quesnoy*", Feuil1!$D$2:$D$1001, "*Tri sélectif et déchets*",Feuil1!$E$2:$E$1001,"faible")</f>
        <v>0</v>
      </c>
      <c r="H24" s="28">
        <f>COUNTIFS(Feuil1!$C$2:$C$1001, "*Bois du Quesnoy*", Feuil1!$D$2:$D$1001, "*Tri sélectif et déchets*",Feuil1!$E$2:$E$1001,"élevée")</f>
        <v>0</v>
      </c>
      <c r="I24" s="28">
        <f>COUNTIFS(Feuil1!$C$2:$C$1001, "*Bois du Quesnoy*", Feuil1!$D$2:$D$1001, "*Stationnement et voitures*",Feuil1!$E$2:$E$1001,"faible")</f>
        <v>1</v>
      </c>
      <c r="J24" s="28">
        <f>COUNTIFS(Feuil1!$C$2:$C$1001, "*Bois du Quesnoy*", Feuil1!$D$2:$D$1001, "*Stationnement et voitures*",Feuil1!$E$2:$E$1001,"élevée")</f>
        <v>0</v>
      </c>
      <c r="K24" s="28">
        <f>COUNTIFS(Feuil1!$C$2:$C$1001, "*Bois du Quesnoy*", Feuil1!$D$2:$D$1001, "*Intranquilité publique/Incivilités/Dégradations/Insécurité*",Feuil1!$E$2:$E$1001,"faible")</f>
        <v>0</v>
      </c>
      <c r="L24" s="28">
        <f>COUNTIFS(Feuil1!$C$2:$C$1001, "*Bois du Quesnoy*", Feuil1!$D$2:$D$1001, "*Intranquilité publique/Incivilités/Dégradations/Insécurité*",Feuil1!$E$2:$E$1001,"élevée")</f>
        <v>0</v>
      </c>
      <c r="M24" s="28">
        <f>COUNTIFS(Feuil1!$C$2:$C$1001, "*Bois du Quesnoy*", Feuil1!$D$2:$D$1001, "*Entretien espaces verts/luminaires/voiries/résidences*",Feuil1!$E$2:$E$1001,"faible")</f>
        <v>1</v>
      </c>
      <c r="N24" s="28">
        <f>COUNTIFS(Feuil1!$C$2:$C$1001, "*Bois du Quesnoy*", Feuil1!$D$2:$D$1001, "*Entretien espaces verts/luminaires/voiries/résidences*",Feuil1!$E$2:$E$1001,"élevée")</f>
        <v>0</v>
      </c>
      <c r="O24" s="28">
        <f>COUNTIFS(Feuil1!$C$2:$C$1001, "*Bois du Quesnoy*", Feuil1!$D$2:$D$1001, "*Parfait achèvement et SAV des constructions et réhabilitations*",Feuil1!$E$2:$E$1001,"faible")</f>
        <v>1</v>
      </c>
      <c r="P24" s="28">
        <f>COUNTIFS(Feuil1!$C$2:$C$1001, "*Bois du Quesnoy*", Feuil1!$D$2:$D$1001, "*Parfait achèvement et SAV des constructions et réhabilitations*",Feuil1!$E$2:$E$1001,"élevée")</f>
        <v>0</v>
      </c>
      <c r="Q24" s="28">
        <f>COUNTIFS(Feuil1!$C$2:$C$1001, "*Bois du Quesnoy*", Feuil1!$D$2:$D$1001, "*Gestion locative/humaine/sociale*",Feuil1!$E$2:$E$1001,"faible")</f>
        <v>1</v>
      </c>
      <c r="R24" s="28">
        <f>COUNTIFS(Feuil1!$C$2:$C$1001, "*Bois du Quesnoy*", Feuil1!$D$2:$D$1001, "*Gestion locative/humaine/sociale*",Feuil1!$E$2:$E$1001,"élevée")</f>
        <v>1</v>
      </c>
    </row>
    <row r="25" spans="1:18" hidden="1" x14ac:dyDescent="0.25">
      <c r="A25" s="29" t="s">
        <v>54</v>
      </c>
      <c r="B25" s="29" t="s">
        <v>76</v>
      </c>
      <c r="C25" s="30" t="s">
        <v>6</v>
      </c>
      <c r="D25" s="29" t="s">
        <v>116</v>
      </c>
      <c r="E25" s="29" t="s">
        <v>117</v>
      </c>
      <c r="F25" s="33">
        <v>38</v>
      </c>
      <c r="G25" s="28">
        <f>COUNTIFS(Feuil1!$C$2:$C$1001, "*Charcot*", Feuil1!$D$2:$D$1001, "*Tri sélectif et déchets*",Feuil1!$E$2:$E$1001,"faible")</f>
        <v>0</v>
      </c>
      <c r="H25" s="28">
        <f>COUNTIFS(Feuil1!$C$2:$C$1001, "*Charcot*", Feuil1!$D$2:$D$1001, "*Tri sélectif et déchets*",Feuil1!$E$2:$E$1001,"élevée")</f>
        <v>0</v>
      </c>
      <c r="I25" s="28">
        <f>COUNTIFS(Feuil1!$C$2:$C$1001, "*Charcot*", Feuil1!$D$2:$D$1001, "*Stationnement et voitures*",Feuil1!$E$2:$E$1001,"faible")</f>
        <v>0</v>
      </c>
      <c r="J25" s="28">
        <f>COUNTIFS(Feuil1!$C$2:$C$1001, "*Charcot*", Feuil1!$D$2:$D$1001, "*Stationnement et voitures*",Feuil1!$E$2:$E$1001,"élevée")</f>
        <v>0</v>
      </c>
      <c r="K25" s="28">
        <f>COUNTIFS(Feuil1!$C$2:$C$1001, "*Charcot*", Feuil1!$D$2:$D$1001, "*Intranquilité publique/Incivilités/Dégradations/Insécurité*",Feuil1!$E$2:$E$1001,"faible")</f>
        <v>0</v>
      </c>
      <c r="L25" s="28">
        <f>COUNTIFS(Feuil1!$C$2:$C$1001, "*Charcot*", Feuil1!$D$2:$D$1001, "*Intranquilité publique/Incivilités/Dégradations/Insécurité*",Feuil1!$E$2:$E$1001,"élevée")</f>
        <v>0</v>
      </c>
      <c r="M25" s="28">
        <f>COUNTIFS(Feuil1!$C$2:$C$1001, "*Charcot*", Feuil1!$D$2:$D$1001, "*Entretien espaces verts/luminaires/voiries/résidences*",Feuil1!$E$2:$E$1001,"faible")</f>
        <v>0</v>
      </c>
      <c r="N25" s="28">
        <f>COUNTIFS(Feuil1!$C$2:$C$1001, "*Charcot*", Feuil1!$D$2:$D$1001, "*Entretien espaces verts/luminaires/voiries/résidences*",Feuil1!$E$2:$E$1001,"élevée")</f>
        <v>0</v>
      </c>
      <c r="O25" s="28">
        <f>COUNTIFS(Feuil1!$C$2:$C$1001, "*Charcot*", Feuil1!$D$2:$D$1001, "*Parfait achèvement et SAV des constructions et réhabilitations*",Feuil1!$E$2:$E$1001,"faible")</f>
        <v>0</v>
      </c>
      <c r="P25" s="28">
        <f>COUNTIFS(Feuil1!$C$2:$C$1001, "*Charcot*", Feuil1!$D$2:$D$1001, "*Parfait achèvement et SAV des constructions et réhabilitations*",Feuil1!$E$2:$E$1001,"élevée")</f>
        <v>0</v>
      </c>
      <c r="Q25" s="28">
        <f>COUNTIFS(Feuil1!$C$2:$C$1001, "*Charcot*", Feuil1!$D$2:$D$1001, "*Gestion locative/humaine/sociale*",Feuil1!$E$2:$E$1001,"faible")</f>
        <v>0</v>
      </c>
      <c r="R25" s="28">
        <f>COUNTIFS(Feuil1!$C$2:$C$1001, "*Charcot*", Feuil1!$D$2:$D$1001, "*Gestion locative/humaine/sociale*",Feuil1!$E$2:$E$1001,"élevée")</f>
        <v>0</v>
      </c>
    </row>
    <row r="26" spans="1:18" s="54" customFormat="1" hidden="1" x14ac:dyDescent="0.25">
      <c r="A26" s="50" t="s">
        <v>54</v>
      </c>
      <c r="B26" s="50" t="s">
        <v>76</v>
      </c>
      <c r="C26" s="51" t="s">
        <v>6</v>
      </c>
      <c r="D26" s="52" t="s">
        <v>174</v>
      </c>
      <c r="E26" s="50" t="s">
        <v>118</v>
      </c>
      <c r="F26" s="53">
        <v>21</v>
      </c>
      <c r="G26" s="28">
        <f>COUNTIFS(Feuil1!$C$2:$C$1001, "*Rue des ormes et rue du Dr Schweitzer*", Feuil1!$D$2:$D$1001, "*Tri sélectif et déchets*",Feuil1!$E$2:$E$1001,"faible")</f>
        <v>0</v>
      </c>
      <c r="H26" s="28">
        <f>COUNTIFS(Feuil1!$C$2:$C$1001, "*Rue des ormes et rue du Dr Schweitzer*", Feuil1!$D$2:$D$1001, "*Tri sélectif et déchets*",Feuil1!$E$2:$E$1001,"élevée")</f>
        <v>0</v>
      </c>
      <c r="I26" s="28">
        <f>COUNTIFS(Feuil1!$C$2:$C$1001, "*Rue des ormes et rue du Dr Schweitzer*", Feuil1!$D$2:$D$1001, "*Stationnement et voitures*",Feuil1!$E$2:$E$1001,"faible")</f>
        <v>0</v>
      </c>
      <c r="J26" s="28">
        <f>COUNTIFS(Feuil1!$C$2:$C$1001, "*Rue des ormes et rue du Dr Schweitzer*", Feuil1!$D$2:$D$1001, "*Stationnement et voitures*",Feuil1!$E$2:$E$1001,"élevée")</f>
        <v>0</v>
      </c>
      <c r="K26" s="28">
        <f>COUNTIFS(Feuil1!$C$2:$C$1001, "*Rue des ormes et rue du Dr Schweitzer*", Feuil1!$D$2:$D$1001, "*Intranquilité publique/Incivilités/Dégradations/Insécurité*",Feuil1!$E$2:$E$1001,"faible")</f>
        <v>0</v>
      </c>
      <c r="L26" s="28">
        <f>COUNTIFS(Feuil1!$C$2:$C$1001, "*Rue des ormes et rue du Dr Schweitzer*", Feuil1!$D$2:$D$1001, "*Intranquilité publique/Incivilités/Dégradations/Insécurité*",Feuil1!$E$2:$E$1001,"élevée")</f>
        <v>0</v>
      </c>
      <c r="M26" s="28">
        <f>COUNTIFS(Feuil1!$C$2:$C$1001, "*Rue des ormes et rue du Dr Schweitzer*", Feuil1!$D$2:$D$1001, "*Entretien espaces verts/luminaires/voiries/résidences*",Feuil1!$E$2:$E$1001,"faible")</f>
        <v>0</v>
      </c>
      <c r="N26" s="28">
        <f>COUNTIFS(Feuil1!$C$2:$C$1001, "*Rue des ormes et rue du Dr Schweitzer*", Feuil1!$D$2:$D$1001, "*Entretien espaces verts/luminaires/voiries/résidences*",Feuil1!$E$2:$E$1001,"élevée")</f>
        <v>0</v>
      </c>
      <c r="O26" s="28">
        <f>COUNTIFS(Feuil1!$C$2:$C$1001, "*Rue des ormes et rue du Dr Schweitzer*", Feuil1!$D$2:$D$1001, "*Parfait achèvement et SAV des constructions et réhabilitations*",Feuil1!$E$2:$E$1001,"faible")</f>
        <v>0</v>
      </c>
      <c r="P26" s="28">
        <f>COUNTIFS(Feuil1!$C$2:$C$1001, "*Rue des ormes et rue du Dr Schweitzer*", Feuil1!$D$2:$D$1001, "*Parfait achèvement et SAV des constructions et réhabilitations*",Feuil1!$E$2:$E$1001,"élevée")</f>
        <v>0</v>
      </c>
      <c r="Q26" s="28">
        <f>COUNTIFS(Feuil1!$C$2:$C$1001, "*Rue des ormes et rue du Dr Schweitzer*", Feuil1!$D$2:$D$1001, "*Gestion locative/humaine/sociale*",Feuil1!$E$2:$E$1001,"faible")</f>
        <v>1</v>
      </c>
      <c r="R26" s="28">
        <f>COUNTIFS(Feuil1!$C$2:$C$1001, "*Rue des ormes et rue du Dr Schweitzer*", Feuil1!$D$2:$D$1001, "*Gestion locative/humaine/sociale*",Feuil1!$E$2:$E$1001,"élevée")</f>
        <v>0</v>
      </c>
    </row>
    <row r="27" spans="1:18" hidden="1" x14ac:dyDescent="0.25">
      <c r="A27" s="29" t="s">
        <v>54</v>
      </c>
      <c r="B27" s="29" t="s">
        <v>119</v>
      </c>
      <c r="C27" s="30"/>
      <c r="D27" s="29" t="s">
        <v>156</v>
      </c>
      <c r="E27" s="29"/>
      <c r="F27" s="33"/>
      <c r="G27" s="28">
        <f>COUNTIFS(Feuil1!$C$2:$C$1001, "*pôle services publics*", Feuil1!$D$2:$D$1001, "*Tri sélectif et déchets*",Feuil1!$E$2:$E$1001,"faible")</f>
        <v>0</v>
      </c>
      <c r="H27" s="28">
        <f>COUNTIFS(Feuil1!$C$2:$C$1001, "*pôle services publics*", Feuil1!$D$2:$D$1001, "*Tri sélectif et déchets*",Feuil1!$E$2:$E$1001,"élevée")</f>
        <v>0</v>
      </c>
      <c r="I27" s="28">
        <f>COUNTIFS(Feuil1!$C$2:$C$1001, "*pôle services publics*", Feuil1!$D$2:$D$1001, "*Stationnement et voitures*",Feuil1!$E$2:$E$1001,"faible")</f>
        <v>0</v>
      </c>
      <c r="J27" s="28">
        <f>COUNTIFS(Feuil1!$C$2:$C$1001, "*pôle services publics*", Feuil1!$D$2:$D$1001, "*Stationnement et voitures*",Feuil1!$E$2:$E$1001,"élevée")</f>
        <v>0</v>
      </c>
      <c r="K27" s="28">
        <f>COUNTIFS(Feuil1!$C$2:$C$1001, "*pôle services publics*", Feuil1!$D$2:$D$1001, "*Intranquilité publique/Incivilités/Dégradations/Insécurité*",Feuil1!$E$2:$E$1001,"faible")</f>
        <v>0</v>
      </c>
      <c r="L27" s="28">
        <f>COUNTIFS(Feuil1!$C$2:$C$1001, "*pôle services publics*", Feuil1!$D$2:$D$1001, "*Intranquilité publique/Incivilités/Dégradations/Insécurité*",Feuil1!$E$2:$E$1001,"élevée")</f>
        <v>0</v>
      </c>
      <c r="M27" s="28">
        <f>COUNTIFS(Feuil1!$C$2:$C$1001, "*pôle services publics*", Feuil1!$D$2:$D$1001, "*Entretien espaces verts/luminaires/voiries/résidences*",Feuil1!$E$2:$E$1001,"faible")</f>
        <v>0</v>
      </c>
      <c r="N27" s="28">
        <f>COUNTIFS(Feuil1!$C$2:$C$1001, "*pôle services publics*", Feuil1!$D$2:$D$1001, "*Entretien espaces verts/luminaires/voiries/résidences*",Feuil1!$E$2:$E$1001,"élevée")</f>
        <v>1</v>
      </c>
      <c r="O27" s="28">
        <f>COUNTIFS(Feuil1!$C$2:$C$1001, "*pôle services publics*", Feuil1!$D$2:$D$1001, "*Parfait achèvement et SAV des constructions et réhabilitations*",Feuil1!$E$2:$E$1001,"faible")</f>
        <v>1</v>
      </c>
      <c r="P27" s="28">
        <f>COUNTIFS(Feuil1!$C$2:$C$1001, "*pôle services publics*", Feuil1!$D$2:$D$1001, "*Parfait achèvement et SAV des constructions et réhabilitations*",Feuil1!$E$2:$E$1001,"élevée")</f>
        <v>0</v>
      </c>
      <c r="Q27" s="28">
        <f>COUNTIFS(Feuil1!$C$2:$C$1001, "*pôle services publics*", Feuil1!$D$2:$D$1001, "*Gestion locative/humaine/sociale*",Feuil1!$E$2:$E$1001,"faible")</f>
        <v>0</v>
      </c>
      <c r="R27" s="28">
        <f>COUNTIFS(Feuil1!$C$2:$C$1001, "*pôle services publics*", Feuil1!$D$2:$D$1001, "*Gestion locative/humaine/sociale*",Feuil1!$E$2:$E$1001,"élevée")</f>
        <v>0</v>
      </c>
    </row>
    <row r="28" spans="1:18" hidden="1" x14ac:dyDescent="0.25">
      <c r="A28" s="29" t="s">
        <v>50</v>
      </c>
      <c r="B28" s="29" t="s">
        <v>119</v>
      </c>
      <c r="C28" s="30"/>
      <c r="D28" s="29" t="s">
        <v>31</v>
      </c>
      <c r="E28" s="29" t="s">
        <v>120</v>
      </c>
      <c r="F28" s="33"/>
      <c r="G28" s="28">
        <f>COUNTIFS(Feuil1!$C$2:$C$1001, "*Les Hortensias*", Feuil1!$D$2:$D$1001, "*Tri sélectif et déchets*",Feuil1!$E$2:$E$1001,"faible")</f>
        <v>3</v>
      </c>
      <c r="H28" s="28">
        <f>COUNTIFS(Feuil1!$C$2:$C$1001, "*Les Hortensias*", Feuil1!$D$2:$D$1001, "*Tri sélectif et déchets*",Feuil1!$E$2:$E$1001,"élevée")</f>
        <v>0</v>
      </c>
      <c r="I28" s="28">
        <f>COUNTIFS(Feuil1!$C$2:$C$1001, "*Les Hortensias*", Feuil1!$D$2:$D$1001, "*Stationnement et voitures*",Feuil1!$E$2:$E$1001,"faible")</f>
        <v>0</v>
      </c>
      <c r="J28" s="28">
        <f>COUNTIFS(Feuil1!$C$2:$C$1001, "*Les Hortensias*", Feuil1!$D$2:$D$1001, "*Stationnement et voitures*",Feuil1!$E$2:$E$1001,"élevée")</f>
        <v>0</v>
      </c>
      <c r="K28" s="28">
        <f>COUNTIFS(Feuil1!$C$2:$C$1001, "*Les Hortensias*", Feuil1!$D$2:$D$1001, "*Intranquilité publique/Incivilités/Dégradations/Insécurité*",Feuil1!$E$2:$E$1001,"faible")</f>
        <v>0</v>
      </c>
      <c r="L28" s="28">
        <f>COUNTIFS(Feuil1!$C$2:$C$1001, "*Les Hortensias*", Feuil1!$D$2:$D$1001, "*Intranquilité publique/Incivilités/Dégradations/Insécurité*",Feuil1!$E$2:$E$1001,"élevée")</f>
        <v>0</v>
      </c>
      <c r="M28" s="28">
        <f>COUNTIFS(Feuil1!$C$2:$C$1001, "*Les Hortensias*", Feuil1!$D$2:$D$1001, "*Entretien espaces verts/luminaires/voiries/résidences*",Feuil1!$E$2:$E$1001,"faible")</f>
        <v>3</v>
      </c>
      <c r="N28" s="28">
        <f>COUNTIFS(Feuil1!$C$2:$C$1001, "*Les Hortensias*", Feuil1!$D$2:$D$1001, "*Entretien espaces verts/luminaires/voiries/résidences*",Feuil1!$E$2:$E$1001,"élevée")</f>
        <v>2</v>
      </c>
      <c r="O28" s="28">
        <f>COUNTIFS(Feuil1!$C$2:$C$1001, "*Les Hortensias*", Feuil1!$D$2:$D$1001, "*Parfait achèvement et SAV des constructions et réhabilitations*",Feuil1!$E$2:$E$1001,"faible")</f>
        <v>4</v>
      </c>
      <c r="P28" s="28">
        <f>COUNTIFS(Feuil1!$C$2:$C$1001, "*Les Hortensias*", Feuil1!$D$2:$D$1001, "*Parfait achèvement et SAV des constructions et réhabilitations*",Feuil1!$E$2:$E$1001,"élevée")</f>
        <v>0</v>
      </c>
      <c r="Q28" s="28">
        <f>COUNTIFS(Feuil1!$C$2:$C$1001, "*Les Hortensias*", Feuil1!$D$2:$D$1001, "*Gestion locative/humaine/sociale*",Feuil1!$E$2:$E$1001,"faible")</f>
        <v>8</v>
      </c>
      <c r="R28" s="28">
        <f>COUNTIFS(Feuil1!$C$2:$C$1001, "*Les Hortensias*", Feuil1!$D$2:$D$1001, "*Gestion locative/humaine/sociale*",Feuil1!$E$2:$E$1001,"élevée")</f>
        <v>0</v>
      </c>
    </row>
    <row r="29" spans="1:18" hidden="1" x14ac:dyDescent="0.25">
      <c r="A29" s="29" t="s">
        <v>10</v>
      </c>
      <c r="B29" s="29" t="s">
        <v>119</v>
      </c>
      <c r="C29" s="30"/>
      <c r="D29" s="29" t="s">
        <v>121</v>
      </c>
      <c r="E29" s="29" t="s">
        <v>122</v>
      </c>
      <c r="F29" s="33"/>
      <c r="G29" s="28">
        <f>COUNTIFS(Feuil1!$C$2:$C$1001, "*du Port*", Feuil1!$D$2:$D$1001, "*Tri sélectif et déchets*",Feuil1!$E$2:$E$1001,"faible")</f>
        <v>0</v>
      </c>
      <c r="H29" s="28">
        <f>COUNTIFS(Feuil1!$C$2:$C$1001, "*du Port*", Feuil1!$D$2:$D$1001, "*Tri sélectif et déchets*",Feuil1!$E$2:$E$1001,"élevée")</f>
        <v>0</v>
      </c>
      <c r="I29" s="28">
        <f>COUNTIFS(Feuil1!$C$2:$C$1001, "*du Port*", Feuil1!$D$2:$D$1001, "*Stationnement et voitures*",Feuil1!$E$2:$E$1001,"faible")</f>
        <v>0</v>
      </c>
      <c r="J29" s="28">
        <f>COUNTIFS(Feuil1!$C$2:$C$1001, "*du Port*", Feuil1!$D$2:$D$1001, "*Stationnement et voitures*",Feuil1!$E$2:$E$1001,"élevée")</f>
        <v>0</v>
      </c>
      <c r="K29" s="28">
        <f>COUNTIFS(Feuil1!$C$2:$C$1001, "*du Port*", Feuil1!$D$2:$D$1001, "*Intranquilité publique/Incivilités/Dégradations/Insécurité*",Feuil1!$E$2:$E$1001,"faible")</f>
        <v>1</v>
      </c>
      <c r="L29" s="28">
        <f>COUNTIFS(Feuil1!$C$2:$C$1001, "*du Port*", Feuil1!$D$2:$D$1001, "*Intranquilité publique/Incivilités/Dégradations/Insécurité*",Feuil1!$E$2:$E$1001,"élevée")</f>
        <v>0</v>
      </c>
      <c r="M29" s="28">
        <f>COUNTIFS(Feuil1!$C$2:$C$1001, "*du Port*", Feuil1!$D$2:$D$1001, "*Entretien espaces verts/luminaires/voiries/résidences*",Feuil1!$E$2:$E$1001,"faible")</f>
        <v>1</v>
      </c>
      <c r="N29" s="28">
        <f>COUNTIFS(Feuil1!$C$2:$C$1001, "*du Port*", Feuil1!$D$2:$D$1001, "*Entretien espaces verts/luminaires/voiries/résidences*",Feuil1!$E$2:$E$1001,"élevée")</f>
        <v>0</v>
      </c>
      <c r="O29" s="28">
        <f>COUNTIFS(Feuil1!$C$2:$C$1001, "*du Port*", Feuil1!$D$2:$D$1001, "*Parfait achèvement et SAV des constructions et réhabilitations*",Feuil1!$E$2:$E$1001,"faible")</f>
        <v>2</v>
      </c>
      <c r="P29" s="28">
        <f>COUNTIFS(Feuil1!$C$2:$C$1001, "*du Port*", Feuil1!$D$2:$D$1001, "*Parfait achèvement et SAV des constructions et réhabilitations*",Feuil1!$E$2:$E$1001,"élevée")</f>
        <v>0</v>
      </c>
      <c r="Q29" s="28">
        <f>COUNTIFS(Feuil1!$C$2:$C$1001, "*du Port*", Feuil1!$D$2:$D$1001, "*Gestion locative/humaine/sociale*",Feuil1!$E$2:$E$1001,"faible")</f>
        <v>0</v>
      </c>
      <c r="R29" s="28">
        <f>COUNTIFS(Feuil1!$C$2:$C$1001, "*du Port*", Feuil1!$D$2:$D$1001, "*Gestion locative/humaine/sociale*",Feuil1!$E$2:$E$1001,"élevée")</f>
        <v>0</v>
      </c>
    </row>
    <row r="30" spans="1:18" hidden="1" x14ac:dyDescent="0.25">
      <c r="A30" s="30" t="s">
        <v>10</v>
      </c>
      <c r="B30" s="34" t="s">
        <v>119</v>
      </c>
      <c r="C30" s="34"/>
      <c r="D30" s="34" t="s">
        <v>123</v>
      </c>
      <c r="E30" s="34" t="s">
        <v>124</v>
      </c>
      <c r="F30" s="34"/>
      <c r="G30" s="28">
        <f>COUNTIFS(Feuil1!$C$2:$C$1001, "*Guy de Maupassant*", Feuil1!$D$2:$D$1001, "*Tri sélectif et déchets*",Feuil1!$E$2:$E$1001,"faible")</f>
        <v>1</v>
      </c>
      <c r="H30" s="28">
        <f>COUNTIFS(Feuil1!$C$2:$C$1001, "*Guy de Maupassant*", Feuil1!$D$2:$D$1001, "*Tri sélectif et déchets*",Feuil1!$E$2:$E$1001,"élevée")</f>
        <v>0</v>
      </c>
      <c r="I30" s="28">
        <f>COUNTIFS(Feuil1!$C$2:$C$1001, "*Guy de Maupassant*", Feuil1!$D$2:$D$1001, "*Stationnement et voitures*",Feuil1!$E$2:$E$1001,"faible")</f>
        <v>1</v>
      </c>
      <c r="J30" s="28">
        <f>COUNTIFS(Feuil1!$C$2:$C$1001, "*Guy de Maupassant*", Feuil1!$D$2:$D$1001, "*Stationnement et voitures*",Feuil1!$E$2:$E$1001,"élevée")</f>
        <v>0</v>
      </c>
      <c r="K30" s="28">
        <f>COUNTIFS(Feuil1!$C$2:$C$1001, "*Guy de Maupassant*", Feuil1!$D$2:$D$1001, "*Intranquilité publique/Incivilités/Dégradations/Insécurité*",Feuil1!$E$2:$E$1001,"faible")</f>
        <v>0</v>
      </c>
      <c r="L30" s="28">
        <f>COUNTIFS(Feuil1!$C$2:$C$1001, "*Guy de Maupassant*", Feuil1!$D$2:$D$1001, "*Intranquilité publique/Incivilités/Dégradations/Insécurité*",Feuil1!$E$2:$E$1001,"élevée")</f>
        <v>0</v>
      </c>
      <c r="M30" s="28">
        <f>COUNTIFS(Feuil1!$C$2:$C$1001, "*Guy de Maupassant*", Feuil1!$D$2:$D$1001, "*Entretien espaces verts/luminaires/voiries/résidences*",Feuil1!$E$2:$E$1001,"faible")</f>
        <v>4</v>
      </c>
      <c r="N30" s="28">
        <f>COUNTIFS(Feuil1!$C$2:$C$1001, "*Guy de Maupassant*", Feuil1!$D$2:$D$1001, "*Entretien espaces verts/luminaires/voiries/résidences*",Feuil1!$E$2:$E$1001,"élevée")</f>
        <v>0</v>
      </c>
      <c r="O30" s="28">
        <f>COUNTIFS(Feuil1!$C$2:$C$1001, "*Guy de Maupassant*", Feuil1!$D$2:$D$1001, "*Parfait achèvement et SAV des constructions et réhabilitations*",Feuil1!$E$2:$E$1001,"faible")</f>
        <v>5</v>
      </c>
      <c r="P30" s="28">
        <f>COUNTIFS(Feuil1!$C$2:$C$1001, "*Guy de Maupassant*", Feuil1!$D$2:$D$1001, "*Parfait achèvement et SAV des constructions et réhabilitations*",Feuil1!$E$2:$E$1001,"élevée")</f>
        <v>0</v>
      </c>
      <c r="Q30" s="28">
        <f>COUNTIFS(Feuil1!$C$2:$C$1001, "*Guy de Maupassant*", Feuil1!$D$2:$D$1001, "*Gestion locative/humaine/sociale*",Feuil1!$E$2:$E$1001,"faible")</f>
        <v>0</v>
      </c>
      <c r="R30" s="28">
        <f>COUNTIFS(Feuil1!$C$2:$C$1001, "*Guy de Maupassant*", Feuil1!$D$2:$D$1001, "*Gestion locative/humaine/sociale*",Feuil1!$E$2:$E$1001,"élevée")</f>
        <v>0</v>
      </c>
    </row>
    <row r="31" spans="1:18" hidden="1" x14ac:dyDescent="0.25">
      <c r="A31" s="30" t="s">
        <v>177</v>
      </c>
      <c r="B31" s="34"/>
      <c r="C31" s="34"/>
      <c r="D31" s="34" t="s">
        <v>125</v>
      </c>
      <c r="E31" s="34" t="s">
        <v>126</v>
      </c>
      <c r="F31" s="34"/>
      <c r="G31" s="28">
        <f>COUNTIFS(Feuil1!$C$2:$C$1001, "*Jules Ferry*", Feuil1!$D$2:$D$1001, "*Tri sélectif et déchets*",Feuil1!$E$2:$E$1001,"faible")</f>
        <v>0</v>
      </c>
      <c r="H31" s="28">
        <f>COUNTIFS(Feuil1!$C$2:$C$1001, "*Jules Ferry*", Feuil1!$D$2:$D$1001, "*Tri sélectif et déchets*",Feuil1!$E$2:$E$1001,"élevée")</f>
        <v>0</v>
      </c>
      <c r="I31" s="28">
        <f>COUNTIFS(Feuil1!$C$2:$C$1001, "*Jules Ferry*", Feuil1!$D$2:$D$1001, "*Stationnement et voitures*",Feuil1!$E$2:$E$1001,"faible")</f>
        <v>0</v>
      </c>
      <c r="J31" s="28">
        <f>COUNTIFS(Feuil1!$C$2:$C$1001, "*Jules Ferry*", Feuil1!$D$2:$D$1001, "*Stationnement et voitures*",Feuil1!$E$2:$E$1001,"élevée")</f>
        <v>0</v>
      </c>
      <c r="K31" s="28">
        <f>COUNTIFS(Feuil1!$C$2:$C$1001, "*Jules Ferry*", Feuil1!$D$2:$D$1001, "*Intranquilité publique/Incivilités/Dégradations/Insécurité*",Feuil1!$E$2:$E$1001,"faible")</f>
        <v>0</v>
      </c>
      <c r="L31" s="28">
        <f>COUNTIFS(Feuil1!$C$2:$C$1001, "*Jules Ferry*", Feuil1!$D$2:$D$1001, "*Intranquilité publique/Incivilités/Dégradations/Insécurité*",Feuil1!$E$2:$E$1001,"élevée")</f>
        <v>0</v>
      </c>
      <c r="M31" s="28">
        <f>COUNTIFS(Feuil1!$C$2:$C$1001, "*Jules Ferry*", Feuil1!$D$2:$D$1001, "*Entretien espaces verts/luminaires/voiries/résidences*",Feuil1!$E$2:$E$1001,"faible")</f>
        <v>0</v>
      </c>
      <c r="N31" s="28">
        <f>COUNTIFS(Feuil1!$C$2:$C$1001, "*Jules Ferry*", Feuil1!$D$2:$D$1001, "*Entretien espaces verts/luminaires/voiries/résidences*",Feuil1!$E$2:$E$1001,"élevée")</f>
        <v>1</v>
      </c>
      <c r="O31" s="28">
        <f>COUNTIFS(Feuil1!$C$2:$C$1001, "*Jules Ferry*", Feuil1!$D$2:$D$1001, "*Parfait achèvement et SAV des constructions et réhabilitations*",Feuil1!$E$2:$E$1001,"faible")</f>
        <v>0</v>
      </c>
      <c r="P31" s="28">
        <f>COUNTIFS(Feuil1!$C$2:$C$1001, "*Jules Ferry*", Feuil1!$D$2:$D$1001, "*Parfait achèvement et SAV des constructions et réhabilitations*",Feuil1!$E$2:$E$1001,"élevée")</f>
        <v>0</v>
      </c>
      <c r="Q31" s="28">
        <f>COUNTIFS(Feuil1!$C$2:$C$1001, "*Jules Ferry*", Feuil1!$D$2:$D$1001, "*Gestion locative/humaine/sociale*",Feuil1!$E$2:$E$1001,"faible")</f>
        <v>0</v>
      </c>
      <c r="R31" s="28">
        <f>COUNTIFS(Feuil1!$C$2:$C$1001, "*Jules Ferry*", Feuil1!$D$2:$D$1001, "*Gestion locative/humaine/sociale*",Feuil1!$E$2:$E$1001,"élevée")</f>
        <v>0</v>
      </c>
    </row>
    <row r="32" spans="1:18" hidden="1" x14ac:dyDescent="0.25">
      <c r="A32" s="1" t="s">
        <v>10</v>
      </c>
      <c r="B32" s="1" t="s">
        <v>119</v>
      </c>
      <c r="C32" s="1"/>
      <c r="D32" s="1" t="s">
        <v>127</v>
      </c>
      <c r="E32" s="1"/>
      <c r="F32" s="1"/>
      <c r="G32" s="28">
        <f>COUNTIFS(Feuil1!$C$2:$C$1001, "*Suzanne Noël*", Feuil1!$D$2:$D$1001, "*Tri sélectif et déchets*",Feuil1!$E$2:$E$1001,"faible")</f>
        <v>0</v>
      </c>
      <c r="H32" s="28">
        <f>COUNTIFS(Feuil1!$C$2:$C$1001, "*Suzanne Noël*", Feuil1!$D$2:$D$1001, "*Tri sélectif et déchets*",Feuil1!$E$2:$E$1001,"élevée")</f>
        <v>0</v>
      </c>
      <c r="I32" s="28">
        <f>COUNTIFS(Feuil1!$C$2:$C$1001, "*Suzanne Noël*", Feuil1!$D$2:$D$1001, "*Stationnement et voitures*",Feuil1!$E$2:$E$1001,"faible")</f>
        <v>0</v>
      </c>
      <c r="J32" s="28">
        <f>COUNTIFS(Feuil1!$C$2:$C$1001, "*Suzanne Noël*", Feuil1!$D$2:$D$1001, "*Stationnement et voitures*",Feuil1!$E$2:$E$1001,"élevée")</f>
        <v>0</v>
      </c>
      <c r="K32" s="28">
        <f>COUNTIFS(Feuil1!$C$2:$C$1001, "*Suzanne Noël*", Feuil1!$D$2:$D$1001, "*Intranquilité publique/Incivilités/Dégradations/Insécurité*",Feuil1!$E$2:$E$1001,"faible")</f>
        <v>1</v>
      </c>
      <c r="L32" s="28">
        <f>COUNTIFS(Feuil1!$C$2:$C$1001, "*Suzanne Noël*", Feuil1!$D$2:$D$1001, "*Intranquilité publique/Incivilités/Dégradations/Insécurité*",Feuil1!$E$2:$E$1001,"élevée")</f>
        <v>0</v>
      </c>
      <c r="M32" s="28">
        <f>COUNTIFS(Feuil1!$C$2:$C$1001, "*Suzanne Noël*", Feuil1!$D$2:$D$1001, "*Entretien espaces verts/luminaires/voiries/résidences*",Feuil1!$E$2:$E$1001,"faible")</f>
        <v>2</v>
      </c>
      <c r="N32" s="28">
        <f>COUNTIFS(Feuil1!$C$2:$C$1001, "*Suzanne Noël*", Feuil1!$D$2:$D$1001, "*Entretien espaces verts/luminaires/voiries/résidences*",Feuil1!$E$2:$E$1001,"élevée")</f>
        <v>1</v>
      </c>
      <c r="O32" s="28">
        <f>COUNTIFS(Feuil1!$C$2:$C$1001, "*Suzanne Noël*", Feuil1!$D$2:$D$1001, "*Parfait achèvement et SAV des constructions et réhabilitations*",Feuil1!$E$2:$E$1001,"faible")</f>
        <v>4</v>
      </c>
      <c r="P32" s="28">
        <f>COUNTIFS(Feuil1!$C$2:$C$1001, "*Suzanne Noël*", Feuil1!$D$2:$D$1001, "*Parfait achèvement et SAV des constructions et réhabilitations*",Feuil1!$E$2:$E$1001,"élevée")</f>
        <v>1</v>
      </c>
      <c r="Q32" s="28">
        <f>COUNTIFS(Feuil1!$C$2:$C$1001, "*Suzanne Noël*", Feuil1!$D$2:$D$1001, "*Gestion locative/humaine/sociale*",Feuil1!$E$2:$E$1001,"faible")</f>
        <v>1</v>
      </c>
      <c r="R32" s="28">
        <f>COUNTIFS(Feuil1!$C$2:$C$1001, "*Suzanne Noël*", Feuil1!$D$2:$D$1001, "*Gestion locative/humaine/sociale*",Feuil1!$E$2:$E$1001,"élevée")</f>
        <v>0</v>
      </c>
    </row>
    <row r="33" spans="2:13" hidden="1" x14ac:dyDescent="0.25">
      <c r="B33" s="35" t="s">
        <v>76</v>
      </c>
      <c r="C33" s="36" t="s">
        <v>6</v>
      </c>
      <c r="D33" s="35" t="s">
        <v>128</v>
      </c>
      <c r="E33" s="35" t="s">
        <v>128</v>
      </c>
      <c r="F33" s="37">
        <v>20</v>
      </c>
      <c r="G33" s="37"/>
    </row>
    <row r="34" spans="2:13" hidden="1" x14ac:dyDescent="0.25">
      <c r="B34" s="35" t="s">
        <v>76</v>
      </c>
      <c r="C34" s="36" t="s">
        <v>6</v>
      </c>
      <c r="D34" s="35" t="s">
        <v>129</v>
      </c>
      <c r="E34" s="35" t="s">
        <v>129</v>
      </c>
      <c r="F34" s="37">
        <v>7</v>
      </c>
      <c r="G34" s="37"/>
    </row>
    <row r="35" spans="2:13" x14ac:dyDescent="0.25">
      <c r="B35" s="35" t="s">
        <v>76</v>
      </c>
      <c r="C35" s="36" t="s">
        <v>83</v>
      </c>
      <c r="D35" s="35" t="s">
        <v>130</v>
      </c>
      <c r="E35" s="35" t="s">
        <v>130</v>
      </c>
      <c r="F35" s="37">
        <v>17</v>
      </c>
      <c r="G35" s="37"/>
    </row>
    <row r="36" spans="2:13" x14ac:dyDescent="0.25">
      <c r="B36" s="35" t="s">
        <v>82</v>
      </c>
      <c r="C36" s="36" t="s">
        <v>83</v>
      </c>
      <c r="D36" s="35" t="s">
        <v>131</v>
      </c>
      <c r="E36" s="35" t="s">
        <v>131</v>
      </c>
      <c r="F36" s="37">
        <v>37</v>
      </c>
      <c r="G36" s="37"/>
    </row>
    <row r="37" spans="2:13" x14ac:dyDescent="0.25">
      <c r="B37" s="35" t="s">
        <v>82</v>
      </c>
      <c r="C37" s="36" t="s">
        <v>83</v>
      </c>
      <c r="D37" s="35" t="s">
        <v>132</v>
      </c>
      <c r="E37" s="35" t="s">
        <v>132</v>
      </c>
      <c r="F37" s="37">
        <v>28</v>
      </c>
      <c r="G37" s="37"/>
      <c r="M37" s="38"/>
    </row>
    <row r="38" spans="2:13" hidden="1" x14ac:dyDescent="0.25">
      <c r="B38" s="35" t="s">
        <v>76</v>
      </c>
      <c r="C38" s="36" t="s">
        <v>90</v>
      </c>
      <c r="D38" s="35" t="s">
        <v>133</v>
      </c>
      <c r="E38" s="35" t="s">
        <v>134</v>
      </c>
      <c r="F38" s="37">
        <v>15</v>
      </c>
      <c r="G38" s="37"/>
    </row>
    <row r="39" spans="2:13" hidden="1" x14ac:dyDescent="0.25">
      <c r="B39" s="35" t="s">
        <v>82</v>
      </c>
      <c r="C39" s="36"/>
      <c r="D39" s="35" t="s">
        <v>135</v>
      </c>
      <c r="E39" s="35" t="s">
        <v>136</v>
      </c>
      <c r="F39" s="37">
        <v>20</v>
      </c>
      <c r="G39" s="37"/>
    </row>
    <row r="40" spans="2:13" hidden="1" x14ac:dyDescent="0.25">
      <c r="F40" s="39">
        <v>1115</v>
      </c>
      <c r="G40" s="40"/>
    </row>
    <row r="42" spans="2:13" x14ac:dyDescent="0.25">
      <c r="B42" s="41" t="s">
        <v>137</v>
      </c>
    </row>
    <row r="43" spans="2:13" x14ac:dyDescent="0.25">
      <c r="B43" t="s">
        <v>82</v>
      </c>
      <c r="D43" t="s">
        <v>138</v>
      </c>
      <c r="F43" t="str">
        <f t="array" aca="1" ref="F43" ca="1">INDEX(C3:C100,MIN(IF(SUBTOTAL(3,OFFSET(C4,ROW(C3:C100),)),ROW(C5:C100))),1)</f>
        <v>Hortensias</v>
      </c>
    </row>
    <row r="44" spans="2:13" x14ac:dyDescent="0.25">
      <c r="B44" t="s">
        <v>76</v>
      </c>
      <c r="D44" t="s">
        <v>139</v>
      </c>
      <c r="G44" t="s">
        <v>178</v>
      </c>
      <c r="H44" t="s">
        <v>179</v>
      </c>
      <c r="I44" t="s">
        <v>180</v>
      </c>
      <c r="J44" t="s">
        <v>181</v>
      </c>
      <c r="K44" t="s">
        <v>182</v>
      </c>
      <c r="L44" t="s">
        <v>183</v>
      </c>
    </row>
    <row r="45" spans="2:13" x14ac:dyDescent="0.25">
      <c r="F45" t="str">
        <f t="array" ref="F45:F46">TRANSPOSE(G3:H3)</f>
        <v>Gravité faible</v>
      </c>
      <c r="G45">
        <f>_xlfn.AGGREGATE(9,5,G4:G32)</f>
        <v>1</v>
      </c>
      <c r="H45">
        <f>_xlfn.AGGREGATE(9,5,I4:I32)</f>
        <v>5</v>
      </c>
      <c r="I45">
        <f>_xlfn.AGGREGATE(9,5,K4:K32)</f>
        <v>4</v>
      </c>
      <c r="J45">
        <f>_xlfn.AGGREGATE(9,5,M4:M32)</f>
        <v>5</v>
      </c>
      <c r="K45">
        <f>_xlfn.AGGREGATE(9,5,O4:O32)</f>
        <v>7</v>
      </c>
      <c r="L45">
        <f>_xlfn.AGGREGATE(9,5,Q4:Q32)</f>
        <v>4</v>
      </c>
    </row>
    <row r="46" spans="2:13" x14ac:dyDescent="0.25">
      <c r="B46" t="s">
        <v>140</v>
      </c>
      <c r="F46" t="str">
        <v>Gravité élevée</v>
      </c>
      <c r="G46">
        <f>_xlfn.AGGREGATE(9,5,H4:H32)</f>
        <v>0</v>
      </c>
      <c r="H46">
        <f>_xlfn.AGGREGATE(9,5,J4:J32)</f>
        <v>0</v>
      </c>
      <c r="I46">
        <f>_xlfn.AGGREGATE(9,5,L4:L32)</f>
        <v>1</v>
      </c>
      <c r="J46">
        <f>_xlfn.AGGREGATE(9,5,N4:N32)</f>
        <v>0</v>
      </c>
      <c r="K46">
        <f>_xlfn.AGGREGATE(9,5,P4:P32)</f>
        <v>3</v>
      </c>
      <c r="L46">
        <f>_xlfn.AGGREGATE(9,5,R4:R32)</f>
        <v>2</v>
      </c>
    </row>
    <row r="47" spans="2:13" x14ac:dyDescent="0.25">
      <c r="D47" t="s">
        <v>141</v>
      </c>
    </row>
    <row r="52" spans="2:21" x14ac:dyDescent="0.25">
      <c r="T52" s="74" t="s">
        <v>178</v>
      </c>
      <c r="U52" t="s">
        <v>68</v>
      </c>
    </row>
    <row r="53" spans="2:21" x14ac:dyDescent="0.25">
      <c r="T53" s="74" t="s">
        <v>179</v>
      </c>
      <c r="U53" t="s">
        <v>69</v>
      </c>
    </row>
    <row r="54" spans="2:21" x14ac:dyDescent="0.25">
      <c r="B54" t="s">
        <v>64</v>
      </c>
      <c r="T54" s="74" t="s">
        <v>180</v>
      </c>
      <c r="U54" t="s">
        <v>161</v>
      </c>
    </row>
    <row r="55" spans="2:21" x14ac:dyDescent="0.25">
      <c r="B55" t="s">
        <v>6</v>
      </c>
      <c r="T55" s="74" t="s">
        <v>181</v>
      </c>
      <c r="U55" t="s">
        <v>70</v>
      </c>
    </row>
    <row r="56" spans="2:21" x14ac:dyDescent="0.25">
      <c r="B56" t="s">
        <v>77</v>
      </c>
      <c r="T56" s="74" t="s">
        <v>182</v>
      </c>
      <c r="U56" t="s">
        <v>71</v>
      </c>
    </row>
    <row r="57" spans="2:21" x14ac:dyDescent="0.25">
      <c r="B57" t="s">
        <v>83</v>
      </c>
      <c r="T57" s="74" t="s">
        <v>183</v>
      </c>
      <c r="U57" t="s">
        <v>72</v>
      </c>
    </row>
    <row r="58" spans="2:21" x14ac:dyDescent="0.25">
      <c r="B58" t="s">
        <v>90</v>
      </c>
    </row>
  </sheetData>
  <autoFilter ref="A3:R40">
    <filterColumn colId="2">
      <filters>
        <filter val="Hortensias"/>
      </filters>
    </filterColumn>
  </autoFilter>
  <sortState ref="B55:B76">
    <sortCondition ref="B55:B76"/>
  </sortState>
  <mergeCells count="12">
    <mergeCell ref="O2:P2"/>
    <mergeCell ref="Q2:R2"/>
    <mergeCell ref="B1:F1"/>
    <mergeCell ref="H1:R1"/>
    <mergeCell ref="C2:C3"/>
    <mergeCell ref="D2:D3"/>
    <mergeCell ref="E2:E3"/>
    <mergeCell ref="F2:F3"/>
    <mergeCell ref="G2:H2"/>
    <mergeCell ref="I2:J2"/>
    <mergeCell ref="K2:L2"/>
    <mergeCell ref="M2:N2"/>
  </mergeCells>
  <dataValidations count="1">
    <dataValidation type="list" allowBlank="1" showInputMessage="1" showErrorMessage="1" sqref="A1:A2 A4:A1048576">
      <formula1>"Centre-ville , Bois du Quesnoy , Quartier du Fort , Rive-Gauche"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stagiaire.dsu</dc:creator>
  <cp:lastModifiedBy>Jean-Eric</cp:lastModifiedBy>
  <cp:lastPrinted>2013-07-31T14:00:32Z</cp:lastPrinted>
  <dcterms:created xsi:type="dcterms:W3CDTF">2013-07-12T07:42:04Z</dcterms:created>
  <dcterms:modified xsi:type="dcterms:W3CDTF">2013-10-25T11:15:17Z</dcterms:modified>
</cp:coreProperties>
</file>