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tables/table12.xml" ContentType="application/vnd.openxmlformats-officedocument.spreadsheetml.table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45" windowWidth="19440" windowHeight="7665" activeTab="5"/>
  </bookViews>
  <sheets>
    <sheet name="Calendrier" sheetId="21" r:id="rId1"/>
    <sheet name="progression" sheetId="14" r:id="rId2"/>
    <sheet name="04fevr  (2)" sheetId="19" r:id="rId3"/>
    <sheet name="09 fevr " sheetId="11" r:id="rId4"/>
    <sheet name="Feuil3" sheetId="13" r:id="rId5"/>
    <sheet name="Feuil2" sheetId="20" r:id="rId6"/>
  </sheets>
  <calcPr calcId="145621"/>
</workbook>
</file>

<file path=xl/calcChain.xml><?xml version="1.0" encoding="utf-8"?>
<calcChain xmlns="http://schemas.openxmlformats.org/spreadsheetml/2006/main">
  <c r="C1" i="20" l="1"/>
  <c r="B1" i="20"/>
  <c r="B3" i="20"/>
  <c r="C3" i="20"/>
  <c r="D3" i="20"/>
  <c r="E3" i="20"/>
  <c r="F3" i="20"/>
  <c r="B4" i="20"/>
  <c r="C4" i="20"/>
  <c r="D4" i="20"/>
  <c r="E4" i="20"/>
  <c r="F4" i="20"/>
  <c r="B5" i="20"/>
  <c r="C5" i="20"/>
  <c r="D5" i="20"/>
  <c r="E5" i="20"/>
  <c r="F5" i="20"/>
  <c r="B6" i="20"/>
  <c r="C6" i="20"/>
  <c r="D6" i="20"/>
  <c r="E6" i="20"/>
  <c r="F6" i="20"/>
  <c r="B7" i="20"/>
  <c r="C7" i="20"/>
  <c r="D7" i="20"/>
  <c r="E7" i="20"/>
  <c r="F7" i="20"/>
  <c r="B8" i="20"/>
  <c r="C8" i="20"/>
  <c r="D8" i="20"/>
  <c r="E8" i="20"/>
  <c r="F8" i="20"/>
  <c r="B9" i="20"/>
  <c r="C9" i="20"/>
  <c r="D9" i="20"/>
  <c r="E9" i="20"/>
  <c r="F9" i="20"/>
  <c r="B10" i="20"/>
  <c r="C10" i="20"/>
  <c r="D10" i="20"/>
  <c r="E10" i="20"/>
  <c r="F10" i="20"/>
  <c r="B11" i="20"/>
  <c r="C11" i="20"/>
  <c r="D11" i="20"/>
  <c r="E11" i="20"/>
  <c r="F11" i="20"/>
  <c r="B12" i="20"/>
  <c r="C12" i="20"/>
  <c r="D12" i="20"/>
  <c r="E12" i="20"/>
  <c r="F12" i="20"/>
  <c r="B13" i="20"/>
  <c r="C13" i="20"/>
  <c r="D13" i="20"/>
  <c r="E13" i="20"/>
  <c r="F13" i="20"/>
  <c r="B14" i="20"/>
  <c r="C14" i="20"/>
  <c r="D14" i="20"/>
  <c r="E14" i="20"/>
  <c r="F14" i="20"/>
  <c r="B15" i="20"/>
  <c r="C15" i="20"/>
  <c r="D15" i="20"/>
  <c r="E15" i="20"/>
  <c r="F15" i="20"/>
  <c r="B16" i="20"/>
  <c r="C16" i="20"/>
  <c r="D16" i="20"/>
  <c r="E16" i="20"/>
  <c r="F16" i="20"/>
  <c r="B17" i="20"/>
  <c r="C17" i="20"/>
  <c r="D17" i="20"/>
  <c r="E17" i="20"/>
  <c r="F17" i="20"/>
  <c r="B18" i="20"/>
  <c r="C18" i="20"/>
  <c r="D18" i="20"/>
  <c r="E18" i="20"/>
  <c r="F18" i="20"/>
  <c r="B19" i="20"/>
  <c r="C19" i="20"/>
  <c r="D19" i="20"/>
  <c r="E19" i="20"/>
  <c r="F19" i="20"/>
  <c r="B20" i="20"/>
  <c r="C20" i="20"/>
  <c r="D20" i="20"/>
  <c r="E20" i="20"/>
  <c r="F20" i="20"/>
  <c r="B21" i="20"/>
  <c r="C21" i="20"/>
  <c r="D21" i="20"/>
  <c r="E21" i="20"/>
  <c r="F21" i="20"/>
  <c r="B22" i="20"/>
  <c r="C22" i="20"/>
  <c r="D22" i="20"/>
  <c r="E22" i="20"/>
  <c r="F22" i="20"/>
  <c r="B23" i="20"/>
  <c r="C23" i="20"/>
  <c r="D23" i="20"/>
  <c r="E23" i="20"/>
  <c r="F23" i="20"/>
  <c r="B24" i="20"/>
  <c r="C24" i="20"/>
  <c r="D24" i="20"/>
  <c r="E24" i="20"/>
  <c r="F24" i="20"/>
  <c r="B25" i="20"/>
  <c r="C25" i="20"/>
  <c r="D25" i="20"/>
  <c r="E25" i="20"/>
  <c r="F25" i="20"/>
  <c r="B26" i="20"/>
  <c r="C26" i="20"/>
  <c r="D26" i="20"/>
  <c r="E26" i="20"/>
  <c r="F26" i="20"/>
  <c r="B27" i="20"/>
  <c r="C27" i="20"/>
  <c r="D27" i="20"/>
  <c r="E27" i="20"/>
  <c r="F27" i="20"/>
  <c r="C2" i="20"/>
  <c r="D2" i="20"/>
  <c r="E2" i="20"/>
  <c r="F2" i="20"/>
  <c r="B2" i="20"/>
  <c r="B50" i="14"/>
  <c r="B49" i="14"/>
  <c r="B20" i="14"/>
  <c r="AV51" i="19"/>
  <c r="BC30" i="19"/>
  <c r="BC29" i="19"/>
  <c r="BC28" i="19"/>
  <c r="AC28" i="19"/>
  <c r="BC27" i="19"/>
  <c r="AR27" i="19"/>
  <c r="AP27" i="19"/>
  <c r="AN27" i="19"/>
  <c r="AL27" i="19"/>
  <c r="AJ27" i="19"/>
  <c r="AH27" i="19"/>
  <c r="AD27" i="19"/>
  <c r="AB27" i="19"/>
  <c r="Z27" i="19"/>
  <c r="X27" i="19"/>
  <c r="V27" i="19"/>
  <c r="T27" i="19"/>
  <c r="P27" i="19"/>
  <c r="N27" i="19"/>
  <c r="L27" i="19"/>
  <c r="J27" i="19"/>
  <c r="F27" i="19"/>
  <c r="AR26" i="19"/>
  <c r="AP26" i="19"/>
  <c r="AN26" i="19"/>
  <c r="AL26" i="19"/>
  <c r="AJ26" i="19"/>
  <c r="AH26" i="19"/>
  <c r="AD26" i="19"/>
  <c r="AB26" i="19"/>
  <c r="Z26" i="19"/>
  <c r="X26" i="19"/>
  <c r="V26" i="19"/>
  <c r="T26" i="19"/>
  <c r="P26" i="19"/>
  <c r="N26" i="19"/>
  <c r="L26" i="19"/>
  <c r="J26" i="19"/>
  <c r="F26" i="19"/>
  <c r="BC25" i="19"/>
  <c r="AR25" i="19"/>
  <c r="AP25" i="19"/>
  <c r="AN25" i="19"/>
  <c r="AL25" i="19"/>
  <c r="AJ25" i="19"/>
  <c r="AH25" i="19"/>
  <c r="AD25" i="19"/>
  <c r="AB25" i="19"/>
  <c r="Z25" i="19"/>
  <c r="X25" i="19"/>
  <c r="V25" i="19"/>
  <c r="T25" i="19"/>
  <c r="P25" i="19"/>
  <c r="N25" i="19"/>
  <c r="L25" i="19"/>
  <c r="J25" i="19"/>
  <c r="F25" i="19"/>
  <c r="BC24" i="19"/>
  <c r="AR24" i="19"/>
  <c r="AP24" i="19"/>
  <c r="AN24" i="19"/>
  <c r="AL24" i="19"/>
  <c r="AJ24" i="19"/>
  <c r="AH24" i="19"/>
  <c r="AD24" i="19"/>
  <c r="AB24" i="19"/>
  <c r="Z24" i="19"/>
  <c r="X24" i="19"/>
  <c r="V24" i="19"/>
  <c r="T24" i="19"/>
  <c r="P24" i="19"/>
  <c r="N24" i="19"/>
  <c r="L24" i="19"/>
  <c r="J24" i="19"/>
  <c r="F24" i="19"/>
  <c r="BC23" i="19"/>
  <c r="AR23" i="19"/>
  <c r="AP23" i="19"/>
  <c r="AN23" i="19"/>
  <c r="AL23" i="19"/>
  <c r="AJ23" i="19"/>
  <c r="AH23" i="19"/>
  <c r="AD23" i="19"/>
  <c r="AB23" i="19"/>
  <c r="Z23" i="19"/>
  <c r="X23" i="19"/>
  <c r="V23" i="19"/>
  <c r="T23" i="19"/>
  <c r="P23" i="19"/>
  <c r="N23" i="19"/>
  <c r="L23" i="19"/>
  <c r="J23" i="19"/>
  <c r="F23" i="19"/>
  <c r="BC22" i="19"/>
  <c r="AV22" i="19"/>
  <c r="AR22" i="19"/>
  <c r="AP22" i="19"/>
  <c r="AN22" i="19"/>
  <c r="AL22" i="19"/>
  <c r="AJ22" i="19"/>
  <c r="AH22" i="19"/>
  <c r="AD22" i="19"/>
  <c r="AB22" i="19"/>
  <c r="Z22" i="19"/>
  <c r="X22" i="19"/>
  <c r="V22" i="19"/>
  <c r="T22" i="19"/>
  <c r="P22" i="19"/>
  <c r="N22" i="19"/>
  <c r="L22" i="19"/>
  <c r="J22" i="19"/>
  <c r="F22" i="19"/>
  <c r="BC21" i="19"/>
  <c r="AR21" i="19"/>
  <c r="AP21" i="19"/>
  <c r="AN21" i="19"/>
  <c r="AL21" i="19"/>
  <c r="AJ21" i="19"/>
  <c r="AH21" i="19"/>
  <c r="AD21" i="19"/>
  <c r="AB21" i="19"/>
  <c r="Z21" i="19"/>
  <c r="X21" i="19"/>
  <c r="V21" i="19"/>
  <c r="T21" i="19"/>
  <c r="P21" i="19"/>
  <c r="N21" i="19"/>
  <c r="L21" i="19"/>
  <c r="J21" i="19"/>
  <c r="F21" i="19"/>
  <c r="BC20" i="19"/>
  <c r="AR20" i="19"/>
  <c r="AP20" i="19"/>
  <c r="AN20" i="19"/>
  <c r="AL20" i="19"/>
  <c r="AJ20" i="19"/>
  <c r="AH20" i="19"/>
  <c r="AD20" i="19"/>
  <c r="AB20" i="19"/>
  <c r="Z20" i="19"/>
  <c r="X20" i="19"/>
  <c r="V20" i="19"/>
  <c r="T20" i="19"/>
  <c r="P20" i="19"/>
  <c r="N20" i="19"/>
  <c r="L20" i="19"/>
  <c r="J20" i="19"/>
  <c r="F20" i="19"/>
  <c r="BC19" i="19"/>
  <c r="AR19" i="19"/>
  <c r="AP19" i="19"/>
  <c r="AN19" i="19"/>
  <c r="AL19" i="19"/>
  <c r="AJ19" i="19"/>
  <c r="AH19" i="19"/>
  <c r="AD19" i="19"/>
  <c r="AB19" i="19"/>
  <c r="Z19" i="19"/>
  <c r="X19" i="19"/>
  <c r="V19" i="19"/>
  <c r="T19" i="19"/>
  <c r="P19" i="19"/>
  <c r="N19" i="19"/>
  <c r="L19" i="19"/>
  <c r="J19" i="19"/>
  <c r="F19" i="19"/>
  <c r="BC18" i="19"/>
  <c r="AR18" i="19"/>
  <c r="AP18" i="19"/>
  <c r="AN18" i="19"/>
  <c r="AL18" i="19"/>
  <c r="AJ18" i="19"/>
  <c r="AH18" i="19"/>
  <c r="AD18" i="19"/>
  <c r="AB18" i="19"/>
  <c r="Z18" i="19"/>
  <c r="X18" i="19"/>
  <c r="V18" i="19"/>
  <c r="T18" i="19"/>
  <c r="P18" i="19"/>
  <c r="N18" i="19"/>
  <c r="L18" i="19"/>
  <c r="J18" i="19"/>
  <c r="F18" i="19"/>
  <c r="BC17" i="19"/>
  <c r="AR17" i="19"/>
  <c r="AP17" i="19"/>
  <c r="AN17" i="19"/>
  <c r="AL17" i="19"/>
  <c r="AJ17" i="19"/>
  <c r="AH17" i="19"/>
  <c r="AD17" i="19"/>
  <c r="AB17" i="19"/>
  <c r="Z17" i="19"/>
  <c r="X17" i="19"/>
  <c r="V17" i="19"/>
  <c r="T17" i="19"/>
  <c r="P17" i="19"/>
  <c r="N17" i="19"/>
  <c r="L17" i="19"/>
  <c r="J17" i="19"/>
  <c r="F17" i="19"/>
  <c r="BC16" i="19"/>
  <c r="AR16" i="19"/>
  <c r="AP16" i="19"/>
  <c r="AN16" i="19"/>
  <c r="AL16" i="19"/>
  <c r="AJ16" i="19"/>
  <c r="AH16" i="19"/>
  <c r="AD16" i="19"/>
  <c r="AB16" i="19"/>
  <c r="Z16" i="19"/>
  <c r="X16" i="19"/>
  <c r="V16" i="19"/>
  <c r="T16" i="19"/>
  <c r="P16" i="19"/>
  <c r="N16" i="19"/>
  <c r="L16" i="19"/>
  <c r="J16" i="19"/>
  <c r="F16" i="19"/>
  <c r="BC15" i="19"/>
  <c r="AR15" i="19"/>
  <c r="AP15" i="19"/>
  <c r="AN15" i="19"/>
  <c r="AL15" i="19"/>
  <c r="AJ15" i="19"/>
  <c r="AH15" i="19"/>
  <c r="AD15" i="19"/>
  <c r="AB15" i="19"/>
  <c r="Z15" i="19"/>
  <c r="X15" i="19"/>
  <c r="V15" i="19"/>
  <c r="T15" i="19"/>
  <c r="P15" i="19"/>
  <c r="N15" i="19"/>
  <c r="L15" i="19"/>
  <c r="J15" i="19"/>
  <c r="F15" i="19"/>
  <c r="BC14" i="19"/>
  <c r="AR14" i="19"/>
  <c r="AP14" i="19"/>
  <c r="AN14" i="19"/>
  <c r="AL14" i="19"/>
  <c r="AJ14" i="19"/>
  <c r="AH14" i="19"/>
  <c r="AD14" i="19"/>
  <c r="AB14" i="19"/>
  <c r="Z14" i="19"/>
  <c r="X14" i="19"/>
  <c r="V14" i="19"/>
  <c r="T14" i="19"/>
  <c r="P14" i="19"/>
  <c r="N14" i="19"/>
  <c r="L14" i="19"/>
  <c r="J14" i="19"/>
  <c r="F14" i="19"/>
  <c r="BC13" i="19"/>
  <c r="AR13" i="19"/>
  <c r="AP13" i="19"/>
  <c r="AN13" i="19"/>
  <c r="AL13" i="19"/>
  <c r="AJ13" i="19"/>
  <c r="AH13" i="19"/>
  <c r="AD13" i="19"/>
  <c r="AB13" i="19"/>
  <c r="Z13" i="19"/>
  <c r="X13" i="19"/>
  <c r="V13" i="19"/>
  <c r="T13" i="19"/>
  <c r="P13" i="19"/>
  <c r="N13" i="19"/>
  <c r="L13" i="19"/>
  <c r="J13" i="19"/>
  <c r="F13" i="19"/>
  <c r="BC12" i="19"/>
  <c r="AR12" i="19"/>
  <c r="AP12" i="19"/>
  <c r="AN12" i="19"/>
  <c r="AL12" i="19"/>
  <c r="AJ12" i="19"/>
  <c r="AH12" i="19"/>
  <c r="AD12" i="19"/>
  <c r="AB12" i="19"/>
  <c r="Z12" i="19"/>
  <c r="X12" i="19"/>
  <c r="V12" i="19"/>
  <c r="T12" i="19"/>
  <c r="P12" i="19"/>
  <c r="N12" i="19"/>
  <c r="L12" i="19"/>
  <c r="J12" i="19"/>
  <c r="F12" i="19"/>
  <c r="BC11" i="19"/>
  <c r="AR11" i="19"/>
  <c r="AP11" i="19"/>
  <c r="AN11" i="19"/>
  <c r="AL11" i="19"/>
  <c r="AJ11" i="19"/>
  <c r="AH11" i="19"/>
  <c r="AD11" i="19"/>
  <c r="AB11" i="19"/>
  <c r="Z11" i="19"/>
  <c r="X11" i="19"/>
  <c r="V11" i="19"/>
  <c r="T11" i="19"/>
  <c r="P11" i="19"/>
  <c r="N11" i="19"/>
  <c r="L11" i="19"/>
  <c r="J11" i="19"/>
  <c r="F11" i="19"/>
  <c r="BC10" i="19"/>
  <c r="AR10" i="19"/>
  <c r="AP10" i="19"/>
  <c r="AN10" i="19"/>
  <c r="AL10" i="19"/>
  <c r="AJ10" i="19"/>
  <c r="AH10" i="19"/>
  <c r="AD10" i="19"/>
  <c r="AB10" i="19"/>
  <c r="Z10" i="19"/>
  <c r="X10" i="19"/>
  <c r="V10" i="19"/>
  <c r="T10" i="19"/>
  <c r="P10" i="19"/>
  <c r="N10" i="19"/>
  <c r="L10" i="19"/>
  <c r="J10" i="19"/>
  <c r="F10" i="19"/>
  <c r="BC9" i="19"/>
  <c r="AR9" i="19"/>
  <c r="AP9" i="19"/>
  <c r="AN9" i="19"/>
  <c r="AL9" i="19"/>
  <c r="AJ9" i="19"/>
  <c r="AH9" i="19"/>
  <c r="AD9" i="19"/>
  <c r="AB9" i="19"/>
  <c r="Z9" i="19"/>
  <c r="X9" i="19"/>
  <c r="V9" i="19"/>
  <c r="T9" i="19"/>
  <c r="P9" i="19"/>
  <c r="N9" i="19"/>
  <c r="L9" i="19"/>
  <c r="J9" i="19"/>
  <c r="F9" i="19"/>
  <c r="BC8" i="19"/>
  <c r="AR8" i="19"/>
  <c r="AP8" i="19"/>
  <c r="AN8" i="19"/>
  <c r="AL8" i="19"/>
  <c r="AJ8" i="19"/>
  <c r="AH8" i="19"/>
  <c r="AD8" i="19"/>
  <c r="AB8" i="19"/>
  <c r="Z8" i="19"/>
  <c r="X8" i="19"/>
  <c r="V8" i="19"/>
  <c r="T8" i="19"/>
  <c r="P8" i="19"/>
  <c r="N8" i="19"/>
  <c r="L8" i="19"/>
  <c r="J8" i="19"/>
  <c r="F8" i="19"/>
  <c r="BC7" i="19"/>
  <c r="AR7" i="19"/>
  <c r="AP7" i="19"/>
  <c r="AN7" i="19"/>
  <c r="AL7" i="19"/>
  <c r="AJ7" i="19"/>
  <c r="AH7" i="19"/>
  <c r="AD7" i="19"/>
  <c r="AB7" i="19"/>
  <c r="Z7" i="19"/>
  <c r="X7" i="19"/>
  <c r="V7" i="19"/>
  <c r="T7" i="19"/>
  <c r="P7" i="19"/>
  <c r="N7" i="19"/>
  <c r="L7" i="19"/>
  <c r="J7" i="19"/>
  <c r="F7" i="19"/>
  <c r="BC6" i="19"/>
  <c r="BB6" i="19"/>
  <c r="BB7" i="19" s="1"/>
  <c r="AR6" i="19"/>
  <c r="AP6" i="19"/>
  <c r="AN6" i="19"/>
  <c r="AL6" i="19"/>
  <c r="AJ6" i="19"/>
  <c r="AH6" i="19"/>
  <c r="AD6" i="19"/>
  <c r="AB6" i="19"/>
  <c r="Z6" i="19"/>
  <c r="X6" i="19"/>
  <c r="V6" i="19"/>
  <c r="BC26" i="19" s="1"/>
  <c r="T6" i="19"/>
  <c r="P6" i="19"/>
  <c r="N6" i="19"/>
  <c r="L6" i="19"/>
  <c r="J6" i="19"/>
  <c r="F6" i="19"/>
  <c r="BC5" i="19"/>
  <c r="BD5" i="19" s="1"/>
  <c r="AR5" i="19"/>
  <c r="AP5" i="19"/>
  <c r="AN5" i="19"/>
  <c r="AL5" i="19"/>
  <c r="AJ5" i="19"/>
  <c r="AH5" i="19"/>
  <c r="AD5" i="19"/>
  <c r="AB5" i="19"/>
  <c r="Z5" i="19"/>
  <c r="X5" i="19"/>
  <c r="V5" i="19"/>
  <c r="T5" i="19"/>
  <c r="P5" i="19"/>
  <c r="N5" i="19"/>
  <c r="L5" i="19"/>
  <c r="J5" i="19"/>
  <c r="F5" i="19"/>
  <c r="AR4" i="19"/>
  <c r="AP4" i="19"/>
  <c r="AN4" i="19"/>
  <c r="AL4" i="19"/>
  <c r="AJ4" i="19"/>
  <c r="AH4" i="19"/>
  <c r="AD4" i="19"/>
  <c r="AB4" i="19"/>
  <c r="Z4" i="19"/>
  <c r="X4" i="19"/>
  <c r="V4" i="19"/>
  <c r="T4" i="19"/>
  <c r="P4" i="19"/>
  <c r="N4" i="19"/>
  <c r="L4" i="19"/>
  <c r="J4" i="19"/>
  <c r="F4" i="19"/>
  <c r="AR3" i="19"/>
  <c r="AP3" i="19"/>
  <c r="AN3" i="19"/>
  <c r="AL3" i="19"/>
  <c r="AJ3" i="19"/>
  <c r="AH3" i="19"/>
  <c r="AD3" i="19"/>
  <c r="AB3" i="19"/>
  <c r="Z3" i="19"/>
  <c r="X3" i="19"/>
  <c r="AV35" i="19" s="1"/>
  <c r="V3" i="19"/>
  <c r="T3" i="19"/>
  <c r="P3" i="19"/>
  <c r="N3" i="19"/>
  <c r="L3" i="19"/>
  <c r="J3" i="19"/>
  <c r="F3" i="19"/>
  <c r="AR2" i="19"/>
  <c r="AR28" i="19" s="1"/>
  <c r="AP2" i="19"/>
  <c r="B47" i="14" s="1"/>
  <c r="AN2" i="19"/>
  <c r="AN28" i="19" s="1"/>
  <c r="AL2" i="19"/>
  <c r="B45" i="14" s="1"/>
  <c r="AJ2" i="19"/>
  <c r="AJ28" i="19" s="1"/>
  <c r="AH2" i="19"/>
  <c r="B43" i="14" s="1"/>
  <c r="AD2" i="19"/>
  <c r="AD28" i="19" s="1"/>
  <c r="AB2" i="19"/>
  <c r="B35" i="14" s="1"/>
  <c r="Z2" i="19"/>
  <c r="AV36" i="19" s="1"/>
  <c r="V2" i="19"/>
  <c r="T2" i="19"/>
  <c r="AV33" i="19" s="1"/>
  <c r="P2" i="19"/>
  <c r="N2" i="19"/>
  <c r="N28" i="19" s="1"/>
  <c r="L2" i="19"/>
  <c r="J2" i="19"/>
  <c r="J28" i="19" s="1"/>
  <c r="F2" i="19"/>
  <c r="B19" i="14" s="1"/>
  <c r="B49" i="13"/>
  <c r="B50" i="13"/>
  <c r="B20" i="13"/>
  <c r="F3" i="11"/>
  <c r="J3" i="11"/>
  <c r="L3" i="11"/>
  <c r="B22" i="13" s="1"/>
  <c r="N3" i="11"/>
  <c r="P3" i="11"/>
  <c r="P29" i="11" s="1"/>
  <c r="F4" i="11"/>
  <c r="J4" i="11"/>
  <c r="B21" i="13" s="1"/>
  <c r="L4" i="11"/>
  <c r="N4" i="11"/>
  <c r="B23" i="13" s="1"/>
  <c r="P4" i="11"/>
  <c r="F5" i="11"/>
  <c r="J5" i="11"/>
  <c r="L5" i="11"/>
  <c r="N5" i="11"/>
  <c r="P5" i="11"/>
  <c r="F6" i="11"/>
  <c r="J6" i="11"/>
  <c r="L6" i="11"/>
  <c r="N6" i="11"/>
  <c r="P6" i="11"/>
  <c r="F7" i="11"/>
  <c r="J7" i="11"/>
  <c r="L7" i="11"/>
  <c r="N7" i="11"/>
  <c r="P7" i="11"/>
  <c r="F8" i="11"/>
  <c r="J8" i="11"/>
  <c r="L8" i="11"/>
  <c r="N8" i="11"/>
  <c r="P8" i="11"/>
  <c r="F9" i="11"/>
  <c r="J9" i="11"/>
  <c r="L9" i="11"/>
  <c r="N9" i="11"/>
  <c r="P9" i="11"/>
  <c r="F10" i="11"/>
  <c r="J10" i="11"/>
  <c r="L10" i="11"/>
  <c r="N10" i="11"/>
  <c r="P10" i="11"/>
  <c r="F11" i="11"/>
  <c r="J11" i="11"/>
  <c r="L11" i="11"/>
  <c r="N11" i="11"/>
  <c r="P11" i="11"/>
  <c r="F12" i="11"/>
  <c r="J12" i="11"/>
  <c r="L12" i="11"/>
  <c r="N12" i="11"/>
  <c r="P12" i="11"/>
  <c r="F13" i="11"/>
  <c r="J13" i="11"/>
  <c r="L13" i="11"/>
  <c r="N13" i="11"/>
  <c r="P13" i="11"/>
  <c r="F14" i="11"/>
  <c r="J14" i="11"/>
  <c r="L14" i="11"/>
  <c r="N14" i="11"/>
  <c r="P14" i="11"/>
  <c r="F15" i="11"/>
  <c r="J15" i="11"/>
  <c r="L15" i="11"/>
  <c r="N15" i="11"/>
  <c r="P15" i="11"/>
  <c r="F16" i="11"/>
  <c r="J16" i="11"/>
  <c r="L16" i="11"/>
  <c r="N16" i="11"/>
  <c r="P16" i="11"/>
  <c r="F17" i="11"/>
  <c r="J17" i="11"/>
  <c r="L17" i="11"/>
  <c r="N17" i="11"/>
  <c r="P17" i="11"/>
  <c r="F18" i="11"/>
  <c r="J18" i="11"/>
  <c r="L18" i="11"/>
  <c r="N18" i="11"/>
  <c r="P18" i="11"/>
  <c r="F19" i="11"/>
  <c r="J19" i="11"/>
  <c r="L19" i="11"/>
  <c r="N19" i="11"/>
  <c r="P19" i="11"/>
  <c r="F20" i="11"/>
  <c r="J20" i="11"/>
  <c r="L20" i="11"/>
  <c r="N20" i="11"/>
  <c r="P20" i="11"/>
  <c r="F21" i="11"/>
  <c r="J21" i="11"/>
  <c r="L21" i="11"/>
  <c r="N21" i="11"/>
  <c r="P21" i="11"/>
  <c r="F22" i="11"/>
  <c r="J22" i="11"/>
  <c r="L22" i="11"/>
  <c r="N22" i="11"/>
  <c r="P22" i="11"/>
  <c r="F23" i="11"/>
  <c r="J23" i="11"/>
  <c r="L23" i="11"/>
  <c r="N23" i="11"/>
  <c r="P23" i="11"/>
  <c r="F24" i="11"/>
  <c r="J24" i="11"/>
  <c r="L24" i="11"/>
  <c r="N24" i="11"/>
  <c r="P24" i="11"/>
  <c r="F25" i="11"/>
  <c r="J25" i="11"/>
  <c r="L25" i="11"/>
  <c r="N25" i="11"/>
  <c r="P25" i="11"/>
  <c r="F26" i="11"/>
  <c r="J26" i="11"/>
  <c r="L26" i="11"/>
  <c r="N26" i="11"/>
  <c r="P26" i="11"/>
  <c r="F27" i="11"/>
  <c r="J27" i="11"/>
  <c r="L27" i="11"/>
  <c r="N27" i="11"/>
  <c r="P27" i="11"/>
  <c r="F28" i="11"/>
  <c r="J28" i="11"/>
  <c r="L28" i="11"/>
  <c r="N28" i="11"/>
  <c r="P28" i="11"/>
  <c r="N29" i="11"/>
  <c r="AV52" i="11"/>
  <c r="BC31" i="11"/>
  <c r="BC30" i="11"/>
  <c r="BC29" i="11"/>
  <c r="BC28" i="11"/>
  <c r="BC26" i="11"/>
  <c r="BC25" i="11"/>
  <c r="BC20" i="11"/>
  <c r="BC19" i="11"/>
  <c r="BC24" i="11"/>
  <c r="BC22" i="11"/>
  <c r="AH9" i="11"/>
  <c r="AJ9" i="11"/>
  <c r="AL9" i="11"/>
  <c r="AN9" i="11"/>
  <c r="AP9" i="11"/>
  <c r="AR9" i="11"/>
  <c r="T9" i="11"/>
  <c r="V9" i="11"/>
  <c r="X9" i="11"/>
  <c r="Z9" i="11"/>
  <c r="AB9" i="11"/>
  <c r="AD9" i="11"/>
  <c r="BC23" i="11"/>
  <c r="BC21" i="11"/>
  <c r="BC18" i="11"/>
  <c r="BC17" i="11"/>
  <c r="BC16" i="11"/>
  <c r="BC15" i="11"/>
  <c r="BC14" i="11"/>
  <c r="BC13" i="11"/>
  <c r="BC12" i="11"/>
  <c r="BC11" i="11"/>
  <c r="BC6" i="11"/>
  <c r="BD6" i="11" s="1"/>
  <c r="BC7" i="11"/>
  <c r="BC9" i="11"/>
  <c r="BC8" i="11"/>
  <c r="BC10" i="11"/>
  <c r="BB7" i="11"/>
  <c r="BB8" i="11" s="1"/>
  <c r="BB9" i="11" s="1"/>
  <c r="BB10" i="11" s="1"/>
  <c r="BB11" i="11" s="1"/>
  <c r="BB12" i="11" s="1"/>
  <c r="BB13" i="11" s="1"/>
  <c r="BB14" i="11" s="1"/>
  <c r="BB15" i="11" s="1"/>
  <c r="BB16" i="11" s="1"/>
  <c r="BB17" i="11" s="1"/>
  <c r="BB18" i="11" s="1"/>
  <c r="BB19" i="11" s="1"/>
  <c r="BB20" i="11" s="1"/>
  <c r="BB21" i="11" s="1"/>
  <c r="BB22" i="11" s="1"/>
  <c r="BB23" i="11" s="1"/>
  <c r="BB24" i="11" s="1"/>
  <c r="BB25" i="11" s="1"/>
  <c r="BB26" i="11" s="1"/>
  <c r="BB27" i="11" s="1"/>
  <c r="BB28" i="11" s="1"/>
  <c r="BB29" i="11" s="1"/>
  <c r="AC29" i="11"/>
  <c r="AR3" i="11"/>
  <c r="AR4" i="11"/>
  <c r="AR5" i="11"/>
  <c r="AR6" i="11"/>
  <c r="AR7" i="11"/>
  <c r="AR8" i="11"/>
  <c r="AR10" i="11"/>
  <c r="AR11" i="11"/>
  <c r="AR12" i="11"/>
  <c r="AR13" i="11"/>
  <c r="AR14" i="11"/>
  <c r="AR15" i="11"/>
  <c r="AR16" i="11"/>
  <c r="AR17" i="11"/>
  <c r="AR18" i="11"/>
  <c r="AR19" i="11"/>
  <c r="AR20" i="11"/>
  <c r="AR21" i="11"/>
  <c r="AR22" i="11"/>
  <c r="AR23" i="11"/>
  <c r="AR24" i="11"/>
  <c r="AR25" i="11"/>
  <c r="AR26" i="11"/>
  <c r="AR27" i="11"/>
  <c r="AR28" i="11"/>
  <c r="AD3" i="11"/>
  <c r="AD4" i="11"/>
  <c r="AD5" i="11"/>
  <c r="AD6" i="11"/>
  <c r="AD7" i="11"/>
  <c r="AD8" i="11"/>
  <c r="AD10" i="11"/>
  <c r="AD11" i="11"/>
  <c r="AD12" i="11"/>
  <c r="AD13" i="11"/>
  <c r="AD14" i="11"/>
  <c r="AD15" i="11"/>
  <c r="AD16" i="11"/>
  <c r="AD17" i="11"/>
  <c r="AD18" i="11"/>
  <c r="AD19" i="11"/>
  <c r="AD20" i="11"/>
  <c r="AD21" i="11"/>
  <c r="AD22" i="11"/>
  <c r="AD23" i="11"/>
  <c r="AD24" i="11"/>
  <c r="AD25" i="11"/>
  <c r="AD26" i="11"/>
  <c r="AD27" i="11"/>
  <c r="AD28" i="11"/>
  <c r="AP28" i="11"/>
  <c r="AN28" i="11"/>
  <c r="AL28" i="11"/>
  <c r="AJ28" i="11"/>
  <c r="AH28" i="11"/>
  <c r="AP27" i="11"/>
  <c r="AN27" i="11"/>
  <c r="AL27" i="11"/>
  <c r="AJ27" i="11"/>
  <c r="AH27" i="11"/>
  <c r="AP26" i="11"/>
  <c r="AN26" i="11"/>
  <c r="AL26" i="11"/>
  <c r="AJ26" i="11"/>
  <c r="AH26" i="11"/>
  <c r="AP25" i="11"/>
  <c r="AN25" i="11"/>
  <c r="AL25" i="11"/>
  <c r="AJ25" i="11"/>
  <c r="AH25" i="11"/>
  <c r="AP24" i="11"/>
  <c r="AN24" i="11"/>
  <c r="AL24" i="11"/>
  <c r="AJ24" i="11"/>
  <c r="AH24" i="11"/>
  <c r="AP23" i="11"/>
  <c r="AN23" i="11"/>
  <c r="AL23" i="11"/>
  <c r="AJ23" i="11"/>
  <c r="AH23" i="11"/>
  <c r="AP22" i="11"/>
  <c r="AN22" i="11"/>
  <c r="AL22" i="11"/>
  <c r="AJ22" i="11"/>
  <c r="AH22" i="11"/>
  <c r="AP21" i="11"/>
  <c r="AN21" i="11"/>
  <c r="AL21" i="11"/>
  <c r="AJ21" i="11"/>
  <c r="AH21" i="11"/>
  <c r="AP20" i="11"/>
  <c r="AN20" i="11"/>
  <c r="AL20" i="11"/>
  <c r="AJ20" i="11"/>
  <c r="AH20" i="11"/>
  <c r="AP19" i="11"/>
  <c r="AN19" i="11"/>
  <c r="AL19" i="11"/>
  <c r="AJ19" i="11"/>
  <c r="AH19" i="11"/>
  <c r="AP18" i="11"/>
  <c r="AN18" i="11"/>
  <c r="AL18" i="11"/>
  <c r="AJ18" i="11"/>
  <c r="AH18" i="11"/>
  <c r="AP17" i="11"/>
  <c r="AN17" i="11"/>
  <c r="AL17" i="11"/>
  <c r="AJ17" i="11"/>
  <c r="AH17" i="11"/>
  <c r="AP16" i="11"/>
  <c r="AN16" i="11"/>
  <c r="AL16" i="11"/>
  <c r="AJ16" i="11"/>
  <c r="AH16" i="11"/>
  <c r="AP15" i="11"/>
  <c r="AN15" i="11"/>
  <c r="AL15" i="11"/>
  <c r="AJ15" i="11"/>
  <c r="AH15" i="11"/>
  <c r="AP14" i="11"/>
  <c r="AN14" i="11"/>
  <c r="AL14" i="11"/>
  <c r="AJ14" i="11"/>
  <c r="AH14" i="11"/>
  <c r="AP13" i="11"/>
  <c r="AN13" i="11"/>
  <c r="AL13" i="11"/>
  <c r="AJ13" i="11"/>
  <c r="AH13" i="11"/>
  <c r="AP12" i="11"/>
  <c r="AN12" i="11"/>
  <c r="AL12" i="11"/>
  <c r="AJ12" i="11"/>
  <c r="AH12" i="11"/>
  <c r="AP11" i="11"/>
  <c r="AN11" i="11"/>
  <c r="AL11" i="11"/>
  <c r="AJ11" i="11"/>
  <c r="AH11" i="11"/>
  <c r="AP10" i="11"/>
  <c r="AN10" i="11"/>
  <c r="AL10" i="11"/>
  <c r="AJ10" i="11"/>
  <c r="AH10" i="11"/>
  <c r="AP8" i="11"/>
  <c r="AN8" i="11"/>
  <c r="AL8" i="11"/>
  <c r="AJ8" i="11"/>
  <c r="AH8" i="11"/>
  <c r="AP7" i="11"/>
  <c r="AN7" i="11"/>
  <c r="AL7" i="11"/>
  <c r="AJ7" i="11"/>
  <c r="AH7" i="11"/>
  <c r="AP6" i="11"/>
  <c r="AN6" i="11"/>
  <c r="AL6" i="11"/>
  <c r="AJ6" i="11"/>
  <c r="AH6" i="11"/>
  <c r="AP5" i="11"/>
  <c r="AN5" i="11"/>
  <c r="AL5" i="11"/>
  <c r="AJ5" i="11"/>
  <c r="AH5" i="11"/>
  <c r="AP4" i="11"/>
  <c r="AN4" i="11"/>
  <c r="AL4" i="11"/>
  <c r="AJ4" i="11"/>
  <c r="AH4" i="11"/>
  <c r="AP3" i="11"/>
  <c r="AN3" i="11"/>
  <c r="AL3" i="11"/>
  <c r="AJ3" i="11"/>
  <c r="AH3" i="11"/>
  <c r="AB28" i="11"/>
  <c r="Z28" i="11"/>
  <c r="X28" i="11"/>
  <c r="V28" i="11"/>
  <c r="T28" i="11"/>
  <c r="AB27" i="11"/>
  <c r="Z27" i="11"/>
  <c r="X27" i="11"/>
  <c r="V27" i="11"/>
  <c r="T27" i="11"/>
  <c r="AB26" i="11"/>
  <c r="Z26" i="11"/>
  <c r="X26" i="11"/>
  <c r="V26" i="11"/>
  <c r="T26" i="11"/>
  <c r="AB25" i="11"/>
  <c r="Z25" i="11"/>
  <c r="X25" i="11"/>
  <c r="V25" i="11"/>
  <c r="T25" i="11"/>
  <c r="AB24" i="11"/>
  <c r="Z24" i="11"/>
  <c r="X24" i="11"/>
  <c r="V24" i="11"/>
  <c r="T24" i="11"/>
  <c r="AB23" i="11"/>
  <c r="Z23" i="11"/>
  <c r="X23" i="11"/>
  <c r="V23" i="11"/>
  <c r="T23" i="11"/>
  <c r="AB22" i="11"/>
  <c r="Z22" i="11"/>
  <c r="X22" i="11"/>
  <c r="V22" i="11"/>
  <c r="T22" i="11"/>
  <c r="AB21" i="11"/>
  <c r="Z21" i="11"/>
  <c r="X21" i="11"/>
  <c r="V21" i="11"/>
  <c r="T21" i="11"/>
  <c r="AB20" i="11"/>
  <c r="Z20" i="11"/>
  <c r="X20" i="11"/>
  <c r="V20" i="11"/>
  <c r="T20" i="11"/>
  <c r="AB19" i="11"/>
  <c r="Z19" i="11"/>
  <c r="X19" i="11"/>
  <c r="V19" i="11"/>
  <c r="T19" i="11"/>
  <c r="AB18" i="11"/>
  <c r="Z18" i="11"/>
  <c r="X18" i="11"/>
  <c r="V18" i="11"/>
  <c r="T18" i="11"/>
  <c r="AB17" i="11"/>
  <c r="Z17" i="11"/>
  <c r="X17" i="11"/>
  <c r="V17" i="11"/>
  <c r="T17" i="11"/>
  <c r="AB16" i="11"/>
  <c r="Z16" i="11"/>
  <c r="X16" i="11"/>
  <c r="V16" i="11"/>
  <c r="T16" i="11"/>
  <c r="AB15" i="11"/>
  <c r="Z15" i="11"/>
  <c r="X15" i="11"/>
  <c r="V15" i="11"/>
  <c r="T15" i="11"/>
  <c r="AB14" i="11"/>
  <c r="Z14" i="11"/>
  <c r="X14" i="11"/>
  <c r="V14" i="11"/>
  <c r="T14" i="11"/>
  <c r="AB13" i="11"/>
  <c r="Z13" i="11"/>
  <c r="X13" i="11"/>
  <c r="V13" i="11"/>
  <c r="T13" i="11"/>
  <c r="AB12" i="11"/>
  <c r="Z12" i="11"/>
  <c r="X12" i="11"/>
  <c r="V12" i="11"/>
  <c r="T12" i="11"/>
  <c r="AB11" i="11"/>
  <c r="Z11" i="11"/>
  <c r="X11" i="11"/>
  <c r="V11" i="11"/>
  <c r="T11" i="11"/>
  <c r="AB10" i="11"/>
  <c r="Z10" i="11"/>
  <c r="X10" i="11"/>
  <c r="V10" i="11"/>
  <c r="T10" i="11"/>
  <c r="AB8" i="11"/>
  <c r="Z8" i="11"/>
  <c r="X8" i="11"/>
  <c r="V8" i="11"/>
  <c r="T8" i="11"/>
  <c r="AB7" i="11"/>
  <c r="Z7" i="11"/>
  <c r="X7" i="11"/>
  <c r="V7" i="11"/>
  <c r="BC27" i="11" s="1"/>
  <c r="T7" i="11"/>
  <c r="AB6" i="11"/>
  <c r="Z6" i="11"/>
  <c r="X6" i="11"/>
  <c r="V6" i="11"/>
  <c r="T6" i="11"/>
  <c r="AB5" i="11"/>
  <c r="Z5" i="11"/>
  <c r="X5" i="11"/>
  <c r="V5" i="11"/>
  <c r="T5" i="11"/>
  <c r="AB4" i="11"/>
  <c r="Z4" i="11"/>
  <c r="X4" i="11"/>
  <c r="V4" i="11"/>
  <c r="T4" i="11"/>
  <c r="AB3" i="11"/>
  <c r="Z3" i="11"/>
  <c r="V3" i="11"/>
  <c r="T3" i="11"/>
  <c r="B21" i="14" l="1"/>
  <c r="B23" i="14"/>
  <c r="B31" i="14"/>
  <c r="B33" i="14"/>
  <c r="B30" i="14" s="1"/>
  <c r="B34" i="13"/>
  <c r="B46" i="13"/>
  <c r="B32" i="13"/>
  <c r="B44" i="13"/>
  <c r="B43" i="13"/>
  <c r="B45" i="13"/>
  <c r="B47" i="13"/>
  <c r="B35" i="13"/>
  <c r="B33" i="13"/>
  <c r="F28" i="19"/>
  <c r="AV24" i="19"/>
  <c r="AV26" i="19"/>
  <c r="AV34" i="19"/>
  <c r="AV37" i="19"/>
  <c r="AV45" i="19"/>
  <c r="AV47" i="19"/>
  <c r="AV32" i="19" s="1"/>
  <c r="AV49" i="19"/>
  <c r="B22" i="14"/>
  <c r="B24" i="14"/>
  <c r="B32" i="14"/>
  <c r="B34" i="14"/>
  <c r="B26" i="14" s="1"/>
  <c r="B36" i="14"/>
  <c r="B44" i="14"/>
  <c r="B41" i="14" s="1"/>
  <c r="B46" i="14"/>
  <c r="B48" i="14"/>
  <c r="B42" i="14" s="1"/>
  <c r="B36" i="13"/>
  <c r="B7" i="13"/>
  <c r="B31" i="13"/>
  <c r="B28" i="13" s="1"/>
  <c r="B48" i="13"/>
  <c r="B9" i="13" s="1"/>
  <c r="B24" i="13"/>
  <c r="B19" i="13"/>
  <c r="B10" i="13" s="1"/>
  <c r="B14" i="13"/>
  <c r="B11" i="13"/>
  <c r="B8" i="13"/>
  <c r="AV30" i="19"/>
  <c r="AV29" i="19"/>
  <c r="BD7" i="19"/>
  <c r="BB8" i="19"/>
  <c r="AV31" i="19"/>
  <c r="BD6" i="19"/>
  <c r="AV21" i="19"/>
  <c r="AV23" i="19"/>
  <c r="AV25" i="19"/>
  <c r="AV16" i="19" s="1"/>
  <c r="L28" i="19"/>
  <c r="P28" i="19"/>
  <c r="V28" i="19"/>
  <c r="Z28" i="19"/>
  <c r="AH28" i="19"/>
  <c r="AL28" i="19"/>
  <c r="AP28" i="19"/>
  <c r="AV38" i="19"/>
  <c r="AV28" i="19" s="1"/>
  <c r="AV46" i="19"/>
  <c r="AV43" i="19" s="1"/>
  <c r="AV48" i="19"/>
  <c r="AV50" i="19"/>
  <c r="AV44" i="19" s="1"/>
  <c r="T28" i="19"/>
  <c r="X28" i="19"/>
  <c r="AB28" i="19"/>
  <c r="B18" i="13"/>
  <c r="B29" i="13"/>
  <c r="B26" i="13"/>
  <c r="B12" i="13"/>
  <c r="B17" i="13"/>
  <c r="B16" i="13"/>
  <c r="B30" i="13"/>
  <c r="B42" i="13"/>
  <c r="B40" i="13"/>
  <c r="B38" i="13"/>
  <c r="B41" i="13"/>
  <c r="B13" i="13"/>
  <c r="B15" i="13"/>
  <c r="B25" i="13"/>
  <c r="B27" i="13"/>
  <c r="B37" i="13"/>
  <c r="B39" i="13"/>
  <c r="L29" i="11"/>
  <c r="F29" i="11"/>
  <c r="J29" i="11"/>
  <c r="AP29" i="11"/>
  <c r="AV25" i="11"/>
  <c r="AV23" i="11"/>
  <c r="AV24" i="11"/>
  <c r="BB30" i="11"/>
  <c r="BD29" i="11"/>
  <c r="BD25" i="11"/>
  <c r="BD28" i="11"/>
  <c r="BD27" i="11"/>
  <c r="BD26" i="11"/>
  <c r="BD24" i="11"/>
  <c r="BD22" i="11"/>
  <c r="BD20" i="11"/>
  <c r="BD18" i="11"/>
  <c r="BD16" i="11"/>
  <c r="BD14" i="11"/>
  <c r="BD12" i="11"/>
  <c r="BD10" i="11"/>
  <c r="BD8" i="11"/>
  <c r="BD23" i="11"/>
  <c r="BD21" i="11"/>
  <c r="BD19" i="11"/>
  <c r="BD17" i="11"/>
  <c r="BD15" i="11"/>
  <c r="BD13" i="11"/>
  <c r="BD11" i="11"/>
  <c r="BD9" i="11"/>
  <c r="BD7" i="11"/>
  <c r="AV35" i="11"/>
  <c r="AV37" i="11"/>
  <c r="AV34" i="11"/>
  <c r="AV36" i="11"/>
  <c r="AV38" i="11"/>
  <c r="V29" i="11"/>
  <c r="AV46" i="11"/>
  <c r="AV48" i="11"/>
  <c r="AR29" i="11"/>
  <c r="AJ29" i="11"/>
  <c r="AN29" i="11"/>
  <c r="AV39" i="11"/>
  <c r="AB29" i="11"/>
  <c r="Z29" i="11"/>
  <c r="AH29" i="11"/>
  <c r="AV47" i="11"/>
  <c r="AV49" i="11"/>
  <c r="AV51" i="11"/>
  <c r="AV22" i="11"/>
  <c r="AV26" i="11"/>
  <c r="T29" i="11"/>
  <c r="X29" i="11"/>
  <c r="AD29" i="11"/>
  <c r="AL29" i="11"/>
  <c r="AV27" i="11"/>
  <c r="AV41" i="19" l="1"/>
  <c r="B9" i="14"/>
  <c r="B28" i="14"/>
  <c r="B27" i="14"/>
  <c r="B25" i="14"/>
  <c r="B18" i="14"/>
  <c r="B6" i="14" s="1"/>
  <c r="B12" i="14"/>
  <c r="B39" i="14"/>
  <c r="B13" i="14"/>
  <c r="B10" i="14"/>
  <c r="AV40" i="19"/>
  <c r="B38" i="14"/>
  <c r="B29" i="14"/>
  <c r="B11" i="14"/>
  <c r="B14" i="14"/>
  <c r="B2" i="14" s="1"/>
  <c r="B7" i="14"/>
  <c r="B8" i="14"/>
  <c r="B17" i="14"/>
  <c r="B5" i="14" s="1"/>
  <c r="B37" i="14"/>
  <c r="B40" i="14"/>
  <c r="B15" i="14"/>
  <c r="B16" i="14"/>
  <c r="B4" i="14" s="1"/>
  <c r="AV4" i="19"/>
  <c r="AV18" i="19"/>
  <c r="AV12" i="19"/>
  <c r="AV17" i="19"/>
  <c r="AV15" i="19"/>
  <c r="BB9" i="19"/>
  <c r="BD8" i="19"/>
  <c r="AV42" i="19"/>
  <c r="AV27" i="19"/>
  <c r="AV10" i="19"/>
  <c r="AV19" i="19"/>
  <c r="AV7" i="19" s="1"/>
  <c r="AV20" i="19"/>
  <c r="AV8" i="19" s="1"/>
  <c r="AV14" i="19"/>
  <c r="AV11" i="19"/>
  <c r="AV39" i="19"/>
  <c r="AV13" i="19"/>
  <c r="AV9" i="19"/>
  <c r="AV5" i="19"/>
  <c r="B2" i="13"/>
  <c r="B4" i="13"/>
  <c r="B3" i="13"/>
  <c r="B5" i="13"/>
  <c r="B6" i="13"/>
  <c r="AV10" i="11"/>
  <c r="AV15" i="11"/>
  <c r="AV12" i="11"/>
  <c r="AV13" i="11"/>
  <c r="AV17" i="11"/>
  <c r="AV18" i="11"/>
  <c r="AV16" i="11"/>
  <c r="AV14" i="11"/>
  <c r="AV21" i="11"/>
  <c r="AV30" i="11"/>
  <c r="AV28" i="11"/>
  <c r="AV31" i="11"/>
  <c r="AV32" i="11"/>
  <c r="AV33" i="11"/>
  <c r="AV29" i="11"/>
  <c r="AV20" i="11"/>
  <c r="AV45" i="11"/>
  <c r="AV42" i="11"/>
  <c r="AV6" i="11" s="1"/>
  <c r="AV43" i="11"/>
  <c r="AV19" i="11"/>
  <c r="BB31" i="11"/>
  <c r="BD31" i="11" s="1"/>
  <c r="BD30" i="11"/>
  <c r="B3" i="14" l="1"/>
  <c r="BD9" i="19"/>
  <c r="BB10" i="19"/>
  <c r="AV6" i="19"/>
  <c r="AV7" i="11"/>
  <c r="AV9" i="11"/>
  <c r="AV53" i="11"/>
  <c r="BD32" i="11"/>
  <c r="BB11" i="19" l="1"/>
  <c r="BD10" i="19"/>
  <c r="AV50" i="11"/>
  <c r="AV40" i="11" s="1"/>
  <c r="BD11" i="19" l="1"/>
  <c r="BB12" i="19"/>
  <c r="AV44" i="11"/>
  <c r="AV8" i="11" s="1"/>
  <c r="AV41" i="11"/>
  <c r="AV5" i="11" s="1"/>
  <c r="AV11" i="11"/>
  <c r="BB13" i="19" l="1"/>
  <c r="BD12" i="19"/>
  <c r="BD13" i="19" l="1"/>
  <c r="BB14" i="19"/>
  <c r="BB15" i="19" l="1"/>
  <c r="BD14" i="19"/>
  <c r="BD15" i="19" l="1"/>
  <c r="BB16" i="19"/>
  <c r="BB17" i="19" l="1"/>
  <c r="BD16" i="19"/>
  <c r="BD17" i="19" l="1"/>
  <c r="BB18" i="19"/>
  <c r="BB19" i="19" l="1"/>
  <c r="BD18" i="19"/>
  <c r="BD19" i="19" l="1"/>
  <c r="BB20" i="19"/>
  <c r="BB21" i="19" l="1"/>
  <c r="BD20" i="19"/>
  <c r="BD21" i="19" l="1"/>
  <c r="BB22" i="19"/>
  <c r="BB23" i="19" l="1"/>
  <c r="BD22" i="19"/>
  <c r="BD23" i="19" l="1"/>
  <c r="BB24" i="19"/>
  <c r="BB25" i="19" l="1"/>
  <c r="BD24" i="19"/>
  <c r="BD25" i="19" l="1"/>
  <c r="BB26" i="19"/>
  <c r="BB27" i="19" l="1"/>
  <c r="BD26" i="19"/>
  <c r="BB28" i="19" l="1"/>
  <c r="BD27" i="19"/>
  <c r="BB29" i="19" l="1"/>
  <c r="BD28" i="19"/>
  <c r="BB30" i="19" l="1"/>
  <c r="BD30" i="19" s="1"/>
  <c r="BD29" i="19"/>
  <c r="BD31" i="19" l="1"/>
  <c r="AV52" i="19"/>
</calcChain>
</file>

<file path=xl/sharedStrings.xml><?xml version="1.0" encoding="utf-8"?>
<sst xmlns="http://schemas.openxmlformats.org/spreadsheetml/2006/main" count="905" uniqueCount="142">
  <si>
    <t>5A</t>
  </si>
  <si>
    <t>5B</t>
  </si>
  <si>
    <t>5C</t>
  </si>
  <si>
    <t>6A</t>
  </si>
  <si>
    <t>6B</t>
  </si>
  <si>
    <t>6C</t>
  </si>
  <si>
    <t>7A</t>
  </si>
  <si>
    <t>7B</t>
  </si>
  <si>
    <t>7C</t>
  </si>
  <si>
    <t>date</t>
  </si>
  <si>
    <t>salle</t>
  </si>
  <si>
    <t>couloir</t>
  </si>
  <si>
    <t>cotation</t>
  </si>
  <si>
    <t>8A</t>
  </si>
  <si>
    <t>Dévers en moulinette à vue</t>
  </si>
  <si>
    <t>8B</t>
  </si>
  <si>
    <t>Dévers en tête à vue</t>
  </si>
  <si>
    <t>9A</t>
  </si>
  <si>
    <t>8C+</t>
  </si>
  <si>
    <t>8C</t>
  </si>
  <si>
    <t>8B+</t>
  </si>
  <si>
    <t>8A+</t>
  </si>
  <si>
    <t>7C+</t>
  </si>
  <si>
    <t>7B+</t>
  </si>
  <si>
    <t>7A+</t>
  </si>
  <si>
    <t>6C+</t>
  </si>
  <si>
    <t>6B+</t>
  </si>
  <si>
    <t>6A+</t>
  </si>
  <si>
    <t>5C+</t>
  </si>
  <si>
    <t>5B+</t>
  </si>
  <si>
    <t>5A+</t>
  </si>
  <si>
    <t>Mur droit en moulinette à vue</t>
  </si>
  <si>
    <t>Mur droit en tête à vue</t>
  </si>
  <si>
    <t>Mur droit en tête en travail</t>
  </si>
  <si>
    <t>Mur droit en tête après travail</t>
  </si>
  <si>
    <t>Dévers en moulinette en travail</t>
  </si>
  <si>
    <t>Dévers en moulinette après travail</t>
  </si>
  <si>
    <t>Dévers en tête en travail</t>
  </si>
  <si>
    <t>Dalle en moulinettte à vue</t>
  </si>
  <si>
    <t>Dalle en moulinette en travail</t>
  </si>
  <si>
    <t>Dalle en moulinette après travail</t>
  </si>
  <si>
    <t>Dalle en tête à vue</t>
  </si>
  <si>
    <t>Dalle en tête en travail</t>
  </si>
  <si>
    <t>Dalle en tête après travail</t>
  </si>
  <si>
    <t>Perf dévers en moulinette à vue</t>
  </si>
  <si>
    <t>Perf dévers en moulinette en travail</t>
  </si>
  <si>
    <t>Perf dévers en moulinette après travail</t>
  </si>
  <si>
    <t>Perf dévers en tête à vue</t>
  </si>
  <si>
    <t>Perf dévers en tête en travail</t>
  </si>
  <si>
    <t>Perf dévers en tête après travail</t>
  </si>
  <si>
    <t>Perf dalle en moulinette à vue</t>
  </si>
  <si>
    <t>Perf dalle en moulinette en travail</t>
  </si>
  <si>
    <t>Perf dalle en moulinette après travail</t>
  </si>
  <si>
    <t>Perf dalle en tête à vue</t>
  </si>
  <si>
    <t>Perf dalle en tête en travail</t>
  </si>
  <si>
    <t>Perf dalle en tête après travail</t>
  </si>
  <si>
    <t>Perf mur droit en moulinette à vue</t>
  </si>
  <si>
    <t>Perf mur droit en moulinette en travail</t>
  </si>
  <si>
    <t>Perf mur droit en moulinette après travail</t>
  </si>
  <si>
    <t>Perf mur droit en tête à vue</t>
  </si>
  <si>
    <t>Perf mur droit en tête en travail</t>
  </si>
  <si>
    <t>Perf mur droit en tête après travail</t>
  </si>
  <si>
    <t>Colonne1</t>
  </si>
  <si>
    <t>volume de voies</t>
  </si>
  <si>
    <t>Colonne2</t>
  </si>
  <si>
    <t>Perf devers</t>
  </si>
  <si>
    <t>Perf dévers en tête</t>
  </si>
  <si>
    <t>Perf dévers en moulinette</t>
  </si>
  <si>
    <t>Perf dévers à vue</t>
  </si>
  <si>
    <t>Perf dévers en travail</t>
  </si>
  <si>
    <t>Perf dévers après travail</t>
  </si>
  <si>
    <t>Perf en tête</t>
  </si>
  <si>
    <t>Perf en moulinette</t>
  </si>
  <si>
    <t>Perf à vue</t>
  </si>
  <si>
    <t>Perf en travail</t>
  </si>
  <si>
    <t>Perf après travail</t>
  </si>
  <si>
    <t>Perf en tête à vue</t>
  </si>
  <si>
    <t>Perf en tête en travail</t>
  </si>
  <si>
    <t>Perf en tête après travail</t>
  </si>
  <si>
    <t>Perf en moulinette à vue</t>
  </si>
  <si>
    <t>Perf en moulinette en travail</t>
  </si>
  <si>
    <t>Perf en moulinette après travail</t>
  </si>
  <si>
    <t>Perf dalle</t>
  </si>
  <si>
    <t>Perf dalle en tête</t>
  </si>
  <si>
    <t>Perf dalle en moulinette</t>
  </si>
  <si>
    <t>Perf dalle à vue</t>
  </si>
  <si>
    <t>Perf dalle en travail</t>
  </si>
  <si>
    <t>Perf dalle après travail</t>
  </si>
  <si>
    <t>Perf mur droit</t>
  </si>
  <si>
    <t>Perf mur droit en tête</t>
  </si>
  <si>
    <t>Perf mur droit en moulinette</t>
  </si>
  <si>
    <t>Perf mur droit à vue</t>
  </si>
  <si>
    <t>Perf mur droit en travail</t>
  </si>
  <si>
    <t>Perf mur droit après travail</t>
  </si>
  <si>
    <t>calcul intensité</t>
  </si>
  <si>
    <t>TOTAL</t>
  </si>
  <si>
    <t>Colonne3</t>
  </si>
  <si>
    <t xml:space="preserve">Perf </t>
  </si>
  <si>
    <t>intensité de la séance</t>
  </si>
  <si>
    <t>Mur droit en moul. après travail</t>
  </si>
  <si>
    <t>Mur droit en moul. en travail</t>
  </si>
  <si>
    <t>perf DEMAT</t>
  </si>
  <si>
    <t>perf DeTAV</t>
  </si>
  <si>
    <t>perf DeTAT</t>
  </si>
  <si>
    <t>perf DaMET</t>
  </si>
  <si>
    <t>perf DaTET</t>
  </si>
  <si>
    <t>perf MdMET</t>
  </si>
  <si>
    <t>perf MdMAT</t>
  </si>
  <si>
    <t>perf MdTAV</t>
  </si>
  <si>
    <t>perf MdTET</t>
  </si>
  <si>
    <t>perf MdTAT</t>
  </si>
  <si>
    <t>perf MdMAV</t>
  </si>
  <si>
    <t>perf DaTAV</t>
  </si>
  <si>
    <t>.</t>
  </si>
  <si>
    <t>,</t>
  </si>
  <si>
    <t>Dévers en tête après travail</t>
  </si>
  <si>
    <t>Performance globale</t>
  </si>
  <si>
    <t>10-févr</t>
  </si>
  <si>
    <t>13-févr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</si>
  <si>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</si>
  <si>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</si>
  <si>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</si>
  <si>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</si>
  <si>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</si>
  <si>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</si>
  <si>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</si>
  <si>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</si>
  <si>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</si>
  <si>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</si>
  <si>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</si>
  <si>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</si>
  <si>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ME</t>
  </si>
  <si>
    <t>SA</t>
  </si>
  <si>
    <t>MA</t>
  </si>
  <si>
    <t>JE</t>
  </si>
  <si>
    <t>DI</t>
  </si>
  <si>
    <t>VE</t>
  </si>
  <si>
    <t>LU</t>
  </si>
  <si>
    <t>Séance bloc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</si>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</sst>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"/>
    <numFmt numFmtId="165" formatCode="d"/>
    <numFmt numFmtId="166" formatCode="ddd\ dd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theme="1"/>
      <name val="Comic Sans MS"/>
      <family val="4"/>
    </font>
    <font>
      <sz val="11"/>
      <color theme="1"/>
      <name val="Comic Sans MS"/>
    </font>
    <font>
      <b/>
      <sz val="11"/>
      <color theme="1"/>
      <name val="Comic Sans MS"/>
    </font>
    <font>
      <sz val="11"/>
      <color rgb="FF000000"/>
      <name val="Comic Sans MS"/>
      <family val="4"/>
    </font>
    <font>
      <sz val="11"/>
      <color rgb="FF000000"/>
      <name val="Comic Sans MS"/>
    </font>
    <font>
      <b/>
      <sz val="18"/>
      <color theme="1"/>
      <name val="Comic Sans MS"/>
      <family val="4"/>
    </font>
    <font>
      <sz val="18"/>
      <color theme="1"/>
      <name val="Calibri"/>
      <family val="2"/>
      <scheme val="minor"/>
    </font>
    <font>
      <b/>
      <sz val="16"/>
      <color theme="1"/>
      <name val="Comic Sans MS"/>
      <family val="4"/>
    </font>
    <font>
      <sz val="11"/>
      <color theme="9" tint="-0.499984740745262"/>
      <name val="Comic Sans MS"/>
      <family val="4"/>
    </font>
    <font>
      <b/>
      <sz val="18"/>
      <color theme="4" tint="0.79998168889431442"/>
      <name val="Comic Sans MS"/>
      <family val="4"/>
    </font>
    <font>
      <u/>
      <sz val="11"/>
      <color theme="10"/>
      <name val="Calibri"/>
      <family val="2"/>
    </font>
    <font>
      <sz val="11"/>
      <color theme="1" tint="0.34998626667073579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16"/>
      <color theme="1"/>
      <name val="Comic Sans MS"/>
      <family val="4"/>
    </font>
    <font>
      <sz val="16"/>
      <color theme="9" tint="-0.499984740745262"/>
      <name val="Comic Sans MS"/>
      <family val="4"/>
    </font>
    <font>
      <b/>
      <sz val="16"/>
      <color theme="9" tint="-0.499984740745262"/>
      <name val="Comic Sans MS"/>
      <family val="4"/>
    </font>
    <font>
      <b/>
      <sz val="16"/>
      <color rgb="FF000000"/>
      <name val="Comic Sans MS"/>
      <family val="4"/>
    </font>
  </fonts>
  <fills count="71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rgb="FFDBE5F1"/>
        <bgColor rgb="FFDBE5F1"/>
      </patternFill>
    </fill>
    <fill>
      <patternFill patternType="solid">
        <fgColor theme="0"/>
        <bgColor theme="0"/>
      </patternFill>
    </fill>
    <fill>
      <patternFill patternType="solid">
        <fgColor rgb="FFC00000"/>
        <bgColor theme="0"/>
      </patternFill>
    </fill>
    <fill>
      <patternFill patternType="solid">
        <fgColor rgb="FFC00000"/>
        <bgColor theme="4" tint="0.59999389629810485"/>
      </patternFill>
    </fill>
    <fill>
      <patternFill patternType="solid">
        <fgColor rgb="FFC00000"/>
        <bgColor theme="4" tint="0.79998168889431442"/>
      </patternFill>
    </fill>
    <fill>
      <patternFill patternType="solid">
        <fgColor rgb="FFFFFF00"/>
        <bgColor theme="4" tint="0.59999389629810485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92D050"/>
        <bgColor theme="4" tint="0.59999389629810485"/>
      </patternFill>
    </fill>
    <fill>
      <patternFill patternType="solid">
        <fgColor rgb="FF92D050"/>
        <bgColor theme="4" tint="0.79998168889431442"/>
      </patternFill>
    </fill>
    <fill>
      <patternFill patternType="solid">
        <fgColor theme="3"/>
        <bgColor theme="4" tint="0.59999389629810485"/>
      </patternFill>
    </fill>
    <fill>
      <patternFill patternType="solid">
        <fgColor theme="3"/>
        <bgColor theme="4" tint="0.79998168889431442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theme="4" tint="0.59999389629810485"/>
      </patternFill>
    </fill>
    <fill>
      <patternFill patternType="solid">
        <fgColor theme="3" tint="0.79998168889431442"/>
        <bgColor theme="4" tint="0.79998168889431442"/>
      </patternFill>
    </fill>
    <fill>
      <patternFill patternType="solid">
        <fgColor theme="3" tint="0.59999389629810485"/>
        <bgColor theme="4" tint="0.59999389629810485"/>
      </patternFill>
    </fill>
    <fill>
      <patternFill patternType="solid">
        <fgColor theme="3" tint="0.59999389629810485"/>
        <bgColor theme="4" tint="0.79998168889431442"/>
      </patternFill>
    </fill>
    <fill>
      <patternFill patternType="solid">
        <fgColor theme="3" tint="0.39997558519241921"/>
        <bgColor theme="4" tint="0.59999389629810485"/>
      </patternFill>
    </fill>
    <fill>
      <patternFill patternType="solid">
        <fgColor theme="3" tint="0.39997558519241921"/>
        <bgColor theme="4" tint="0.79998168889431442"/>
      </patternFill>
    </fill>
    <fill>
      <patternFill patternType="solid">
        <fgColor theme="3" tint="-0.249977111117893"/>
        <bgColor theme="4" tint="0.59999389629810485"/>
      </patternFill>
    </fill>
    <fill>
      <patternFill patternType="solid">
        <fgColor theme="3" tint="-0.249977111117893"/>
        <bgColor theme="4" tint="0.79998168889431442"/>
      </patternFill>
    </fill>
    <fill>
      <patternFill patternType="solid">
        <fgColor theme="3" tint="-0.499984740745262"/>
        <bgColor theme="4" tint="0.59999389629810485"/>
      </patternFill>
    </fill>
    <fill>
      <patternFill patternType="solid">
        <fgColor theme="3" tint="-0.499984740745262"/>
        <bgColor theme="4" tint="0.79998168889431442"/>
      </patternFill>
    </fill>
    <fill>
      <patternFill patternType="solid">
        <fgColor theme="9" tint="0.79998168889431442"/>
        <bgColor theme="4" tint="0.59999389629810485"/>
      </patternFill>
    </fill>
    <fill>
      <patternFill patternType="solid">
        <fgColor theme="9" tint="0.79998168889431442"/>
        <bgColor theme="4" tint="0.79998168889431442"/>
      </patternFill>
    </fill>
    <fill>
      <patternFill patternType="solid">
        <fgColor theme="9" tint="0.59999389629810485"/>
        <bgColor theme="4" tint="0.59999389629810485"/>
      </patternFill>
    </fill>
    <fill>
      <patternFill patternType="solid">
        <fgColor theme="9" tint="0.59999389629810485"/>
        <bgColor theme="4" tint="0.79998168889431442"/>
      </patternFill>
    </fill>
    <fill>
      <patternFill patternType="solid">
        <fgColor theme="9" tint="0.39997558519241921"/>
        <bgColor theme="4" tint="0.59999389629810485"/>
      </patternFill>
    </fill>
    <fill>
      <patternFill patternType="solid">
        <fgColor theme="9" tint="0.39997558519241921"/>
        <bgColor theme="4" tint="0.79998168889431442"/>
      </patternFill>
    </fill>
    <fill>
      <patternFill patternType="solid">
        <fgColor theme="9"/>
        <bgColor theme="4" tint="0.59999389629810485"/>
      </patternFill>
    </fill>
    <fill>
      <patternFill patternType="solid">
        <fgColor theme="9"/>
        <bgColor theme="4" tint="0.79998168889431442"/>
      </patternFill>
    </fill>
    <fill>
      <patternFill patternType="solid">
        <fgColor theme="9" tint="-0.249977111117893"/>
        <bgColor theme="4" tint="0.59999389629810485"/>
      </patternFill>
    </fill>
    <fill>
      <patternFill patternType="solid">
        <fgColor theme="9" tint="-0.249977111117893"/>
        <bgColor theme="4" tint="0.79998168889431442"/>
      </patternFill>
    </fill>
    <fill>
      <patternFill patternType="solid">
        <fgColor theme="9" tint="-0.499984740745262"/>
        <bgColor theme="4" tint="0.59999389629810485"/>
      </patternFill>
    </fill>
    <fill>
      <patternFill patternType="solid">
        <fgColor theme="9" tint="-0.499984740745262"/>
        <bgColor theme="4" tint="0.79998168889431442"/>
      </patternFill>
    </fill>
    <fill>
      <patternFill patternType="solid">
        <fgColor theme="6" tint="0.79998168889431442"/>
        <bgColor theme="4" tint="0.59999389629810485"/>
      </patternFill>
    </fill>
    <fill>
      <patternFill patternType="solid">
        <fgColor theme="6" tint="0.79998168889431442"/>
        <bgColor theme="4" tint="0.79998168889431442"/>
      </patternFill>
    </fill>
    <fill>
      <patternFill patternType="solid">
        <fgColor theme="6" tint="0.59999389629810485"/>
        <bgColor theme="4" tint="0.59999389629810485"/>
      </patternFill>
    </fill>
    <fill>
      <patternFill patternType="solid">
        <fgColor theme="6" tint="0.59999389629810485"/>
        <bgColor theme="4" tint="0.79998168889431442"/>
      </patternFill>
    </fill>
    <fill>
      <patternFill patternType="solid">
        <fgColor theme="6" tint="0.39997558519241921"/>
        <bgColor theme="4" tint="0.59999389629810485"/>
      </patternFill>
    </fill>
    <fill>
      <patternFill patternType="solid">
        <fgColor theme="6" tint="0.39997558519241921"/>
        <bgColor theme="4" tint="0.79998168889431442"/>
      </patternFill>
    </fill>
    <fill>
      <patternFill patternType="solid">
        <fgColor theme="6" tint="-0.249977111117893"/>
        <bgColor theme="4" tint="0.59999389629810485"/>
      </patternFill>
    </fill>
    <fill>
      <patternFill patternType="solid">
        <fgColor theme="6" tint="-0.249977111117893"/>
        <bgColor theme="4" tint="0.79998168889431442"/>
      </patternFill>
    </fill>
    <fill>
      <patternFill patternType="solid">
        <fgColor theme="6" tint="-0.499984740745262"/>
        <bgColor theme="4" tint="0.59999389629810485"/>
      </patternFill>
    </fill>
    <fill>
      <patternFill patternType="solid">
        <fgColor theme="6" tint="-0.499984740745262"/>
        <bgColor theme="4" tint="0.79998168889431442"/>
      </patternFill>
    </fill>
    <fill>
      <patternFill patternType="solid">
        <fgColor rgb="FFFFFF00"/>
        <bgColor theme="0"/>
      </patternFill>
    </fill>
    <fill>
      <patternFill patternType="solid">
        <fgColor theme="3" tint="0.79998168889431442"/>
        <bgColor theme="0"/>
      </patternFill>
    </fill>
    <fill>
      <patternFill patternType="solid">
        <fgColor theme="3" tint="0.59999389629810485"/>
        <bgColor theme="0"/>
      </patternFill>
    </fill>
    <fill>
      <patternFill patternType="solid">
        <fgColor theme="3" tint="0.39997558519241921"/>
        <bgColor theme="0"/>
      </patternFill>
    </fill>
    <fill>
      <patternFill patternType="solid">
        <fgColor theme="3"/>
        <bgColor theme="0"/>
      </patternFill>
    </fill>
    <fill>
      <patternFill patternType="solid">
        <fgColor theme="3" tint="-0.249977111117893"/>
        <bgColor theme="0"/>
      </patternFill>
    </fill>
    <fill>
      <patternFill patternType="solid">
        <fgColor theme="3" tint="-0.499984740745262"/>
        <bgColor theme="0"/>
      </patternFill>
    </fill>
    <fill>
      <patternFill patternType="solid">
        <fgColor theme="9" tint="0.79998168889431442"/>
        <bgColor theme="0"/>
      </patternFill>
    </fill>
    <fill>
      <patternFill patternType="solid">
        <fgColor theme="9" tint="0.59999389629810485"/>
        <bgColor theme="0"/>
      </patternFill>
    </fill>
    <fill>
      <patternFill patternType="solid">
        <fgColor theme="9" tint="0.39997558519241921"/>
        <bgColor theme="0"/>
      </patternFill>
    </fill>
    <fill>
      <patternFill patternType="solid">
        <fgColor theme="9"/>
        <bgColor theme="0"/>
      </patternFill>
    </fill>
    <fill>
      <patternFill patternType="solid">
        <fgColor theme="9" tint="-0.249977111117893"/>
        <bgColor theme="0"/>
      </patternFill>
    </fill>
    <fill>
      <patternFill patternType="solid">
        <fgColor theme="9" tint="-0.499984740745262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theme="6" tint="-0.499984740745262"/>
        <bgColor theme="0"/>
      </patternFill>
    </fill>
    <fill>
      <patternFill patternType="solid">
        <fgColor theme="6"/>
        <bgColor theme="4" tint="0.79998168889431442"/>
      </patternFill>
    </fill>
    <fill>
      <patternFill patternType="solid">
        <fgColor theme="5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 diagonalUp="1">
      <left/>
      <right style="thin">
        <color theme="4" tint="0.39997558519241921"/>
      </right>
      <top/>
      <bottom style="thin">
        <color theme="4" tint="0.39997558519241921"/>
      </bottom>
      <diagonal style="thin">
        <color indexed="64"/>
      </diagonal>
    </border>
    <border>
      <left/>
      <right style="thin">
        <color theme="4" tint="0.39997558519241921"/>
      </right>
      <top/>
      <bottom/>
      <diagonal/>
    </border>
    <border>
      <left style="thin">
        <color theme="4"/>
      </left>
      <right style="thin">
        <color theme="4" tint="0.39997558519241921"/>
      </right>
      <top style="double">
        <color theme="4"/>
      </top>
      <bottom style="thin">
        <color rgb="FF95B3D7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4"/>
      </left>
      <right style="thin">
        <color theme="4"/>
      </right>
      <top/>
      <bottom style="thin">
        <color theme="4" tint="0.39997558519241921"/>
      </bottom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 style="thin">
        <color theme="4"/>
      </left>
      <right style="thin">
        <color theme="4" tint="0.39997558519241921"/>
      </right>
      <top style="thin">
        <color rgb="FF95B3D7"/>
      </top>
      <bottom style="thin">
        <color theme="4" tint="0.39997558519241921"/>
      </bottom>
      <diagonal/>
    </border>
    <border>
      <left/>
      <right/>
      <top/>
      <bottom style="thin">
        <color rgb="FF95B3D7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79998168889431442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79998168889431442"/>
      </top>
      <bottom style="thin">
        <color theme="4" tint="0.79998168889431442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79998168889431442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4" tint="0.39997558519241921"/>
      </right>
      <top/>
      <bottom style="thin">
        <color theme="0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319">
    <xf numFmtId="0" fontId="0" fillId="0" borderId="0" xfId="0"/>
    <xf numFmtId="0" fontId="1" fillId="2" borderId="4" xfId="0" applyFont="1" applyFill="1" applyBorder="1"/>
    <xf numFmtId="0" fontId="1" fillId="2" borderId="4" xfId="0" applyNumberFormat="1" applyFont="1" applyFill="1" applyBorder="1"/>
    <xf numFmtId="0" fontId="3" fillId="2" borderId="4" xfId="0" applyNumberFormat="1" applyFont="1" applyFill="1" applyBorder="1"/>
    <xf numFmtId="0" fontId="0" fillId="0" borderId="0" xfId="0" applyAlignment="1">
      <alignment horizontal="center"/>
    </xf>
    <xf numFmtId="0" fontId="3" fillId="2" borderId="0" xfId="0" applyNumberFormat="1" applyFont="1" applyFill="1" applyBorder="1"/>
    <xf numFmtId="0" fontId="2" fillId="2" borderId="5" xfId="0" applyNumberFormat="1" applyFont="1" applyFill="1" applyBorder="1" applyAlignment="1">
      <alignment horizontal="center"/>
    </xf>
    <xf numFmtId="0" fontId="5" fillId="4" borderId="0" xfId="0" applyFont="1" applyFill="1"/>
    <xf numFmtId="0" fontId="1" fillId="2" borderId="4" xfId="0" applyNumberFormat="1" applyFont="1" applyFill="1" applyBorder="1" applyAlignment="1">
      <alignment horizontal="center"/>
    </xf>
    <xf numFmtId="0" fontId="4" fillId="2" borderId="5" xfId="0" applyNumberFormat="1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3" borderId="8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6" fillId="4" borderId="0" xfId="0" applyFont="1" applyFill="1"/>
    <xf numFmtId="0" fontId="7" fillId="5" borderId="1" xfId="0" applyFont="1" applyFill="1" applyBorder="1" applyAlignment="1">
      <alignment textRotation="45"/>
    </xf>
    <xf numFmtId="0" fontId="7" fillId="5" borderId="0" xfId="0" applyFont="1" applyFill="1" applyBorder="1" applyAlignment="1">
      <alignment textRotation="45"/>
    </xf>
    <xf numFmtId="0" fontId="8" fillId="5" borderId="0" xfId="0" applyFont="1" applyFill="1" applyAlignment="1">
      <alignment textRotation="45"/>
    </xf>
    <xf numFmtId="0" fontId="9" fillId="7" borderId="1" xfId="0" applyFont="1" applyFill="1" applyBorder="1"/>
    <xf numFmtId="0" fontId="9" fillId="8" borderId="1" xfId="0" applyFont="1" applyFill="1" applyBorder="1"/>
    <xf numFmtId="0" fontId="9" fillId="8" borderId="4" xfId="0" applyFont="1" applyFill="1" applyBorder="1"/>
    <xf numFmtId="0" fontId="1" fillId="8" borderId="4" xfId="0" applyFont="1" applyFill="1" applyBorder="1"/>
    <xf numFmtId="0" fontId="7" fillId="6" borderId="1" xfId="0" applyFont="1" applyFill="1" applyBorder="1" applyAlignment="1">
      <alignment horizontal="center" textRotation="45"/>
    </xf>
    <xf numFmtId="0" fontId="1" fillId="8" borderId="4" xfId="0" applyFont="1" applyFill="1" applyBorder="1" applyAlignment="1">
      <alignment horizontal="center"/>
    </xf>
    <xf numFmtId="0" fontId="7" fillId="5" borderId="3" xfId="0" applyFont="1" applyFill="1" applyBorder="1" applyAlignment="1">
      <alignment horizontal="center" textRotation="45"/>
    </xf>
    <xf numFmtId="0" fontId="7" fillId="5" borderId="1" xfId="0" applyFont="1" applyFill="1" applyBorder="1" applyAlignment="1">
      <alignment horizontal="center" textRotation="45"/>
    </xf>
    <xf numFmtId="16" fontId="1" fillId="3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3" fillId="2" borderId="0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6" fontId="1" fillId="2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9" fillId="7" borderId="1" xfId="0" applyFont="1" applyFill="1" applyBorder="1" applyAlignment="1"/>
    <xf numFmtId="0" fontId="9" fillId="8" borderId="1" xfId="0" applyFont="1" applyFill="1" applyBorder="1" applyAlignment="1"/>
    <xf numFmtId="0" fontId="9" fillId="8" borderId="4" xfId="0" applyFont="1" applyFill="1" applyBorder="1" applyAlignment="1"/>
    <xf numFmtId="0" fontId="0" fillId="0" borderId="0" xfId="0" applyAlignment="1">
      <alignment horizontal="center"/>
    </xf>
    <xf numFmtId="0" fontId="1" fillId="9" borderId="1" xfId="0" applyNumberFormat="1" applyFont="1" applyFill="1" applyBorder="1"/>
    <xf numFmtId="0" fontId="1" fillId="9" borderId="2" xfId="0" applyNumberFormat="1" applyFont="1" applyFill="1" applyBorder="1"/>
    <xf numFmtId="0" fontId="1" fillId="10" borderId="1" xfId="0" applyNumberFormat="1" applyFont="1" applyFill="1" applyBorder="1"/>
    <xf numFmtId="0" fontId="1" fillId="10" borderId="2" xfId="0" applyNumberFormat="1" applyFont="1" applyFill="1" applyBorder="1"/>
    <xf numFmtId="0" fontId="3" fillId="10" borderId="1" xfId="0" applyNumberFormat="1" applyFont="1" applyFill="1" applyBorder="1"/>
    <xf numFmtId="0" fontId="3" fillId="10" borderId="2" xfId="0" applyNumberFormat="1" applyFont="1" applyFill="1" applyBorder="1"/>
    <xf numFmtId="0" fontId="1" fillId="10" borderId="4" xfId="0" applyFont="1" applyFill="1" applyBorder="1"/>
    <xf numFmtId="0" fontId="1" fillId="10" borderId="4" xfId="0" applyNumberFormat="1" applyFont="1" applyFill="1" applyBorder="1"/>
    <xf numFmtId="0" fontId="1" fillId="10" borderId="0" xfId="0" applyNumberFormat="1" applyFont="1" applyFill="1" applyBorder="1"/>
    <xf numFmtId="0" fontId="1" fillId="11" borderId="1" xfId="0" applyFont="1" applyFill="1" applyBorder="1"/>
    <xf numFmtId="0" fontId="1" fillId="11" borderId="1" xfId="0" applyNumberFormat="1" applyFont="1" applyFill="1" applyBorder="1"/>
    <xf numFmtId="0" fontId="1" fillId="11" borderId="9" xfId="0" applyNumberFormat="1" applyFont="1" applyFill="1" applyBorder="1"/>
    <xf numFmtId="0" fontId="1" fillId="12" borderId="1" xfId="0" applyFont="1" applyFill="1" applyBorder="1"/>
    <xf numFmtId="0" fontId="1" fillId="12" borderId="1" xfId="0" applyNumberFormat="1" applyFont="1" applyFill="1" applyBorder="1"/>
    <xf numFmtId="0" fontId="1" fillId="12" borderId="9" xfId="0" applyNumberFormat="1" applyFont="1" applyFill="1" applyBorder="1"/>
    <xf numFmtId="0" fontId="3" fillId="12" borderId="1" xfId="0" applyFont="1" applyFill="1" applyBorder="1"/>
    <xf numFmtId="0" fontId="3" fillId="12" borderId="1" xfId="0" applyNumberFormat="1" applyFont="1" applyFill="1" applyBorder="1"/>
    <xf numFmtId="0" fontId="1" fillId="12" borderId="4" xfId="0" applyFont="1" applyFill="1" applyBorder="1"/>
    <xf numFmtId="0" fontId="1" fillId="12" borderId="4" xfId="0" applyNumberFormat="1" applyFont="1" applyFill="1" applyBorder="1"/>
    <xf numFmtId="0" fontId="1" fillId="12" borderId="10" xfId="0" applyNumberFormat="1" applyFont="1" applyFill="1" applyBorder="1"/>
    <xf numFmtId="0" fontId="1" fillId="13" borderId="1" xfId="0" applyFont="1" applyFill="1" applyBorder="1" applyAlignment="1">
      <alignment horizontal="center"/>
    </xf>
    <xf numFmtId="0" fontId="1" fillId="13" borderId="1" xfId="0" applyNumberFormat="1" applyFont="1" applyFill="1" applyBorder="1" applyAlignment="1">
      <alignment horizontal="center"/>
    </xf>
    <xf numFmtId="0" fontId="1" fillId="14" borderId="1" xfId="0" applyNumberFormat="1" applyFont="1" applyFill="1" applyBorder="1" applyAlignment="1">
      <alignment horizontal="center"/>
    </xf>
    <xf numFmtId="0" fontId="1" fillId="13" borderId="2" xfId="0" applyNumberFormat="1" applyFont="1" applyFill="1" applyBorder="1" applyAlignment="1">
      <alignment horizontal="center"/>
    </xf>
    <xf numFmtId="0" fontId="1" fillId="14" borderId="1" xfId="0" applyFont="1" applyFill="1" applyBorder="1" applyAlignment="1">
      <alignment horizontal="center"/>
    </xf>
    <xf numFmtId="0" fontId="1" fillId="14" borderId="2" xfId="0" applyNumberFormat="1" applyFont="1" applyFill="1" applyBorder="1" applyAlignment="1">
      <alignment horizontal="center"/>
    </xf>
    <xf numFmtId="0" fontId="3" fillId="14" borderId="1" xfId="0" applyFont="1" applyFill="1" applyBorder="1" applyAlignment="1">
      <alignment horizontal="center"/>
    </xf>
    <xf numFmtId="0" fontId="3" fillId="14" borderId="1" xfId="0" applyNumberFormat="1" applyFont="1" applyFill="1" applyBorder="1" applyAlignment="1">
      <alignment horizontal="center"/>
    </xf>
    <xf numFmtId="0" fontId="3" fillId="14" borderId="2" xfId="0" applyNumberFormat="1" applyFont="1" applyFill="1" applyBorder="1" applyAlignment="1">
      <alignment horizontal="center"/>
    </xf>
    <xf numFmtId="0" fontId="1" fillId="14" borderId="4" xfId="0" applyFont="1" applyFill="1" applyBorder="1" applyAlignment="1">
      <alignment horizontal="center"/>
    </xf>
    <xf numFmtId="0" fontId="1" fillId="14" borderId="4" xfId="0" applyNumberFormat="1" applyFont="1" applyFill="1" applyBorder="1" applyAlignment="1">
      <alignment horizontal="center"/>
    </xf>
    <xf numFmtId="0" fontId="1" fillId="14" borderId="0" xfId="0" applyNumberFormat="1" applyFont="1" applyFill="1" applyBorder="1" applyAlignment="1">
      <alignment horizontal="center"/>
    </xf>
    <xf numFmtId="0" fontId="0" fillId="15" borderId="0" xfId="0" applyFill="1" applyAlignment="1">
      <alignment horizontal="center"/>
    </xf>
    <xf numFmtId="0" fontId="1" fillId="16" borderId="1" xfId="0" applyFont="1" applyFill="1" applyBorder="1" applyAlignment="1">
      <alignment horizontal="center"/>
    </xf>
    <xf numFmtId="0" fontId="1" fillId="17" borderId="1" xfId="0" applyFont="1" applyFill="1" applyBorder="1" applyAlignment="1">
      <alignment horizontal="center"/>
    </xf>
    <xf numFmtId="0" fontId="3" fillId="17" borderId="1" xfId="0" applyFont="1" applyFill="1" applyBorder="1" applyAlignment="1">
      <alignment horizontal="center"/>
    </xf>
    <xf numFmtId="0" fontId="1" fillId="17" borderId="4" xfId="0" applyFont="1" applyFill="1" applyBorder="1" applyAlignment="1">
      <alignment horizontal="center"/>
    </xf>
    <xf numFmtId="0" fontId="1" fillId="20" borderId="1" xfId="0" applyFont="1" applyFill="1" applyBorder="1" applyAlignment="1">
      <alignment horizontal="center"/>
    </xf>
    <xf numFmtId="0" fontId="1" fillId="21" borderId="1" xfId="0" applyFont="1" applyFill="1" applyBorder="1" applyAlignment="1">
      <alignment horizontal="center"/>
    </xf>
    <xf numFmtId="0" fontId="3" fillId="21" borderId="1" xfId="0" applyFont="1" applyFill="1" applyBorder="1" applyAlignment="1">
      <alignment horizontal="center"/>
    </xf>
    <xf numFmtId="0" fontId="1" fillId="21" borderId="4" xfId="0" applyFont="1" applyFill="1" applyBorder="1" applyAlignment="1">
      <alignment horizontal="center"/>
    </xf>
    <xf numFmtId="0" fontId="1" fillId="21" borderId="4" xfId="0" applyNumberFormat="1" applyFont="1" applyFill="1" applyBorder="1" applyAlignment="1">
      <alignment horizontal="center"/>
    </xf>
    <xf numFmtId="0" fontId="1" fillId="22" borderId="1" xfId="0" applyFont="1" applyFill="1" applyBorder="1" applyAlignment="1">
      <alignment horizontal="center"/>
    </xf>
    <xf numFmtId="0" fontId="1" fillId="23" borderId="1" xfId="0" applyFont="1" applyFill="1" applyBorder="1" applyAlignment="1">
      <alignment horizontal="center"/>
    </xf>
    <xf numFmtId="0" fontId="3" fillId="23" borderId="1" xfId="0" applyFont="1" applyFill="1" applyBorder="1" applyAlignment="1">
      <alignment horizontal="center"/>
    </xf>
    <xf numFmtId="0" fontId="1" fillId="23" borderId="4" xfId="0" applyFont="1" applyFill="1" applyBorder="1" applyAlignment="1">
      <alignment horizontal="center"/>
    </xf>
    <xf numFmtId="0" fontId="1" fillId="23" borderId="4" xfId="0" applyNumberFormat="1" applyFont="1" applyFill="1" applyBorder="1" applyAlignment="1">
      <alignment horizontal="center"/>
    </xf>
    <xf numFmtId="0" fontId="1" fillId="25" borderId="4" xfId="0" applyNumberFormat="1" applyFont="1" applyFill="1" applyBorder="1" applyAlignment="1">
      <alignment horizontal="center"/>
    </xf>
    <xf numFmtId="0" fontId="1" fillId="24" borderId="2" xfId="0" applyFont="1" applyFill="1" applyBorder="1" applyAlignment="1">
      <alignment horizontal="center"/>
    </xf>
    <xf numFmtId="0" fontId="1" fillId="25" borderId="2" xfId="0" applyFont="1" applyFill="1" applyBorder="1" applyAlignment="1">
      <alignment horizontal="center"/>
    </xf>
    <xf numFmtId="0" fontId="3" fillId="25" borderId="2" xfId="0" applyFont="1" applyFill="1" applyBorder="1" applyAlignment="1">
      <alignment horizontal="center"/>
    </xf>
    <xf numFmtId="0" fontId="1" fillId="25" borderId="0" xfId="0" applyFont="1" applyFill="1" applyBorder="1" applyAlignment="1">
      <alignment horizontal="center"/>
    </xf>
    <xf numFmtId="0" fontId="1" fillId="26" borderId="1" xfId="0" applyFont="1" applyFill="1" applyBorder="1"/>
    <xf numFmtId="0" fontId="1" fillId="27" borderId="1" xfId="0" applyFont="1" applyFill="1" applyBorder="1"/>
    <xf numFmtId="0" fontId="3" fillId="27" borderId="1" xfId="0" applyFont="1" applyFill="1" applyBorder="1"/>
    <xf numFmtId="0" fontId="1" fillId="27" borderId="4" xfId="0" applyFont="1" applyFill="1" applyBorder="1"/>
    <xf numFmtId="0" fontId="1" fillId="28" borderId="1" xfId="0" applyFont="1" applyFill="1" applyBorder="1"/>
    <xf numFmtId="0" fontId="1" fillId="29" borderId="1" xfId="0" applyFont="1" applyFill="1" applyBorder="1"/>
    <xf numFmtId="0" fontId="3" fillId="29" borderId="1" xfId="0" applyFont="1" applyFill="1" applyBorder="1"/>
    <xf numFmtId="0" fontId="1" fillId="29" borderId="4" xfId="0" applyFont="1" applyFill="1" applyBorder="1"/>
    <xf numFmtId="0" fontId="1" fillId="30" borderId="1" xfId="0" applyFont="1" applyFill="1" applyBorder="1"/>
    <xf numFmtId="0" fontId="1" fillId="31" borderId="1" xfId="0" applyFont="1" applyFill="1" applyBorder="1"/>
    <xf numFmtId="0" fontId="3" fillId="31" borderId="1" xfId="0" applyFont="1" applyFill="1" applyBorder="1"/>
    <xf numFmtId="0" fontId="1" fillId="31" borderId="4" xfId="0" applyFont="1" applyFill="1" applyBorder="1"/>
    <xf numFmtId="0" fontId="1" fillId="32" borderId="1" xfId="0" applyFont="1" applyFill="1" applyBorder="1"/>
    <xf numFmtId="0" fontId="1" fillId="33" borderId="1" xfId="0" applyFont="1" applyFill="1" applyBorder="1"/>
    <xf numFmtId="0" fontId="3" fillId="33" borderId="1" xfId="0" applyFont="1" applyFill="1" applyBorder="1"/>
    <xf numFmtId="0" fontId="1" fillId="33" borderId="4" xfId="0" applyFont="1" applyFill="1" applyBorder="1"/>
    <xf numFmtId="0" fontId="1" fillId="34" borderId="1" xfId="0" applyFont="1" applyFill="1" applyBorder="1"/>
    <xf numFmtId="0" fontId="1" fillId="35" borderId="1" xfId="0" applyFont="1" applyFill="1" applyBorder="1"/>
    <xf numFmtId="0" fontId="3" fillId="35" borderId="1" xfId="0" applyFont="1" applyFill="1" applyBorder="1"/>
    <xf numFmtId="0" fontId="1" fillId="35" borderId="4" xfId="0" applyFont="1" applyFill="1" applyBorder="1"/>
    <xf numFmtId="0" fontId="10" fillId="36" borderId="2" xfId="0" applyFont="1" applyFill="1" applyBorder="1"/>
    <xf numFmtId="0" fontId="10" fillId="37" borderId="2" xfId="0" applyFont="1" applyFill="1" applyBorder="1"/>
    <xf numFmtId="0" fontId="10" fillId="37" borderId="0" xfId="0" applyFont="1" applyFill="1" applyBorder="1"/>
    <xf numFmtId="0" fontId="10" fillId="37" borderId="4" xfId="0" applyFont="1" applyFill="1" applyBorder="1"/>
    <xf numFmtId="0" fontId="1" fillId="38" borderId="1" xfId="0" applyFont="1" applyFill="1" applyBorder="1"/>
    <xf numFmtId="0" fontId="1" fillId="39" borderId="1" xfId="0" applyFont="1" applyFill="1" applyBorder="1"/>
    <xf numFmtId="0" fontId="3" fillId="39" borderId="1" xfId="0" applyFont="1" applyFill="1" applyBorder="1"/>
    <xf numFmtId="0" fontId="1" fillId="39" borderId="4" xfId="0" applyFont="1" applyFill="1" applyBorder="1"/>
    <xf numFmtId="0" fontId="1" fillId="40" borderId="1" xfId="0" applyFont="1" applyFill="1" applyBorder="1"/>
    <xf numFmtId="0" fontId="1" fillId="41" borderId="1" xfId="0" applyFont="1" applyFill="1" applyBorder="1"/>
    <xf numFmtId="0" fontId="3" fillId="41" borderId="1" xfId="0" applyFont="1" applyFill="1" applyBorder="1"/>
    <xf numFmtId="0" fontId="1" fillId="41" borderId="4" xfId="0" applyFont="1" applyFill="1" applyBorder="1"/>
    <xf numFmtId="0" fontId="1" fillId="42" borderId="1" xfId="0" applyFont="1" applyFill="1" applyBorder="1"/>
    <xf numFmtId="0" fontId="1" fillId="43" borderId="1" xfId="0" applyFont="1" applyFill="1" applyBorder="1"/>
    <xf numFmtId="0" fontId="3" fillId="43" borderId="1" xfId="0" applyFont="1" applyFill="1" applyBorder="1"/>
    <xf numFmtId="0" fontId="1" fillId="43" borderId="4" xfId="0" applyFont="1" applyFill="1" applyBorder="1"/>
    <xf numFmtId="0" fontId="1" fillId="44" borderId="1" xfId="0" applyFont="1" applyFill="1" applyBorder="1"/>
    <xf numFmtId="0" fontId="1" fillId="45" borderId="1" xfId="0" applyFont="1" applyFill="1" applyBorder="1"/>
    <xf numFmtId="0" fontId="3" fillId="45" borderId="1" xfId="0" applyFont="1" applyFill="1" applyBorder="1"/>
    <xf numFmtId="0" fontId="1" fillId="45" borderId="4" xfId="0" applyFont="1" applyFill="1" applyBorder="1"/>
    <xf numFmtId="0" fontId="1" fillId="46" borderId="2" xfId="0" applyFont="1" applyFill="1" applyBorder="1"/>
    <xf numFmtId="0" fontId="1" fillId="47" borderId="2" xfId="0" applyFont="1" applyFill="1" applyBorder="1"/>
    <xf numFmtId="0" fontId="3" fillId="47" borderId="2" xfId="0" applyFont="1" applyFill="1" applyBorder="1"/>
    <xf numFmtId="0" fontId="1" fillId="47" borderId="0" xfId="0" applyFont="1" applyFill="1" applyBorder="1"/>
    <xf numFmtId="0" fontId="7" fillId="48" borderId="1" xfId="0" applyFont="1" applyFill="1" applyBorder="1" applyAlignment="1">
      <alignment horizontal="center" textRotation="45"/>
    </xf>
    <xf numFmtId="0" fontId="7" fillId="48" borderId="12" xfId="0" applyFont="1" applyFill="1" applyBorder="1" applyAlignment="1">
      <alignment horizontal="center" textRotation="45"/>
    </xf>
    <xf numFmtId="0" fontId="7" fillId="48" borderId="1" xfId="0" applyFont="1" applyFill="1" applyBorder="1" applyAlignment="1">
      <alignment textRotation="45"/>
    </xf>
    <xf numFmtId="0" fontId="7" fillId="48" borderId="11" xfId="0" applyFont="1" applyFill="1" applyBorder="1" applyAlignment="1">
      <alignment textRotation="45"/>
    </xf>
    <xf numFmtId="0" fontId="7" fillId="49" borderId="1" xfId="0" applyFont="1" applyFill="1" applyBorder="1" applyAlignment="1">
      <alignment horizontal="center" textRotation="45" wrapText="1"/>
    </xf>
    <xf numFmtId="0" fontId="7" fillId="50" borderId="1" xfId="0" applyFont="1" applyFill="1" applyBorder="1" applyAlignment="1">
      <alignment horizontal="center" textRotation="45"/>
    </xf>
    <xf numFmtId="0" fontId="7" fillId="51" borderId="1" xfId="0" applyFont="1" applyFill="1" applyBorder="1" applyAlignment="1">
      <alignment horizontal="center" textRotation="45"/>
    </xf>
    <xf numFmtId="0" fontId="7" fillId="55" borderId="1" xfId="0" applyFont="1" applyFill="1" applyBorder="1" applyAlignment="1">
      <alignment textRotation="45"/>
    </xf>
    <xf numFmtId="0" fontId="7" fillId="56" borderId="1" xfId="0" applyFont="1" applyFill="1" applyBorder="1" applyAlignment="1">
      <alignment textRotation="45"/>
    </xf>
    <xf numFmtId="0" fontId="7" fillId="57" borderId="1" xfId="0" applyFont="1" applyFill="1" applyBorder="1" applyAlignment="1">
      <alignment textRotation="45"/>
    </xf>
    <xf numFmtId="0" fontId="7" fillId="58" borderId="1" xfId="0" applyFont="1" applyFill="1" applyBorder="1" applyAlignment="1">
      <alignment textRotation="45"/>
    </xf>
    <xf numFmtId="0" fontId="7" fillId="59" borderId="1" xfId="0" applyFont="1" applyFill="1" applyBorder="1" applyAlignment="1">
      <alignment textRotation="45"/>
    </xf>
    <xf numFmtId="0" fontId="7" fillId="60" borderId="1" xfId="0" applyFont="1" applyFill="1" applyBorder="1" applyAlignment="1">
      <alignment textRotation="45"/>
    </xf>
    <xf numFmtId="0" fontId="7" fillId="61" borderId="1" xfId="0" applyFont="1" applyFill="1" applyBorder="1" applyAlignment="1">
      <alignment textRotation="45"/>
    </xf>
    <xf numFmtId="0" fontId="7" fillId="62" borderId="1" xfId="0" applyFont="1" applyFill="1" applyBorder="1" applyAlignment="1">
      <alignment textRotation="45"/>
    </xf>
    <xf numFmtId="0" fontId="7" fillId="63" borderId="1" xfId="0" applyFont="1" applyFill="1" applyBorder="1" applyAlignment="1">
      <alignment textRotation="45"/>
    </xf>
    <xf numFmtId="0" fontId="7" fillId="64" borderId="1" xfId="0" applyFont="1" applyFill="1" applyBorder="1" applyAlignment="1">
      <alignment textRotation="45"/>
    </xf>
    <xf numFmtId="0" fontId="7" fillId="65" borderId="1" xfId="0" applyFont="1" applyFill="1" applyBorder="1" applyAlignment="1">
      <alignment textRotation="45"/>
    </xf>
    <xf numFmtId="0" fontId="7" fillId="66" borderId="1" xfId="0" applyFont="1" applyFill="1" applyBorder="1" applyAlignment="1">
      <alignment textRotation="45"/>
    </xf>
    <xf numFmtId="0" fontId="11" fillId="54" borderId="1" xfId="0" applyFont="1" applyFill="1" applyBorder="1" applyAlignment="1">
      <alignment horizontal="center" textRotation="45"/>
    </xf>
    <xf numFmtId="0" fontId="11" fillId="53" borderId="1" xfId="0" applyFont="1" applyFill="1" applyBorder="1" applyAlignment="1">
      <alignment horizontal="center" textRotation="45"/>
    </xf>
    <xf numFmtId="0" fontId="11" fillId="52" borderId="1" xfId="0" applyFont="1" applyFill="1" applyBorder="1" applyAlignment="1">
      <alignment horizontal="center" textRotation="45"/>
    </xf>
    <xf numFmtId="0" fontId="1" fillId="18" borderId="13" xfId="0" applyFont="1" applyFill="1" applyBorder="1" applyAlignment="1">
      <alignment horizontal="center"/>
    </xf>
    <xf numFmtId="0" fontId="1" fillId="19" borderId="14" xfId="0" applyFont="1" applyFill="1" applyBorder="1" applyAlignment="1">
      <alignment horizontal="center"/>
    </xf>
    <xf numFmtId="0" fontId="1" fillId="18" borderId="14" xfId="0" applyFont="1" applyFill="1" applyBorder="1" applyAlignment="1">
      <alignment horizontal="center"/>
    </xf>
    <xf numFmtId="0" fontId="3" fillId="19" borderId="14" xfId="0" applyFont="1" applyFill="1" applyBorder="1" applyAlignment="1">
      <alignment horizontal="center"/>
    </xf>
    <xf numFmtId="0" fontId="1" fillId="19" borderId="15" xfId="0" applyNumberFormat="1" applyFont="1" applyFill="1" applyBorder="1" applyAlignment="1">
      <alignment horizontal="center"/>
    </xf>
    <xf numFmtId="0" fontId="1" fillId="41" borderId="4" xfId="0" applyNumberFormat="1" applyFont="1" applyFill="1" applyBorder="1"/>
    <xf numFmtId="0" fontId="1" fillId="43" borderId="4" xfId="0" applyNumberFormat="1" applyFont="1" applyFill="1" applyBorder="1"/>
    <xf numFmtId="0" fontId="1" fillId="67" borderId="4" xfId="0" applyNumberFormat="1" applyFont="1" applyFill="1" applyBorder="1"/>
    <xf numFmtId="0" fontId="1" fillId="45" borderId="4" xfId="0" applyNumberFormat="1" applyFont="1" applyFill="1" applyBorder="1"/>
    <xf numFmtId="0" fontId="1" fillId="47" borderId="4" xfId="0" applyNumberFormat="1" applyFont="1" applyFill="1" applyBorder="1"/>
    <xf numFmtId="0" fontId="9" fillId="8" borderId="1" xfId="0" applyFont="1" applyFill="1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Border="1" applyAlignment="1"/>
    <xf numFmtId="0" fontId="0" fillId="3" borderId="7" xfId="0" applyFont="1" applyFill="1" applyBorder="1" applyAlignment="1"/>
    <xf numFmtId="0" fontId="0" fillId="2" borderId="7" xfId="0" applyFont="1" applyFill="1" applyBorder="1" applyAlignment="1"/>
    <xf numFmtId="0" fontId="0" fillId="2" borderId="16" xfId="0" applyFont="1" applyFill="1" applyBorder="1" applyAlignment="1"/>
    <xf numFmtId="0" fontId="1" fillId="2" borderId="17" xfId="0" applyNumberFormat="1" applyFont="1" applyFill="1" applyBorder="1" applyAlignment="1">
      <alignment horizontal="center"/>
    </xf>
    <xf numFmtId="0" fontId="0" fillId="3" borderId="16" xfId="0" applyFont="1" applyFill="1" applyBorder="1" applyAlignment="1"/>
    <xf numFmtId="0" fontId="1" fillId="2" borderId="17" xfId="0" applyFont="1" applyFill="1" applyBorder="1" applyAlignment="1">
      <alignment horizontal="center"/>
    </xf>
    <xf numFmtId="0" fontId="0" fillId="68" borderId="6" xfId="0" applyFont="1" applyFill="1" applyBorder="1" applyAlignment="1"/>
    <xf numFmtId="0" fontId="2" fillId="68" borderId="5" xfId="0" applyNumberFormat="1" applyFont="1" applyFill="1" applyBorder="1" applyAlignment="1">
      <alignment horizontal="center"/>
    </xf>
    <xf numFmtId="0" fontId="12" fillId="0" borderId="0" xfId="1" applyAlignment="1" applyProtection="1"/>
    <xf numFmtId="16" fontId="0" fillId="0" borderId="0" xfId="0" applyNumberFormat="1" applyAlignment="1">
      <alignment horizontal="center"/>
    </xf>
    <xf numFmtId="0" fontId="12" fillId="0" borderId="0" xfId="1" quotePrefix="1" applyAlignment="1" applyProtection="1"/>
    <xf numFmtId="0" fontId="13" fillId="69" borderId="0" xfId="0" applyFont="1" applyFill="1"/>
    <xf numFmtId="0" fontId="14" fillId="69" borderId="0" xfId="0" applyFont="1" applyFill="1"/>
    <xf numFmtId="0" fontId="13" fillId="69" borderId="0" xfId="0" applyFont="1" applyFill="1" applyBorder="1"/>
    <xf numFmtId="0" fontId="0" fillId="69" borderId="0" xfId="0" applyFill="1" applyBorder="1"/>
    <xf numFmtId="0" fontId="15" fillId="69" borderId="0" xfId="0" applyFont="1" applyFill="1" applyBorder="1" applyAlignment="1">
      <alignment horizontal="center" vertical="center"/>
    </xf>
    <xf numFmtId="0" fontId="15" fillId="69" borderId="0" xfId="0" applyFont="1" applyFill="1" applyBorder="1"/>
    <xf numFmtId="0" fontId="14" fillId="69" borderId="0" xfId="0" applyFont="1" applyFill="1" applyBorder="1"/>
    <xf numFmtId="0" fontId="15" fillId="69" borderId="0" xfId="0" applyFont="1" applyFill="1"/>
    <xf numFmtId="164" fontId="13" fillId="69" borderId="21" xfId="0" applyNumberFormat="1" applyFont="1" applyFill="1" applyBorder="1" applyAlignment="1">
      <alignment horizontal="left" vertical="center"/>
    </xf>
    <xf numFmtId="165" fontId="13" fillId="69" borderId="22" xfId="0" quotePrefix="1" applyNumberFormat="1" applyFont="1" applyFill="1" applyBorder="1" applyAlignment="1">
      <alignment horizontal="right" vertical="center"/>
    </xf>
    <xf numFmtId="166" fontId="13" fillId="69" borderId="22" xfId="0" quotePrefix="1" applyNumberFormat="1" applyFont="1" applyFill="1" applyBorder="1" applyAlignment="1">
      <alignment horizontal="right" vertical="center"/>
    </xf>
    <xf numFmtId="165" fontId="13" fillId="69" borderId="0" xfId="0" quotePrefix="1" applyNumberFormat="1" applyFont="1" applyFill="1" applyBorder="1" applyAlignment="1">
      <alignment horizontal="right" vertical="center"/>
    </xf>
    <xf numFmtId="164" fontId="16" fillId="70" borderId="21" xfId="0" applyNumberFormat="1" applyFont="1" applyFill="1" applyBorder="1" applyAlignment="1">
      <alignment horizontal="left" vertical="center"/>
    </xf>
    <xf numFmtId="165" fontId="17" fillId="70" borderId="22" xfId="0" quotePrefix="1" applyNumberFormat="1" applyFont="1" applyFill="1" applyBorder="1" applyAlignment="1">
      <alignment horizontal="right" vertical="center"/>
    </xf>
    <xf numFmtId="166" fontId="17" fillId="70" borderId="22" xfId="0" quotePrefix="1" applyNumberFormat="1" applyFont="1" applyFill="1" applyBorder="1" applyAlignment="1">
      <alignment horizontal="right" vertical="center"/>
    </xf>
    <xf numFmtId="165" fontId="13" fillId="69" borderId="21" xfId="0" applyNumberFormat="1" applyFont="1" applyFill="1" applyBorder="1" applyAlignment="1">
      <alignment horizontal="right" vertical="center"/>
    </xf>
    <xf numFmtId="166" fontId="13" fillId="69" borderId="21" xfId="0" applyNumberFormat="1" applyFont="1" applyFill="1" applyBorder="1" applyAlignment="1">
      <alignment horizontal="right" vertical="center"/>
    </xf>
    <xf numFmtId="165" fontId="13" fillId="69" borderId="0" xfId="0" applyNumberFormat="1" applyFont="1" applyFill="1" applyBorder="1" applyAlignment="1">
      <alignment horizontal="right" vertical="center"/>
    </xf>
    <xf numFmtId="165" fontId="17" fillId="70" borderId="21" xfId="0" applyNumberFormat="1" applyFont="1" applyFill="1" applyBorder="1" applyAlignment="1">
      <alignment horizontal="right" vertical="center"/>
    </xf>
    <xf numFmtId="166" fontId="17" fillId="70" borderId="21" xfId="0" applyNumberFormat="1" applyFont="1" applyFill="1" applyBorder="1" applyAlignment="1">
      <alignment horizontal="right" vertical="center"/>
    </xf>
    <xf numFmtId="164" fontId="16" fillId="69" borderId="23" xfId="0" applyNumberFormat="1" applyFont="1" applyFill="1" applyBorder="1" applyAlignment="1">
      <alignment horizontal="left" vertical="center"/>
    </xf>
    <xf numFmtId="165" fontId="16" fillId="69" borderId="23" xfId="0" applyNumberFormat="1" applyFont="1" applyFill="1" applyBorder="1" applyAlignment="1">
      <alignment horizontal="right" vertical="center"/>
    </xf>
    <xf numFmtId="166" fontId="16" fillId="69" borderId="23" xfId="0" applyNumberFormat="1" applyFont="1" applyFill="1" applyBorder="1" applyAlignment="1">
      <alignment horizontal="right" vertical="center"/>
    </xf>
    <xf numFmtId="164" fontId="13" fillId="69" borderId="0" xfId="0" applyNumberFormat="1" applyFont="1" applyFill="1" applyBorder="1" applyAlignment="1">
      <alignment horizontal="left" vertical="center"/>
    </xf>
    <xf numFmtId="164" fontId="16" fillId="69" borderId="0" xfId="0" applyNumberFormat="1" applyFont="1" applyFill="1" applyBorder="1" applyAlignment="1">
      <alignment horizontal="left" vertical="center"/>
    </xf>
    <xf numFmtId="165" fontId="16" fillId="69" borderId="0" xfId="0" applyNumberFormat="1" applyFont="1" applyFill="1" applyBorder="1" applyAlignment="1">
      <alignment horizontal="right" vertical="center"/>
    </xf>
    <xf numFmtId="166" fontId="16" fillId="69" borderId="0" xfId="0" applyNumberFormat="1" applyFont="1" applyFill="1" applyBorder="1" applyAlignment="1">
      <alignment horizontal="right" vertical="center"/>
    </xf>
    <xf numFmtId="164" fontId="16" fillId="70" borderId="0" xfId="0" applyNumberFormat="1" applyFont="1" applyFill="1" applyBorder="1" applyAlignment="1">
      <alignment horizontal="left" vertical="center"/>
    </xf>
    <xf numFmtId="166" fontId="13" fillId="69" borderId="0" xfId="0" applyNumberFormat="1" applyFont="1" applyFill="1" applyBorder="1" applyAlignment="1">
      <alignment horizontal="right" vertical="center"/>
    </xf>
    <xf numFmtId="165" fontId="17" fillId="70" borderId="0" xfId="0" applyNumberFormat="1" applyFont="1" applyFill="1" applyBorder="1" applyAlignment="1">
      <alignment horizontal="right" vertical="center"/>
    </xf>
    <xf numFmtId="166" fontId="17" fillId="70" borderId="0" xfId="0" applyNumberFormat="1" applyFont="1" applyFill="1" applyBorder="1" applyAlignment="1">
      <alignment horizontal="right" vertical="center"/>
    </xf>
    <xf numFmtId="0" fontId="0" fillId="0" borderId="0" xfId="0" applyBorder="1"/>
    <xf numFmtId="166" fontId="12" fillId="70" borderId="21" xfId="1" applyNumberFormat="1" applyFill="1" applyBorder="1" applyAlignment="1" applyProtection="1">
      <alignment horizontal="right" vertical="center"/>
    </xf>
    <xf numFmtId="0" fontId="18" fillId="0" borderId="0" xfId="0" applyFont="1"/>
    <xf numFmtId="0" fontId="9" fillId="23" borderId="1" xfId="0" applyFont="1" applyFill="1" applyBorder="1" applyAlignment="1">
      <alignment horizontal="center"/>
    </xf>
    <xf numFmtId="0" fontId="18" fillId="17" borderId="4" xfId="0" applyFont="1" applyFill="1" applyBorder="1" applyAlignment="1">
      <alignment horizontal="center"/>
    </xf>
    <xf numFmtId="0" fontId="18" fillId="14" borderId="4" xfId="0" applyNumberFormat="1" applyFont="1" applyFill="1" applyBorder="1" applyAlignment="1">
      <alignment horizontal="center"/>
    </xf>
    <xf numFmtId="0" fontId="18" fillId="27" borderId="4" xfId="0" applyFont="1" applyFill="1" applyBorder="1"/>
    <xf numFmtId="0" fontId="18" fillId="29" borderId="4" xfId="0" applyFont="1" applyFill="1" applyBorder="1"/>
    <xf numFmtId="0" fontId="18" fillId="31" borderId="4" xfId="0" applyFont="1" applyFill="1" applyBorder="1"/>
    <xf numFmtId="0" fontId="18" fillId="33" borderId="4" xfId="0" applyFont="1" applyFill="1" applyBorder="1"/>
    <xf numFmtId="0" fontId="18" fillId="35" borderId="4" xfId="0" applyFont="1" applyFill="1" applyBorder="1"/>
    <xf numFmtId="0" fontId="18" fillId="39" borderId="4" xfId="0" applyFont="1" applyFill="1" applyBorder="1"/>
    <xf numFmtId="0" fontId="18" fillId="2" borderId="4" xfId="0" applyNumberFormat="1" applyFont="1" applyFill="1" applyBorder="1"/>
    <xf numFmtId="0" fontId="18" fillId="8" borderId="4" xfId="0" applyFont="1" applyFill="1" applyBorder="1" applyAlignment="1">
      <alignment horizontal="center"/>
    </xf>
    <xf numFmtId="0" fontId="18" fillId="19" borderId="15" xfId="0" applyNumberFormat="1" applyFont="1" applyFill="1" applyBorder="1" applyAlignment="1">
      <alignment horizontal="center"/>
    </xf>
    <xf numFmtId="0" fontId="18" fillId="15" borderId="0" xfId="0" applyFont="1" applyFill="1" applyAlignment="1">
      <alignment horizontal="center"/>
    </xf>
    <xf numFmtId="0" fontId="18" fillId="21" borderId="4" xfId="0" applyNumberFormat="1" applyFont="1" applyFill="1" applyBorder="1" applyAlignment="1">
      <alignment horizontal="center"/>
    </xf>
    <xf numFmtId="0" fontId="18" fillId="23" borderId="4" xfId="0" applyNumberFormat="1" applyFont="1" applyFill="1" applyBorder="1" applyAlignment="1">
      <alignment horizontal="center"/>
    </xf>
    <xf numFmtId="0" fontId="18" fillId="25" borderId="4" xfId="0" applyNumberFormat="1" applyFont="1" applyFill="1" applyBorder="1" applyAlignment="1">
      <alignment horizontal="center"/>
    </xf>
    <xf numFmtId="0" fontId="18" fillId="2" borderId="4" xfId="0" applyNumberFormat="1" applyFont="1" applyFill="1" applyBorder="1" applyAlignment="1">
      <alignment horizontal="center"/>
    </xf>
    <xf numFmtId="0" fontId="18" fillId="2" borderId="4" xfId="0" applyFont="1" applyFill="1" applyBorder="1"/>
    <xf numFmtId="0" fontId="18" fillId="10" borderId="4" xfId="0" applyFont="1" applyFill="1" applyBorder="1"/>
    <xf numFmtId="0" fontId="19" fillId="37" borderId="4" xfId="0" applyFont="1" applyFill="1" applyBorder="1"/>
    <xf numFmtId="0" fontId="18" fillId="8" borderId="4" xfId="0" applyFont="1" applyFill="1" applyBorder="1"/>
    <xf numFmtId="0" fontId="18" fillId="41" borderId="4" xfId="0" applyNumberFormat="1" applyFont="1" applyFill="1" applyBorder="1"/>
    <xf numFmtId="0" fontId="18" fillId="43" borderId="4" xfId="0" applyNumberFormat="1" applyFont="1" applyFill="1" applyBorder="1"/>
    <xf numFmtId="0" fontId="18" fillId="67" borderId="4" xfId="0" applyNumberFormat="1" applyFont="1" applyFill="1" applyBorder="1"/>
    <xf numFmtId="0" fontId="18" fillId="45" borderId="4" xfId="0" applyNumberFormat="1" applyFont="1" applyFill="1" applyBorder="1"/>
    <xf numFmtId="0" fontId="18" fillId="47" borderId="4" xfId="0" applyNumberFormat="1" applyFont="1" applyFill="1" applyBorder="1"/>
    <xf numFmtId="0" fontId="9" fillId="22" borderId="1" xfId="0" applyFont="1" applyFill="1" applyBorder="1" applyAlignment="1">
      <alignment horizontal="center"/>
    </xf>
    <xf numFmtId="0" fontId="9" fillId="16" borderId="1" xfId="0" applyFont="1" applyFill="1" applyBorder="1" applyAlignment="1">
      <alignment horizontal="center"/>
    </xf>
    <xf numFmtId="0" fontId="9" fillId="13" borderId="1" xfId="0" applyNumberFormat="1" applyFont="1" applyFill="1" applyBorder="1" applyAlignment="1">
      <alignment horizontal="center"/>
    </xf>
    <xf numFmtId="0" fontId="9" fillId="18" borderId="13" xfId="0" applyFont="1" applyFill="1" applyBorder="1" applyAlignment="1">
      <alignment horizontal="center"/>
    </xf>
    <xf numFmtId="0" fontId="9" fillId="14" borderId="1" xfId="0" applyNumberFormat="1" applyFont="1" applyFill="1" applyBorder="1" applyAlignment="1">
      <alignment horizontal="center"/>
    </xf>
    <xf numFmtId="0" fontId="9" fillId="20" borderId="1" xfId="0" applyFont="1" applyFill="1" applyBorder="1" applyAlignment="1">
      <alignment horizontal="center"/>
    </xf>
    <xf numFmtId="0" fontId="9" fillId="13" borderId="1" xfId="0" applyFont="1" applyFill="1" applyBorder="1" applyAlignment="1">
      <alignment horizontal="center"/>
    </xf>
    <xf numFmtId="0" fontId="9" fillId="13" borderId="2" xfId="0" applyNumberFormat="1" applyFont="1" applyFill="1" applyBorder="1" applyAlignment="1">
      <alignment horizontal="center"/>
    </xf>
    <xf numFmtId="0" fontId="9" fillId="24" borderId="2" xfId="0" applyFont="1" applyFill="1" applyBorder="1" applyAlignment="1">
      <alignment horizontal="center"/>
    </xf>
    <xf numFmtId="0" fontId="9" fillId="2" borderId="0" xfId="0" applyNumberFormat="1" applyFont="1" applyFill="1" applyBorder="1" applyAlignment="1">
      <alignment horizontal="center"/>
    </xf>
    <xf numFmtId="0" fontId="21" fillId="4" borderId="0" xfId="0" applyFont="1" applyFill="1"/>
    <xf numFmtId="0" fontId="9" fillId="26" borderId="1" xfId="0" applyFont="1" applyFill="1" applyBorder="1"/>
    <xf numFmtId="0" fontId="9" fillId="9" borderId="1" xfId="0" applyNumberFormat="1" applyFont="1" applyFill="1" applyBorder="1"/>
    <xf numFmtId="0" fontId="9" fillId="28" borderId="1" xfId="0" applyFont="1" applyFill="1" applyBorder="1"/>
    <xf numFmtId="0" fontId="9" fillId="30" borderId="1" xfId="0" applyFont="1" applyFill="1" applyBorder="1"/>
    <xf numFmtId="0" fontId="9" fillId="32" borderId="1" xfId="0" applyFont="1" applyFill="1" applyBorder="1"/>
    <xf numFmtId="0" fontId="9" fillId="34" borderId="1" xfId="0" applyFont="1" applyFill="1" applyBorder="1"/>
    <xf numFmtId="0" fontId="9" fillId="9" borderId="2" xfId="0" applyNumberFormat="1" applyFont="1" applyFill="1" applyBorder="1"/>
    <xf numFmtId="0" fontId="20" fillId="36" borderId="2" xfId="0" applyFont="1" applyFill="1" applyBorder="1"/>
    <xf numFmtId="0" fontId="9" fillId="2" borderId="0" xfId="0" applyNumberFormat="1" applyFont="1" applyFill="1" applyBorder="1"/>
    <xf numFmtId="0" fontId="9" fillId="0" borderId="0" xfId="0" applyFont="1"/>
    <xf numFmtId="0" fontId="9" fillId="38" borderId="1" xfId="0" applyFont="1" applyFill="1" applyBorder="1"/>
    <xf numFmtId="0" fontId="9" fillId="11" borderId="1" xfId="0" applyNumberFormat="1" applyFont="1" applyFill="1" applyBorder="1"/>
    <xf numFmtId="0" fontId="9" fillId="40" borderId="1" xfId="0" applyFont="1" applyFill="1" applyBorder="1"/>
    <xf numFmtId="0" fontId="9" fillId="42" borderId="1" xfId="0" applyFont="1" applyFill="1" applyBorder="1"/>
    <xf numFmtId="0" fontId="9" fillId="11" borderId="1" xfId="0" applyFont="1" applyFill="1" applyBorder="1"/>
    <xf numFmtId="0" fontId="9" fillId="44" borderId="1" xfId="0" applyFont="1" applyFill="1" applyBorder="1"/>
    <xf numFmtId="0" fontId="9" fillId="11" borderId="9" xfId="0" applyNumberFormat="1" applyFont="1" applyFill="1" applyBorder="1"/>
    <xf numFmtId="0" fontId="9" fillId="46" borderId="2" xfId="0" applyFont="1" applyFill="1" applyBorder="1"/>
    <xf numFmtId="0" fontId="9" fillId="17" borderId="1" xfId="0" applyFont="1" applyFill="1" applyBorder="1" applyAlignment="1">
      <alignment horizontal="center"/>
    </xf>
    <xf numFmtId="0" fontId="9" fillId="19" borderId="14" xfId="0" applyFont="1" applyFill="1" applyBorder="1" applyAlignment="1">
      <alignment horizontal="center"/>
    </xf>
    <xf numFmtId="0" fontId="9" fillId="21" borderId="1" xfId="0" applyFont="1" applyFill="1" applyBorder="1" applyAlignment="1">
      <alignment horizontal="center"/>
    </xf>
    <xf numFmtId="0" fontId="9" fillId="14" borderId="1" xfId="0" applyFont="1" applyFill="1" applyBorder="1" applyAlignment="1">
      <alignment horizontal="center"/>
    </xf>
    <xf numFmtId="0" fontId="9" fillId="14" borderId="2" xfId="0" applyNumberFormat="1" applyFont="1" applyFill="1" applyBorder="1" applyAlignment="1">
      <alignment horizontal="center"/>
    </xf>
    <xf numFmtId="0" fontId="9" fillId="25" borderId="2" xfId="0" applyFont="1" applyFill="1" applyBorder="1" applyAlignment="1">
      <alignment horizontal="center"/>
    </xf>
    <xf numFmtId="0" fontId="9" fillId="27" borderId="1" xfId="0" applyFont="1" applyFill="1" applyBorder="1"/>
    <xf numFmtId="0" fontId="9" fillId="29" borderId="1" xfId="0" applyFont="1" applyFill="1" applyBorder="1"/>
    <xf numFmtId="0" fontId="9" fillId="10" borderId="1" xfId="0" applyNumberFormat="1" applyFont="1" applyFill="1" applyBorder="1"/>
    <xf numFmtId="0" fontId="9" fillId="31" borderId="1" xfId="0" applyFont="1" applyFill="1" applyBorder="1"/>
    <xf numFmtId="0" fontId="9" fillId="33" borderId="1" xfId="0" applyFont="1" applyFill="1" applyBorder="1"/>
    <xf numFmtId="0" fontId="9" fillId="35" borderId="1" xfId="0" applyFont="1" applyFill="1" applyBorder="1"/>
    <xf numFmtId="0" fontId="9" fillId="10" borderId="2" xfId="0" applyNumberFormat="1" applyFont="1" applyFill="1" applyBorder="1"/>
    <xf numFmtId="0" fontId="20" fillId="37" borderId="2" xfId="0" applyFont="1" applyFill="1" applyBorder="1"/>
    <xf numFmtId="0" fontId="9" fillId="39" borderId="1" xfId="0" applyFont="1" applyFill="1" applyBorder="1"/>
    <xf numFmtId="0" fontId="9" fillId="41" borderId="1" xfId="0" applyFont="1" applyFill="1" applyBorder="1"/>
    <xf numFmtId="0" fontId="9" fillId="12" borderId="1" xfId="0" applyNumberFormat="1" applyFont="1" applyFill="1" applyBorder="1"/>
    <xf numFmtId="0" fontId="9" fillId="43" borderId="1" xfId="0" applyFont="1" applyFill="1" applyBorder="1"/>
    <xf numFmtId="0" fontId="9" fillId="12" borderId="1" xfId="0" applyFont="1" applyFill="1" applyBorder="1"/>
    <xf numFmtId="0" fontId="9" fillId="45" borderId="1" xfId="0" applyFont="1" applyFill="1" applyBorder="1"/>
    <xf numFmtId="0" fontId="9" fillId="12" borderId="9" xfId="0" applyNumberFormat="1" applyFont="1" applyFill="1" applyBorder="1"/>
    <xf numFmtId="0" fontId="9" fillId="47" borderId="2" xfId="0" applyFont="1" applyFill="1" applyBorder="1"/>
    <xf numFmtId="0" fontId="9" fillId="18" borderId="14" xfId="0" applyFont="1" applyFill="1" applyBorder="1" applyAlignment="1">
      <alignment horizontal="center"/>
    </xf>
    <xf numFmtId="0" fontId="9" fillId="17" borderId="4" xfId="0" applyFont="1" applyFill="1" applyBorder="1" applyAlignment="1">
      <alignment horizontal="center"/>
    </xf>
    <xf numFmtId="0" fontId="9" fillId="21" borderId="4" xfId="0" applyFont="1" applyFill="1" applyBorder="1" applyAlignment="1">
      <alignment horizontal="center"/>
    </xf>
    <xf numFmtId="0" fontId="9" fillId="14" borderId="4" xfId="0" applyNumberFormat="1" applyFont="1" applyFill="1" applyBorder="1" applyAlignment="1">
      <alignment horizontal="center"/>
    </xf>
    <xf numFmtId="0" fontId="9" fillId="14" borderId="4" xfId="0" applyFont="1" applyFill="1" applyBorder="1" applyAlignment="1">
      <alignment horizontal="center"/>
    </xf>
    <xf numFmtId="0" fontId="9" fillId="23" borderId="4" xfId="0" applyFont="1" applyFill="1" applyBorder="1" applyAlignment="1">
      <alignment horizontal="center"/>
    </xf>
    <xf numFmtId="0" fontId="9" fillId="14" borderId="0" xfId="0" applyNumberFormat="1" applyFont="1" applyFill="1" applyBorder="1" applyAlignment="1">
      <alignment horizontal="center"/>
    </xf>
    <xf numFmtId="0" fontId="9" fillId="25" borderId="0" xfId="0" applyFont="1" applyFill="1" applyBorder="1" applyAlignment="1">
      <alignment horizontal="center"/>
    </xf>
    <xf numFmtId="0" fontId="9" fillId="27" borderId="4" xfId="0" applyFont="1" applyFill="1" applyBorder="1"/>
    <xf numFmtId="0" fontId="9" fillId="29" borderId="4" xfId="0" applyFont="1" applyFill="1" applyBorder="1"/>
    <xf numFmtId="0" fontId="9" fillId="10" borderId="4" xfId="0" applyNumberFormat="1" applyFont="1" applyFill="1" applyBorder="1"/>
    <xf numFmtId="0" fontId="9" fillId="31" borderId="4" xfId="0" applyFont="1" applyFill="1" applyBorder="1"/>
    <xf numFmtId="0" fontId="9" fillId="33" borderId="4" xfId="0" applyFont="1" applyFill="1" applyBorder="1"/>
    <xf numFmtId="0" fontId="9" fillId="35" borderId="4" xfId="0" applyFont="1" applyFill="1" applyBorder="1"/>
    <xf numFmtId="0" fontId="9" fillId="10" borderId="0" xfId="0" applyNumberFormat="1" applyFont="1" applyFill="1" applyBorder="1"/>
    <xf numFmtId="0" fontId="20" fillId="37" borderId="0" xfId="0" applyFont="1" applyFill="1" applyBorder="1"/>
    <xf numFmtId="0" fontId="9" fillId="39" borderId="4" xfId="0" applyFont="1" applyFill="1" applyBorder="1"/>
    <xf numFmtId="0" fontId="9" fillId="41" borderId="4" xfId="0" applyFont="1" applyFill="1" applyBorder="1"/>
    <xf numFmtId="0" fontId="9" fillId="12" borderId="4" xfId="0" applyNumberFormat="1" applyFont="1" applyFill="1" applyBorder="1"/>
    <xf numFmtId="0" fontId="9" fillId="43" borderId="4" xfId="0" applyFont="1" applyFill="1" applyBorder="1"/>
    <xf numFmtId="0" fontId="9" fillId="12" borderId="4" xfId="0" applyFont="1" applyFill="1" applyBorder="1"/>
    <xf numFmtId="0" fontId="9" fillId="45" borderId="4" xfId="0" applyFont="1" applyFill="1" applyBorder="1"/>
    <xf numFmtId="0" fontId="9" fillId="12" borderId="10" xfId="0" applyNumberFormat="1" applyFont="1" applyFill="1" applyBorder="1"/>
    <xf numFmtId="0" fontId="9" fillId="47" borderId="0" xfId="0" applyFont="1" applyFill="1" applyBorder="1"/>
    <xf numFmtId="0" fontId="9" fillId="2" borderId="4" xfId="0" applyNumberFormat="1" applyFont="1" applyFill="1" applyBorder="1"/>
    <xf numFmtId="0" fontId="15" fillId="69" borderId="18" xfId="0" applyFont="1" applyFill="1" applyBorder="1" applyAlignment="1">
      <alignment horizontal="center" vertical="center"/>
    </xf>
    <xf numFmtId="0" fontId="15" fillId="69" borderId="19" xfId="0" applyFont="1" applyFill="1" applyBorder="1" applyAlignment="1">
      <alignment horizontal="center" vertical="center"/>
    </xf>
    <xf numFmtId="0" fontId="15" fillId="69" borderId="20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213"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double">
          <color theme="4"/>
        </top>
        <bottom style="thin">
          <color rgb="FF95B3D7"/>
        </bottom>
      </border>
    </dxf>
    <dxf>
      <alignment horizontal="general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relativeIndent="0" justifyLastLine="0" shrinkToFit="0" readingOrder="0"/>
      <border diagonalUp="0" diagonalDown="0" outline="0">
        <left/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bottom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3" tint="-0.499984740745262"/>
        </patternFill>
      </fill>
      <alignment horizontal="center" vertical="bottom" textRotation="0" wrapText="0" relativeIndent="0" justifyLastLine="0" shrinkToFit="0" readingOrder="0"/>
      <border diagonalUp="0" diagonalDown="0" outline="0">
        <left/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theme="3" tint="-0.49998474074526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3"/>
        </patternFill>
      </fill>
      <alignment horizontal="center" vertical="bottom" textRotation="0" wrapText="0" relativeIndent="0" justifyLastLine="0" shrinkToFit="0" readingOrder="0"/>
      <border diagonalUp="0" diagonalDown="0" outline="0">
        <left/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3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3" tint="-0.249977111117893"/>
        </patternFill>
      </fill>
      <alignment horizontal="center" vertical="bottom" textRotation="0" wrapText="0" relativeIndent="0" justifyLastLine="0" shrinkToFit="0" readingOrder="0"/>
      <border diagonalUp="0" diagonalDown="0" outline="0">
        <left/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theme="3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3"/>
        </patternFill>
      </fill>
      <alignment horizontal="center" vertical="bottom" textRotation="0" wrapText="0" relativeIndent="0" justifyLastLine="0" shrinkToFit="0" readingOrder="0"/>
      <border diagonalUp="0" diagonalDown="0" outline="0">
        <left/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3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3"/>
        </patternFill>
      </fill>
      <alignment horizontal="center" vertical="bottom" textRotation="0" wrapText="0" relativeIndent="0" justifyLastLine="0" shrinkToFit="0" readingOrder="0"/>
      <border diagonalUp="0" diagonalDown="0" outline="0">
        <left/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theme="3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3"/>
        </patternFill>
      </fill>
      <alignment horizontal="center" vertical="bottom" textRotation="0" wrapText="0" relativeIndent="0" justifyLastLine="0" shrinkToFit="0" readingOrder="0"/>
      <border diagonalUp="0" diagonalDown="0" outline="0">
        <left/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3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3" tint="0.39997558519241921"/>
        </patternFill>
      </fill>
      <alignment horizontal="center" vertical="bottom" textRotation="0" wrapText="0" relativeIndent="0" justifyLastLine="0" shrinkToFit="0" readingOrder="0"/>
      <border diagonalUp="0" diagonalDown="0" outline="0">
        <left/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theme="4" tint="0.39997558519241921"/>
        </bottom>
      </border>
    </dxf>
    <dxf>
      <fill>
        <patternFill patternType="solid">
          <fgColor indexed="64"/>
          <bgColor theme="3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3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3" tint="0.59999389629810485"/>
        </patternFill>
      </fill>
      <alignment horizontal="center" vertical="bottom" textRotation="0" wrapText="0" relativeIndent="0" justifyLastLine="0" shrinkToFit="0" readingOrder="0"/>
      <border diagonalUp="0" diagonalDown="0" outline="0">
        <left/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theme="3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79998168889431442"/>
        </top>
        <bottom style="thin">
          <color theme="4" tint="0.7999816888943144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3"/>
        </patternFill>
      </fill>
      <alignment horizontal="center" vertical="bottom" textRotation="0" wrapText="0" relativeIndent="0" justifyLastLine="0" shrinkToFit="0" readingOrder="0"/>
      <border diagonalUp="0" diagonalDown="0" outline="0">
        <left/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3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theme="3" tint="0.79998168889431442"/>
        </patternFill>
      </fill>
      <alignment horizontal="center" vertical="bottom" textRotation="0" wrapText="0" relativeIndent="0" justifyLastLine="0" shrinkToFit="0" readingOrder="0"/>
      <border diagonalUp="0" diagonalDown="0" outline="0">
        <left/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rgb="FFC00000"/>
        </patternFill>
      </fill>
      <alignment horizontal="center" vertical="bottom" textRotation="0" wrapText="0" relativeIndent="0" justifyLastLine="0" shrinkToFit="0" readingOrder="0"/>
      <border diagonalUp="0" diagonalDown="0" outline="0">
        <left/>
        <right style="thin">
          <color theme="4" tint="0.3999755851924192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fill>
        <patternFill patternType="solid">
          <fgColor theme="4" tint="0.79998168889431442"/>
          <bgColor rgb="FFC00000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relativeIndent="0" justifyLastLine="0" shrinkToFit="0" readingOrder="0"/>
      <border diagonalUp="0" diagonalDown="0" outline="0">
        <left/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indent="0" justifyLastLine="0" shrinkToFit="0" readingOrder="0"/>
      <border diagonalUp="0" diagonalDown="0" outline="0">
        <left/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relativeIndent="0" justifyLastLine="0" shrinkToFit="0" readingOrder="0"/>
      <border diagonalUp="0" diagonalDown="0" outline="0">
        <left/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indent="0" justifyLastLine="0" shrinkToFit="0" readingOrder="0"/>
      <border diagonalUp="0" diagonalDown="0" outline="0">
        <left/>
        <right style="thin">
          <color theme="4" tint="0.39997558519241921"/>
        </right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relativeIndent="0" justifyLastLine="0" shrinkToFit="0" readingOrder="0"/>
      <border diagonalUp="0" diagonalDown="0" outline="0">
        <left/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indent="0" justifyLastLine="0" shrinkToFit="0" readingOrder="0"/>
      <border diagonalUp="0" diagonalDown="0" outline="0">
        <left/>
        <right style="thin">
          <color theme="4" tint="0.39997558519241921"/>
        </right>
        <top/>
        <bottom style="thin">
          <color theme="4" tint="0.39997558519241921"/>
        </bottom>
      </border>
    </dxf>
    <dxf>
      <alignment horizontal="center" vertical="bottom" indent="0" justifyLastLine="0" shrinkToFit="0" readingOrder="0"/>
    </dxf>
    <dxf>
      <border outline="0">
        <left style="thin">
          <color rgb="FF95B3D7"/>
        </left>
        <right style="thin">
          <color rgb="FF95B3D7"/>
        </right>
        <top style="thin">
          <color rgb="FF95B3D7"/>
        </top>
        <bottom style="thin">
          <color rgb="FF95B3D7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omic Sans MS"/>
        <scheme val="none"/>
      </font>
      <fill>
        <patternFill patternType="solid">
          <fgColor rgb="FFDBE5F1"/>
          <bgColor rgb="FFDBE5F1"/>
        </patternFill>
      </fill>
      <alignment horizontal="center" vertical="bottom" indent="0" justifyLastLine="0" shrinkToFit="0" readingOrder="0"/>
    </dxf>
    <dxf>
      <border outline="0">
        <bottom style="thin">
          <color rgb="FF95B3D7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omic Sans MS"/>
        <scheme val="none"/>
      </font>
      <fill>
        <patternFill patternType="solid">
          <fgColor theme="0"/>
          <bgColor theme="0"/>
        </patternFill>
      </fill>
      <alignment horizontal="center" vertical="bottom" textRotation="45" wrapText="0" indent="0" justifyLastLine="0" shrinkToFit="0" readingOrder="0"/>
    </dxf>
    <dxf>
      <alignment horizontal="center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 tint="0.39997558519241921"/>
        </right>
        <top style="double">
          <color theme="4"/>
        </top>
        <bottom style="thin">
          <color rgb="FF95B3D7"/>
        </bottom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6" tint="-0.499984740745262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theme="6" tint="-0.499984740745262"/>
        </patternFill>
      </fill>
      <border diagonalUp="0" diagonalDown="0" outline="0">
        <left/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rgb="FF92D050"/>
        </patternFill>
      </fill>
      <border diagonalUp="0" diagonalDown="0" outline="0">
        <left style="thin">
          <color theme="4" tint="0.39997558519241921"/>
        </left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6" tint="-0.249977111117893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theme="6" tint="-0.249977111117893"/>
        </patternFill>
      </fill>
      <border diagonalUp="0" diagonalDown="0" outline="0">
        <left/>
        <right style="thin">
          <color theme="4" tint="0.39997558519241921"/>
        </right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rgb="FF92D050"/>
        </patternFill>
      </fill>
      <border diagonalUp="0" diagonalDown="0" outline="0">
        <left/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6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rgb="FF92D050"/>
        </patternFill>
      </fill>
      <border diagonalUp="0" diagonalDown="0" outline="0">
        <left/>
        <right style="thin">
          <color theme="4" tint="0.39997558519241921"/>
        </right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rgb="FF92D050"/>
        </patternFill>
      </fill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6" tint="0.39997558519241921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theme="6" tint="0.39997558519241921"/>
        </patternFill>
      </fill>
      <border diagonalUp="0" diagonalDown="0" outline="0">
        <left/>
        <right style="thin">
          <color theme="4" tint="0.39997558519241921"/>
        </right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rgb="FF92D050"/>
        </patternFill>
      </fill>
      <border diagonalUp="0" diagonalDown="0" outline="0">
        <left style="thin">
          <color theme="4" tint="0.39997558519241921"/>
        </left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6" tint="0.59999389629810485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theme="6" tint="0.59999389629810485"/>
        </patternFill>
      </fill>
      <border diagonalUp="0" diagonalDown="0" outline="0">
        <left/>
        <right style="thin">
          <color theme="4" tint="0.39997558519241921"/>
        </right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rgb="FF92D050"/>
        </patternFill>
      </fill>
      <border diagonalUp="0" diagonalDown="0" outline="0">
        <left style="thin">
          <color theme="4" tint="0.39997558519241921"/>
        </left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theme="6" tint="0.79998168889431442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theme="6" tint="0.79998168889431442"/>
        </patternFill>
      </fill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rgb="FFC00000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fill>
        <patternFill patternType="solid">
          <fgColor theme="4" tint="0.79998168889431442"/>
          <bgColor rgb="FFC00000"/>
        </patternFill>
      </fill>
      <border diagonalUp="0" diagonalDown="0" outline="0">
        <left/>
        <right/>
        <top/>
        <bottom style="thin">
          <color theme="4" tint="0.39997558519241921"/>
        </bottom>
      </border>
    </dxf>
    <dxf>
      <border outline="0">
        <left style="thin">
          <color rgb="FF95B3D7"/>
        </left>
        <right style="thin">
          <color rgb="FF95B3D7"/>
        </right>
        <top style="thin">
          <color rgb="FF95B3D7"/>
        </top>
        <bottom style="thin">
          <color rgb="FF95B3D7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omic Sans MS"/>
        <scheme val="none"/>
      </font>
      <fill>
        <patternFill patternType="solid">
          <fgColor rgb="FFDBE5F1"/>
          <bgColor rgb="FFDBE5F1"/>
        </patternFill>
      </fill>
    </dxf>
    <dxf>
      <border outline="0">
        <bottom style="thin">
          <color rgb="FF95B3D7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omic Sans MS"/>
        <scheme val="none"/>
      </font>
      <fill>
        <patternFill patternType="solid">
          <fgColor theme="0"/>
          <bgColor theme="0"/>
        </patternFill>
      </fill>
      <alignment horizontal="general" vertical="bottom" textRotation="45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499984740745262"/>
        <name val="Comic Sans MS"/>
        <scheme val="none"/>
      </font>
      <fill>
        <patternFill patternType="solid">
          <fgColor theme="4" tint="0.79998168889431442"/>
          <bgColor theme="9" tint="-0.499984740745262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499984740745262"/>
        <name val="Comic Sans MS"/>
        <scheme val="none"/>
      </font>
      <fill>
        <patternFill patternType="solid">
          <fgColor theme="4" tint="0.79998168889431442"/>
          <bgColor theme="9" tint="-0.499984740745262"/>
        </patternFill>
      </fill>
      <border diagonalUp="0" diagonalDown="0" outline="0">
        <left/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rgb="FFFFFF00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rgb="FFFFFF00"/>
        </patternFill>
      </fill>
      <border diagonalUp="0" diagonalDown="0" outline="0">
        <left style="thin">
          <color theme="4" tint="0.39997558519241921"/>
        </left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theme="9" tint="-0.249977111117893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theme="9" tint="-0.249977111117893"/>
        </patternFill>
      </fill>
      <border diagonalUp="0" diagonalDown="0" outline="0">
        <left/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rgb="FFFFFF00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rgb="FFFFFF00"/>
        </patternFill>
      </fill>
      <border diagonalUp="0" diagonalDown="0" outline="0">
        <left style="thin">
          <color theme="4" tint="0.39997558519241921"/>
        </left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theme="9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theme="9"/>
        </patternFill>
      </fill>
      <border diagonalUp="0" diagonalDown="0" outline="0">
        <left/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rgb="FFFFFF00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rgb="FFFFFF00"/>
        </patternFill>
      </fill>
      <border diagonalUp="0" diagonalDown="0" outline="0">
        <left style="thin">
          <color theme="4" tint="0.39997558519241921"/>
        </left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theme="9" tint="0.39997558519241921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theme="9" tint="0.39997558519241921"/>
        </patternFill>
      </fill>
      <border diagonalUp="0" diagonalDown="0" outline="0">
        <left/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rgb="FFFFFF00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rgb="FFFFFF00"/>
        </patternFill>
      </fill>
      <border diagonalUp="0" diagonalDown="0" outline="0">
        <left style="thin">
          <color theme="4" tint="0.39997558519241921"/>
        </left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theme="9" tint="0.59999389629810485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theme="9" tint="0.59999389629810485"/>
        </patternFill>
      </fill>
      <border diagonalUp="0" diagonalDown="0" outline="0">
        <left/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rgb="FFFFFF00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rgb="FFFFFF00"/>
        </patternFill>
      </fill>
      <border diagonalUp="0" diagonalDown="0" outline="0">
        <left style="thin">
          <color theme="4" tint="0.39997558519241921"/>
        </left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theme="9" tint="0.79998168889431442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theme="9" tint="0.79998168889431442"/>
        </patternFill>
      </fill>
      <border diagonalUp="0" diagonalDown="0" outline="0">
        <left style="thin">
          <color theme="4" tint="0.39997558519241921"/>
        </left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rgb="FFC00000"/>
        </patternFill>
      </fill>
      <alignment horizontal="center" vertical="bottom" textRotation="0" wrapText="0" relativeIndent="0" justifyLastLine="0" shrinkToFit="0" readingOrder="0"/>
      <border diagonalUp="0" diagonalDown="0" outline="0">
        <left/>
        <right style="thin">
          <color theme="4" tint="0.3999755851924192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fill>
        <patternFill patternType="solid">
          <fgColor theme="4" tint="0.79998168889431442"/>
          <bgColor rgb="FFC00000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theme="4" tint="0.39997558519241921"/>
        </bottom>
      </border>
    </dxf>
    <dxf>
      <border outline="0">
        <left style="thin">
          <color rgb="FF95B3D7"/>
        </left>
        <right style="thin">
          <color rgb="FF95B3D7"/>
        </right>
        <top style="thin">
          <color rgb="FF95B3D7"/>
        </top>
        <bottom style="thin">
          <color rgb="FF95B3D7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omic Sans MS"/>
        <scheme val="none"/>
      </font>
      <fill>
        <patternFill patternType="solid">
          <fgColor rgb="FFDBE5F1"/>
          <bgColor rgb="FFDBE5F1"/>
        </patternFill>
      </fill>
    </dxf>
    <dxf>
      <border outline="0">
        <bottom style="thin">
          <color rgb="FF95B3D7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omic Sans MS"/>
        <scheme val="none"/>
      </font>
      <fill>
        <patternFill patternType="solid">
          <fgColor theme="0"/>
          <bgColor theme="0"/>
        </patternFill>
      </fill>
      <alignment horizontal="general" vertical="bottom" textRotation="45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relativeIndent="0" justifyLastLine="0" shrinkToFit="0" readingOrder="0"/>
      <border diagonalUp="0" diagonalDown="0" outline="0">
        <left/>
        <right style="thin">
          <color theme="4" tint="0.3999755851924192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3" tint="-0.499984740745262"/>
        </patternFill>
      </fill>
      <alignment horizontal="center" vertical="bottom" textRotation="0" wrapText="0" relativeIndent="0" justifyLastLine="0" shrinkToFit="0" readingOrder="0"/>
      <border diagonalUp="0" diagonalDown="0" outline="0">
        <left/>
        <right style="thin">
          <color theme="4" tint="0.3999755851924192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fill>
        <patternFill patternType="solid">
          <fgColor theme="4" tint="0.79998168889431442"/>
          <bgColor theme="3" tint="-0.49998474074526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3"/>
        </patternFill>
      </fill>
      <alignment horizontal="center" vertical="bottom" textRotation="0" wrapText="0" relativeIndent="0" justifyLastLine="0" shrinkToFit="0" readingOrder="0"/>
      <border diagonalUp="0" diagonalDown="0" outline="0">
        <left/>
        <right style="thin">
          <color theme="4" tint="0.3999755851924192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3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3" tint="-0.249977111117893"/>
        </patternFill>
      </fill>
      <alignment horizontal="center" vertical="bottom" textRotation="0" wrapText="0" relativeIndent="0" justifyLastLine="0" shrinkToFit="0" readingOrder="0"/>
      <border diagonalUp="0" diagonalDown="0" outline="0">
        <left/>
        <right style="thin">
          <color theme="4" tint="0.3999755851924192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fill>
        <patternFill patternType="solid">
          <fgColor theme="4" tint="0.79998168889431442"/>
          <bgColor theme="3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3"/>
        </patternFill>
      </fill>
      <alignment horizontal="center" vertical="bottom" textRotation="0" wrapText="0" relativeIndent="0" justifyLastLine="0" shrinkToFit="0" readingOrder="0"/>
      <border diagonalUp="0" diagonalDown="0" outline="0">
        <left/>
        <right style="thin">
          <color theme="4" tint="0.3999755851924192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3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3"/>
        </patternFill>
      </fill>
      <alignment horizontal="center" vertical="bottom" textRotation="0" wrapText="0" relativeIndent="0" justifyLastLine="0" shrinkToFit="0" readingOrder="0"/>
      <border diagonalUp="0" diagonalDown="0" outline="0">
        <left/>
        <right style="thin">
          <color theme="4" tint="0.3999755851924192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fill>
        <patternFill patternType="solid">
          <fgColor theme="4" tint="0.79998168889431442"/>
          <bgColor theme="3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3"/>
        </patternFill>
      </fill>
      <alignment horizontal="center" vertical="bottom" textRotation="0" wrapText="0" relativeIndent="0" justifyLastLine="0" shrinkToFit="0" readingOrder="0"/>
      <border diagonalUp="0" diagonalDown="0" outline="0">
        <left/>
        <right style="thin">
          <color theme="4" tint="0.3999755851924192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3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3" tint="0.39997558519241921"/>
        </patternFill>
      </fill>
      <alignment horizontal="center" vertical="bottom" textRotation="0" wrapText="0" relativeIndent="0" justifyLastLine="0" shrinkToFit="0" readingOrder="0"/>
      <border diagonalUp="0" diagonalDown="0" outline="0">
        <left/>
        <right style="thin">
          <color theme="4" tint="0.3999755851924192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fill>
        <patternFill patternType="solid">
          <fgColor theme="4" tint="0.79998168889431442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theme="4" tint="0.39997558519241921"/>
        </bottom>
      </border>
    </dxf>
    <dxf>
      <fill>
        <patternFill patternType="solid">
          <fgColor indexed="64"/>
          <bgColor theme="3"/>
        </patternFill>
      </fill>
      <alignment horizontal="center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3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3" tint="0.59999389629810485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79998168889431442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fill>
        <patternFill patternType="solid">
          <fgColor theme="4" tint="0.79998168889431442"/>
          <bgColor theme="3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79998168889431442"/>
        </top>
        <bottom style="thin">
          <color theme="4" tint="0.7999816888943144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3"/>
        </patternFill>
      </fill>
      <alignment horizontal="center" vertical="bottom" textRotation="0" wrapText="0" relativeIndent="0" justifyLastLine="0" shrinkToFit="0" readingOrder="0"/>
      <border diagonalUp="0" diagonalDown="0" outline="0">
        <left/>
        <right style="thin">
          <color theme="4" tint="0.3999755851924192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3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theme="3" tint="0.79998168889431442"/>
        </patternFill>
      </fill>
      <alignment horizontal="center" vertical="bottom" textRotation="0" wrapText="0" relativeIndent="0" justifyLastLine="0" shrinkToFit="0" readingOrder="0"/>
      <border diagonalUp="0" diagonalDown="0" outline="0">
        <left/>
        <right style="thin">
          <color theme="4" tint="0.3999755851924192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fill>
        <patternFill patternType="solid">
          <fgColor theme="4" tint="0.79998168889431442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rgb="FFC00000"/>
        </patternFill>
      </fill>
      <alignment horizontal="center" vertical="bottom" textRotation="0" wrapText="0" relativeIndent="0" justifyLastLine="0" shrinkToFit="0" readingOrder="0"/>
      <border diagonalUp="0" diagonalDown="0" outline="0">
        <left/>
        <right style="thin">
          <color theme="4" tint="0.3999755851924192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fill>
        <patternFill patternType="solid">
          <fgColor theme="4" tint="0.79998168889431442"/>
          <bgColor rgb="FFC00000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relativeIndent="0" justifyLastLine="0" shrinkToFit="0" readingOrder="0"/>
      <border diagonalUp="0" diagonalDown="0" outline="0">
        <left/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indent="0" justifyLastLine="0" shrinkToFit="0" readingOrder="0"/>
      <border diagonalUp="0" diagonalDown="0" outline="0">
        <left/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relativeIndent="0" justifyLastLine="0" shrinkToFit="0" readingOrder="0"/>
      <border diagonalUp="0" diagonalDown="0" outline="0">
        <left/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indent="0" justifyLastLine="0" shrinkToFit="0" readingOrder="0"/>
      <border diagonalUp="0" diagonalDown="0" outline="0">
        <left/>
        <right style="thin">
          <color theme="4" tint="0.39997558519241921"/>
        </right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relativeIndent="0" justifyLastLine="0" shrinkToFit="0" readingOrder="0"/>
      <border diagonalUp="0" diagonalDown="0" outline="0">
        <left/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indent="0" justifyLastLine="0" shrinkToFit="0" readingOrder="0"/>
      <border diagonalUp="0" diagonalDown="0" outline="0">
        <left/>
        <right style="thin">
          <color theme="4" tint="0.39997558519241921"/>
        </right>
        <top/>
        <bottom style="thin">
          <color theme="4" tint="0.39997558519241921"/>
        </bottom>
      </border>
    </dxf>
    <dxf>
      <alignment horizontal="center" vertical="bottom" indent="0" justifyLastLine="0" shrinkToFit="0" readingOrder="0"/>
    </dxf>
    <dxf>
      <border outline="0">
        <left style="thin">
          <color rgb="FF95B3D7"/>
        </left>
        <right style="thin">
          <color rgb="FF95B3D7"/>
        </right>
        <top style="thin">
          <color rgb="FF95B3D7"/>
        </top>
        <bottom style="thin">
          <color rgb="FF95B3D7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omic Sans MS"/>
        <scheme val="none"/>
      </font>
      <fill>
        <patternFill patternType="solid">
          <fgColor rgb="FFDBE5F1"/>
          <bgColor rgb="FFDBE5F1"/>
        </patternFill>
      </fill>
      <alignment horizontal="center" vertical="bottom" indent="0" justifyLastLine="0" shrinkToFit="0" readingOrder="0"/>
    </dxf>
    <dxf>
      <border outline="0">
        <bottom style="thin">
          <color rgb="FF95B3D7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omic Sans MS"/>
        <scheme val="none"/>
      </font>
      <fill>
        <patternFill patternType="solid">
          <fgColor theme="0"/>
          <bgColor theme="0"/>
        </patternFill>
      </fill>
      <alignment horizontal="center" vertical="bottom" textRotation="45" wrapText="0" indent="0" justifyLastLine="0" shrinkToFit="0" readingOrder="0"/>
    </dxf>
    <dxf>
      <alignment horizontal="center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 tint="0.39997558519241921"/>
        </right>
        <top style="double">
          <color theme="4"/>
        </top>
        <bottom style="thin">
          <color rgb="FF95B3D7"/>
        </bottom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6" tint="-0.499984740745262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fill>
        <patternFill patternType="solid">
          <fgColor theme="4" tint="0.79998168889431442"/>
          <bgColor theme="6" tint="-0.499984740745262"/>
        </patternFill>
      </fill>
      <border diagonalUp="0" diagonalDown="0" outline="0">
        <left/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rgb="FF92D050"/>
        </patternFill>
      </fill>
      <border diagonalUp="0" diagonalDown="0" outline="0">
        <left/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6" tint="-0.249977111117893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fill>
        <patternFill patternType="solid">
          <fgColor theme="4" tint="0.79998168889431442"/>
          <bgColor theme="6" tint="-0.249977111117893"/>
        </patternFill>
      </fill>
      <border diagonalUp="0" diagonalDown="0" outline="0">
        <left/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rgb="FF92D050"/>
        </patternFill>
      </fill>
      <border diagonalUp="0" diagonalDown="0" outline="0">
        <left/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6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fill>
        <patternFill patternType="solid">
          <fgColor theme="4" tint="0.79998168889431442"/>
          <bgColor rgb="FF92D050"/>
        </patternFill>
      </fill>
      <border diagonalUp="0" diagonalDown="0" outline="0">
        <left/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rgb="FF92D050"/>
        </patternFill>
      </fill>
      <border diagonalUp="0" diagonalDown="0" outline="0">
        <left/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6" tint="0.39997558519241921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fill>
        <patternFill patternType="solid">
          <fgColor theme="4" tint="0.79998168889431442"/>
          <bgColor theme="6" tint="0.39997558519241921"/>
        </patternFill>
      </fill>
      <border diagonalUp="0" diagonalDown="0" outline="0">
        <left/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rgb="FF92D050"/>
        </patternFill>
      </fill>
      <border diagonalUp="0" diagonalDown="0" outline="0">
        <left/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6" tint="0.59999389629810485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fill>
        <patternFill patternType="solid">
          <fgColor theme="4" tint="0.79998168889431442"/>
          <bgColor theme="6" tint="0.59999389629810485"/>
        </patternFill>
      </fill>
      <border diagonalUp="0" diagonalDown="0" outline="0">
        <left/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rgb="FF92D050"/>
        </patternFill>
      </fill>
      <border diagonalUp="0" diagonalDown="0" outline="0">
        <left/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theme="6" tint="0.79998168889431442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fill>
        <patternFill patternType="solid">
          <fgColor theme="4" tint="0.79998168889431442"/>
          <bgColor theme="6" tint="0.79998168889431442"/>
        </patternFill>
      </fill>
      <border diagonalUp="0" diagonalDown="0" outline="0">
        <left/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4" tint="0.79998168889431442"/>
          <bgColor rgb="FFC00000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fill>
        <patternFill patternType="solid">
          <fgColor theme="4" tint="0.79998168889431442"/>
          <bgColor rgb="FFC00000"/>
        </patternFill>
      </fill>
      <border diagonalUp="0" diagonalDown="0" outline="0">
        <left/>
        <right/>
        <top/>
        <bottom style="thin">
          <color theme="4" tint="0.39997558519241921"/>
        </bottom>
      </border>
    </dxf>
    <dxf>
      <border outline="0">
        <left style="thin">
          <color rgb="FF95B3D7"/>
        </left>
        <right style="thin">
          <color rgb="FF95B3D7"/>
        </right>
        <top style="thin">
          <color rgb="FF95B3D7"/>
        </top>
        <bottom style="thin">
          <color rgb="FF95B3D7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omic Sans MS"/>
        <scheme val="none"/>
      </font>
      <fill>
        <patternFill patternType="solid">
          <fgColor rgb="FFDBE5F1"/>
          <bgColor rgb="FFDBE5F1"/>
        </patternFill>
      </fill>
    </dxf>
    <dxf>
      <border outline="0">
        <bottom style="thin">
          <color rgb="FF95B3D7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omic Sans MS"/>
        <scheme val="none"/>
      </font>
      <fill>
        <patternFill patternType="solid">
          <fgColor theme="0"/>
          <bgColor theme="0"/>
        </patternFill>
      </fill>
      <alignment horizontal="general" vertical="bottom" textRotation="45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9" tint="-0.499984740745262"/>
        <name val="Comic Sans MS"/>
        <scheme val="none"/>
      </font>
      <fill>
        <patternFill patternType="solid">
          <fgColor theme="4" tint="0.79998168889431442"/>
          <bgColor theme="9" tint="-0.499984740745262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9" tint="-0.499984740745262"/>
        <name val="Comic Sans MS"/>
        <scheme val="none"/>
      </font>
      <fill>
        <patternFill patternType="solid">
          <fgColor theme="4" tint="0.79998168889431442"/>
          <bgColor theme="9" tint="-0.499984740745262"/>
        </patternFill>
      </fill>
      <border diagonalUp="0" diagonalDown="0" outline="0">
        <left/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fill>
        <patternFill patternType="solid">
          <fgColor theme="4" tint="0.79998168889431442"/>
          <bgColor rgb="FFFFFF00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rgb="FFFFFF00"/>
        </patternFill>
      </fill>
      <border diagonalUp="0" diagonalDown="0" outline="0">
        <left style="thin">
          <color theme="4" tint="0.39997558519241921"/>
        </left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fill>
        <patternFill patternType="solid">
          <fgColor theme="4" tint="0.79998168889431442"/>
          <bgColor theme="9" tint="-0.249977111117893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fill>
        <patternFill patternType="solid">
          <fgColor theme="4" tint="0.79998168889431442"/>
          <bgColor theme="9" tint="-0.249977111117893"/>
        </patternFill>
      </fill>
      <border diagonalUp="0" diagonalDown="0" outline="0">
        <left/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fill>
        <patternFill patternType="solid">
          <fgColor theme="4" tint="0.79998168889431442"/>
          <bgColor rgb="FFFFFF00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rgb="FFFFFF00"/>
        </patternFill>
      </fill>
      <border diagonalUp="0" diagonalDown="0" outline="0">
        <left style="thin">
          <color theme="4" tint="0.39997558519241921"/>
        </left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fill>
        <patternFill patternType="solid">
          <fgColor theme="4" tint="0.79998168889431442"/>
          <bgColor theme="9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fill>
        <patternFill patternType="solid">
          <fgColor theme="4" tint="0.79998168889431442"/>
          <bgColor theme="9"/>
        </patternFill>
      </fill>
      <border diagonalUp="0" diagonalDown="0" outline="0">
        <left/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fill>
        <patternFill patternType="solid">
          <fgColor theme="4" tint="0.79998168889431442"/>
          <bgColor rgb="FFFFFF00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rgb="FFFFFF00"/>
        </patternFill>
      </fill>
      <border diagonalUp="0" diagonalDown="0" outline="0">
        <left style="thin">
          <color theme="4" tint="0.39997558519241921"/>
        </left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fill>
        <patternFill patternType="solid">
          <fgColor theme="4" tint="0.79998168889431442"/>
          <bgColor theme="9" tint="0.39997558519241921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fill>
        <patternFill patternType="solid">
          <fgColor theme="4" tint="0.79998168889431442"/>
          <bgColor theme="9" tint="0.39997558519241921"/>
        </patternFill>
      </fill>
      <border diagonalUp="0" diagonalDown="0" outline="0">
        <left/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fill>
        <patternFill patternType="solid">
          <fgColor theme="4" tint="0.79998168889431442"/>
          <bgColor rgb="FFFFFF00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rgb="FFFFFF00"/>
        </patternFill>
      </fill>
      <border diagonalUp="0" diagonalDown="0" outline="0">
        <left style="thin">
          <color theme="4" tint="0.39997558519241921"/>
        </left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fill>
        <patternFill patternType="solid">
          <fgColor theme="4" tint="0.79998168889431442"/>
          <bgColor theme="9" tint="0.59999389629810485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fill>
        <patternFill patternType="solid">
          <fgColor theme="4" tint="0.79998168889431442"/>
          <bgColor theme="9" tint="0.59999389629810485"/>
        </patternFill>
      </fill>
      <border diagonalUp="0" diagonalDown="0" outline="0">
        <left/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fill>
        <patternFill patternType="solid">
          <fgColor theme="4" tint="0.79998168889431442"/>
          <bgColor rgb="FFFFFF00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rgb="FFFFFF00"/>
        </patternFill>
      </fill>
      <border diagonalUp="0" diagonalDown="0" outline="0">
        <left style="thin">
          <color theme="4" tint="0.39997558519241921"/>
        </left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fill>
        <patternFill patternType="solid">
          <fgColor theme="4" tint="0.79998168889431442"/>
          <bgColor theme="9" tint="0.79998168889431442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fill>
        <patternFill patternType="solid">
          <fgColor theme="4" tint="0.79998168889431442"/>
          <bgColor theme="9" tint="0.79998168889431442"/>
        </patternFill>
      </fill>
      <border diagonalUp="0" diagonalDown="0" outline="0">
        <left style="thin">
          <color theme="4" tint="0.39997558519241921"/>
        </left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fill>
        <patternFill patternType="solid">
          <fgColor theme="4" tint="0.79998168889431442"/>
          <bgColor rgb="FFC00000"/>
        </patternFill>
      </fill>
      <alignment horizontal="center" vertical="bottom" textRotation="0" wrapText="0" relativeIndent="0" justifyLastLine="0" shrinkToFit="0" readingOrder="0"/>
      <border diagonalUp="0" diagonalDown="0" outline="0">
        <left/>
        <right style="thin">
          <color theme="4" tint="0.3999755851924192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scheme val="none"/>
      </font>
      <fill>
        <patternFill patternType="solid">
          <fgColor theme="4" tint="0.79998168889431442"/>
          <bgColor rgb="FFC00000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theme="4" tint="0.39997558519241921"/>
        </bottom>
      </border>
    </dxf>
    <dxf>
      <border outline="0">
        <left style="thin">
          <color rgb="FF95B3D7"/>
        </left>
        <right style="thin">
          <color rgb="FF95B3D7"/>
        </right>
        <top style="thin">
          <color rgb="FF95B3D7"/>
        </top>
        <bottom style="thin">
          <color rgb="FF95B3D7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omic Sans MS"/>
        <scheme val="none"/>
      </font>
      <fill>
        <patternFill patternType="solid">
          <fgColor rgb="FFDBE5F1"/>
          <bgColor rgb="FFDBE5F1"/>
        </patternFill>
      </fill>
    </dxf>
    <dxf>
      <border outline="0">
        <bottom style="thin">
          <color rgb="FF95B3D7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omic Sans MS"/>
        <scheme val="none"/>
      </font>
      <fill>
        <patternFill patternType="solid">
          <fgColor theme="0"/>
          <bgColor theme="0"/>
        </patternFill>
      </fill>
      <alignment horizontal="general" vertical="bottom" textRotation="45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double">
          <color theme="4"/>
        </top>
        <bottom style="thin">
          <color rgb="FF95B3D7"/>
        </bottom>
      </border>
    </dxf>
    <dxf>
      <alignment horizontal="general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'09 fevr '!$G$2</c:f>
              <c:strCache>
                <c:ptCount val="1"/>
                <c:pt idx="0">
                  <c:v>Dévers en moulinette en travail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</c:spPr>
          <c:invertIfNegative val="0"/>
          <c:cat>
            <c:strRef>
              <c:f>'09 fevr '!$D$3:$D$28</c:f>
              <c:strCache>
                <c:ptCount val="26"/>
                <c:pt idx="0">
                  <c:v>9A</c:v>
                </c:pt>
                <c:pt idx="1">
                  <c:v>8C+</c:v>
                </c:pt>
                <c:pt idx="2">
                  <c:v>8C</c:v>
                </c:pt>
                <c:pt idx="3">
                  <c:v>8B+</c:v>
                </c:pt>
                <c:pt idx="4">
                  <c:v>8B</c:v>
                </c:pt>
                <c:pt idx="5">
                  <c:v>8A+</c:v>
                </c:pt>
                <c:pt idx="6">
                  <c:v>8A</c:v>
                </c:pt>
                <c:pt idx="7">
                  <c:v>7C+</c:v>
                </c:pt>
                <c:pt idx="8">
                  <c:v>7C</c:v>
                </c:pt>
                <c:pt idx="9">
                  <c:v>7B+</c:v>
                </c:pt>
                <c:pt idx="10">
                  <c:v>7B</c:v>
                </c:pt>
                <c:pt idx="11">
                  <c:v>7A+</c:v>
                </c:pt>
                <c:pt idx="12">
                  <c:v>7A</c:v>
                </c:pt>
                <c:pt idx="13">
                  <c:v>6C+</c:v>
                </c:pt>
                <c:pt idx="14">
                  <c:v>6C</c:v>
                </c:pt>
                <c:pt idx="15">
                  <c:v>6B+</c:v>
                </c:pt>
                <c:pt idx="16">
                  <c:v>6B</c:v>
                </c:pt>
                <c:pt idx="17">
                  <c:v>6A+</c:v>
                </c:pt>
                <c:pt idx="18">
                  <c:v>6A</c:v>
                </c:pt>
                <c:pt idx="19">
                  <c:v>5C+</c:v>
                </c:pt>
                <c:pt idx="20">
                  <c:v>5C</c:v>
                </c:pt>
                <c:pt idx="21">
                  <c:v>5B+</c:v>
                </c:pt>
                <c:pt idx="22">
                  <c:v>5B</c:v>
                </c:pt>
                <c:pt idx="23">
                  <c:v>5A+</c:v>
                </c:pt>
                <c:pt idx="24">
                  <c:v>5A</c:v>
                </c:pt>
                <c:pt idx="25">
                  <c:v>4</c:v>
                </c:pt>
              </c:strCache>
            </c:strRef>
          </c:cat>
          <c:val>
            <c:numRef>
              <c:f>'09 fevr '!$G$3:$G$28</c:f>
              <c:numCache>
                <c:formatCode>General</c:formatCode>
                <c:ptCount val="26"/>
              </c:numCache>
            </c:numRef>
          </c:val>
        </c:ser>
        <c:ser>
          <c:idx val="1"/>
          <c:order val="1"/>
          <c:tx>
            <c:strRef>
              <c:f>'09 fevr '!$I$2</c:f>
              <c:strCache>
                <c:ptCount val="1"/>
                <c:pt idx="0">
                  <c:v>Dévers en moulinette après travail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cat>
            <c:strRef>
              <c:f>'09 fevr '!$D$3:$D$28</c:f>
              <c:strCache>
                <c:ptCount val="26"/>
                <c:pt idx="0">
                  <c:v>9A</c:v>
                </c:pt>
                <c:pt idx="1">
                  <c:v>8C+</c:v>
                </c:pt>
                <c:pt idx="2">
                  <c:v>8C</c:v>
                </c:pt>
                <c:pt idx="3">
                  <c:v>8B+</c:v>
                </c:pt>
                <c:pt idx="4">
                  <c:v>8B</c:v>
                </c:pt>
                <c:pt idx="5">
                  <c:v>8A+</c:v>
                </c:pt>
                <c:pt idx="6">
                  <c:v>8A</c:v>
                </c:pt>
                <c:pt idx="7">
                  <c:v>7C+</c:v>
                </c:pt>
                <c:pt idx="8">
                  <c:v>7C</c:v>
                </c:pt>
                <c:pt idx="9">
                  <c:v>7B+</c:v>
                </c:pt>
                <c:pt idx="10">
                  <c:v>7B</c:v>
                </c:pt>
                <c:pt idx="11">
                  <c:v>7A+</c:v>
                </c:pt>
                <c:pt idx="12">
                  <c:v>7A</c:v>
                </c:pt>
                <c:pt idx="13">
                  <c:v>6C+</c:v>
                </c:pt>
                <c:pt idx="14">
                  <c:v>6C</c:v>
                </c:pt>
                <c:pt idx="15">
                  <c:v>6B+</c:v>
                </c:pt>
                <c:pt idx="16">
                  <c:v>6B</c:v>
                </c:pt>
                <c:pt idx="17">
                  <c:v>6A+</c:v>
                </c:pt>
                <c:pt idx="18">
                  <c:v>6A</c:v>
                </c:pt>
                <c:pt idx="19">
                  <c:v>5C+</c:v>
                </c:pt>
                <c:pt idx="20">
                  <c:v>5C</c:v>
                </c:pt>
                <c:pt idx="21">
                  <c:v>5B+</c:v>
                </c:pt>
                <c:pt idx="22">
                  <c:v>5B</c:v>
                </c:pt>
                <c:pt idx="23">
                  <c:v>5A+</c:v>
                </c:pt>
                <c:pt idx="24">
                  <c:v>5A</c:v>
                </c:pt>
                <c:pt idx="25">
                  <c:v>4</c:v>
                </c:pt>
              </c:strCache>
            </c:strRef>
          </c:cat>
          <c:val>
            <c:numRef>
              <c:f>'09 fevr '!$I$3:$I$28</c:f>
              <c:numCache>
                <c:formatCode>General</c:formatCode>
                <c:ptCount val="26"/>
              </c:numCache>
            </c:numRef>
          </c:val>
        </c:ser>
        <c:ser>
          <c:idx val="2"/>
          <c:order val="2"/>
          <c:tx>
            <c:strRef>
              <c:f>'09 fevr '!$E$2</c:f>
              <c:strCache>
                <c:ptCount val="1"/>
                <c:pt idx="0">
                  <c:v>Dévers en moulinette à vue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</c:spPr>
          <c:invertIfNegative val="0"/>
          <c:cat>
            <c:strRef>
              <c:f>'09 fevr '!$D$3:$D$28</c:f>
              <c:strCache>
                <c:ptCount val="26"/>
                <c:pt idx="0">
                  <c:v>9A</c:v>
                </c:pt>
                <c:pt idx="1">
                  <c:v>8C+</c:v>
                </c:pt>
                <c:pt idx="2">
                  <c:v>8C</c:v>
                </c:pt>
                <c:pt idx="3">
                  <c:v>8B+</c:v>
                </c:pt>
                <c:pt idx="4">
                  <c:v>8B</c:v>
                </c:pt>
                <c:pt idx="5">
                  <c:v>8A+</c:v>
                </c:pt>
                <c:pt idx="6">
                  <c:v>8A</c:v>
                </c:pt>
                <c:pt idx="7">
                  <c:v>7C+</c:v>
                </c:pt>
                <c:pt idx="8">
                  <c:v>7C</c:v>
                </c:pt>
                <c:pt idx="9">
                  <c:v>7B+</c:v>
                </c:pt>
                <c:pt idx="10">
                  <c:v>7B</c:v>
                </c:pt>
                <c:pt idx="11">
                  <c:v>7A+</c:v>
                </c:pt>
                <c:pt idx="12">
                  <c:v>7A</c:v>
                </c:pt>
                <c:pt idx="13">
                  <c:v>6C+</c:v>
                </c:pt>
                <c:pt idx="14">
                  <c:v>6C</c:v>
                </c:pt>
                <c:pt idx="15">
                  <c:v>6B+</c:v>
                </c:pt>
                <c:pt idx="16">
                  <c:v>6B</c:v>
                </c:pt>
                <c:pt idx="17">
                  <c:v>6A+</c:v>
                </c:pt>
                <c:pt idx="18">
                  <c:v>6A</c:v>
                </c:pt>
                <c:pt idx="19">
                  <c:v>5C+</c:v>
                </c:pt>
                <c:pt idx="20">
                  <c:v>5C</c:v>
                </c:pt>
                <c:pt idx="21">
                  <c:v>5B+</c:v>
                </c:pt>
                <c:pt idx="22">
                  <c:v>5B</c:v>
                </c:pt>
                <c:pt idx="23">
                  <c:v>5A+</c:v>
                </c:pt>
                <c:pt idx="24">
                  <c:v>5A</c:v>
                </c:pt>
                <c:pt idx="25">
                  <c:v>4</c:v>
                </c:pt>
              </c:strCache>
            </c:strRef>
          </c:cat>
          <c:val>
            <c:numRef>
              <c:f>'09 fevr '!$E$3:$E$28</c:f>
              <c:numCache>
                <c:formatCode>General</c:formatCode>
                <c:ptCount val="26"/>
              </c:numCache>
            </c:numRef>
          </c:val>
        </c:ser>
        <c:ser>
          <c:idx val="3"/>
          <c:order val="3"/>
          <c:tx>
            <c:strRef>
              <c:f>'09 fevr '!$K$2</c:f>
              <c:strCache>
                <c:ptCount val="1"/>
                <c:pt idx="0">
                  <c:v>Dévers en tête à vue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cat>
            <c:strRef>
              <c:f>'09 fevr '!$D$3:$D$28</c:f>
              <c:strCache>
                <c:ptCount val="26"/>
                <c:pt idx="0">
                  <c:v>9A</c:v>
                </c:pt>
                <c:pt idx="1">
                  <c:v>8C+</c:v>
                </c:pt>
                <c:pt idx="2">
                  <c:v>8C</c:v>
                </c:pt>
                <c:pt idx="3">
                  <c:v>8B+</c:v>
                </c:pt>
                <c:pt idx="4">
                  <c:v>8B</c:v>
                </c:pt>
                <c:pt idx="5">
                  <c:v>8A+</c:v>
                </c:pt>
                <c:pt idx="6">
                  <c:v>8A</c:v>
                </c:pt>
                <c:pt idx="7">
                  <c:v>7C+</c:v>
                </c:pt>
                <c:pt idx="8">
                  <c:v>7C</c:v>
                </c:pt>
                <c:pt idx="9">
                  <c:v>7B+</c:v>
                </c:pt>
                <c:pt idx="10">
                  <c:v>7B</c:v>
                </c:pt>
                <c:pt idx="11">
                  <c:v>7A+</c:v>
                </c:pt>
                <c:pt idx="12">
                  <c:v>7A</c:v>
                </c:pt>
                <c:pt idx="13">
                  <c:v>6C+</c:v>
                </c:pt>
                <c:pt idx="14">
                  <c:v>6C</c:v>
                </c:pt>
                <c:pt idx="15">
                  <c:v>6B+</c:v>
                </c:pt>
                <c:pt idx="16">
                  <c:v>6B</c:v>
                </c:pt>
                <c:pt idx="17">
                  <c:v>6A+</c:v>
                </c:pt>
                <c:pt idx="18">
                  <c:v>6A</c:v>
                </c:pt>
                <c:pt idx="19">
                  <c:v>5C+</c:v>
                </c:pt>
                <c:pt idx="20">
                  <c:v>5C</c:v>
                </c:pt>
                <c:pt idx="21">
                  <c:v>5B+</c:v>
                </c:pt>
                <c:pt idx="22">
                  <c:v>5B</c:v>
                </c:pt>
                <c:pt idx="23">
                  <c:v>5A+</c:v>
                </c:pt>
                <c:pt idx="24">
                  <c:v>5A</c:v>
                </c:pt>
                <c:pt idx="25">
                  <c:v>4</c:v>
                </c:pt>
              </c:strCache>
            </c:strRef>
          </c:cat>
          <c:val>
            <c:numRef>
              <c:f>'09 fevr '!$K$3:$K$28</c:f>
              <c:numCache>
                <c:formatCode>General</c:formatCode>
                <c:ptCount val="26"/>
                <c:pt idx="19">
                  <c:v>3</c:v>
                </c:pt>
              </c:numCache>
            </c:numRef>
          </c:val>
        </c:ser>
        <c:ser>
          <c:idx val="4"/>
          <c:order val="4"/>
          <c:tx>
            <c:strRef>
              <c:f>'09 fevr '!$M$2</c:f>
              <c:strCache>
                <c:ptCount val="1"/>
                <c:pt idx="0">
                  <c:v>Dévers en tête en travail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</c:spPr>
          <c:invertIfNegative val="0"/>
          <c:cat>
            <c:strRef>
              <c:f>'09 fevr '!$D$3:$D$28</c:f>
              <c:strCache>
                <c:ptCount val="26"/>
                <c:pt idx="0">
                  <c:v>9A</c:v>
                </c:pt>
                <c:pt idx="1">
                  <c:v>8C+</c:v>
                </c:pt>
                <c:pt idx="2">
                  <c:v>8C</c:v>
                </c:pt>
                <c:pt idx="3">
                  <c:v>8B+</c:v>
                </c:pt>
                <c:pt idx="4">
                  <c:v>8B</c:v>
                </c:pt>
                <c:pt idx="5">
                  <c:v>8A+</c:v>
                </c:pt>
                <c:pt idx="6">
                  <c:v>8A</c:v>
                </c:pt>
                <c:pt idx="7">
                  <c:v>7C+</c:v>
                </c:pt>
                <c:pt idx="8">
                  <c:v>7C</c:v>
                </c:pt>
                <c:pt idx="9">
                  <c:v>7B+</c:v>
                </c:pt>
                <c:pt idx="10">
                  <c:v>7B</c:v>
                </c:pt>
                <c:pt idx="11">
                  <c:v>7A+</c:v>
                </c:pt>
                <c:pt idx="12">
                  <c:v>7A</c:v>
                </c:pt>
                <c:pt idx="13">
                  <c:v>6C+</c:v>
                </c:pt>
                <c:pt idx="14">
                  <c:v>6C</c:v>
                </c:pt>
                <c:pt idx="15">
                  <c:v>6B+</c:v>
                </c:pt>
                <c:pt idx="16">
                  <c:v>6B</c:v>
                </c:pt>
                <c:pt idx="17">
                  <c:v>6A+</c:v>
                </c:pt>
                <c:pt idx="18">
                  <c:v>6A</c:v>
                </c:pt>
                <c:pt idx="19">
                  <c:v>5C+</c:v>
                </c:pt>
                <c:pt idx="20">
                  <c:v>5C</c:v>
                </c:pt>
                <c:pt idx="21">
                  <c:v>5B+</c:v>
                </c:pt>
                <c:pt idx="22">
                  <c:v>5B</c:v>
                </c:pt>
                <c:pt idx="23">
                  <c:v>5A+</c:v>
                </c:pt>
                <c:pt idx="24">
                  <c:v>5A</c:v>
                </c:pt>
                <c:pt idx="25">
                  <c:v>4</c:v>
                </c:pt>
              </c:strCache>
            </c:strRef>
          </c:cat>
          <c:val>
            <c:numRef>
              <c:f>'09 fevr '!$M$3:$M$28</c:f>
              <c:numCache>
                <c:formatCode>General</c:formatCode>
                <c:ptCount val="26"/>
                <c:pt idx="8">
                  <c:v>1</c:v>
                </c:pt>
                <c:pt idx="9">
                  <c:v>1</c:v>
                </c:pt>
              </c:numCache>
            </c:numRef>
          </c:val>
        </c:ser>
        <c:ser>
          <c:idx val="5"/>
          <c:order val="5"/>
          <c:tx>
            <c:strRef>
              <c:f>'09 fevr '!$O$2</c:f>
              <c:strCache>
                <c:ptCount val="1"/>
                <c:pt idx="0">
                  <c:v>Dévers en tête après travail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</c:spPr>
          <c:invertIfNegative val="0"/>
          <c:cat>
            <c:strRef>
              <c:f>'09 fevr '!$D$3:$D$28</c:f>
              <c:strCache>
                <c:ptCount val="26"/>
                <c:pt idx="0">
                  <c:v>9A</c:v>
                </c:pt>
                <c:pt idx="1">
                  <c:v>8C+</c:v>
                </c:pt>
                <c:pt idx="2">
                  <c:v>8C</c:v>
                </c:pt>
                <c:pt idx="3">
                  <c:v>8B+</c:v>
                </c:pt>
                <c:pt idx="4">
                  <c:v>8B</c:v>
                </c:pt>
                <c:pt idx="5">
                  <c:v>8A+</c:v>
                </c:pt>
                <c:pt idx="6">
                  <c:v>8A</c:v>
                </c:pt>
                <c:pt idx="7">
                  <c:v>7C+</c:v>
                </c:pt>
                <c:pt idx="8">
                  <c:v>7C</c:v>
                </c:pt>
                <c:pt idx="9">
                  <c:v>7B+</c:v>
                </c:pt>
                <c:pt idx="10">
                  <c:v>7B</c:v>
                </c:pt>
                <c:pt idx="11">
                  <c:v>7A+</c:v>
                </c:pt>
                <c:pt idx="12">
                  <c:v>7A</c:v>
                </c:pt>
                <c:pt idx="13">
                  <c:v>6C+</c:v>
                </c:pt>
                <c:pt idx="14">
                  <c:v>6C</c:v>
                </c:pt>
                <c:pt idx="15">
                  <c:v>6B+</c:v>
                </c:pt>
                <c:pt idx="16">
                  <c:v>6B</c:v>
                </c:pt>
                <c:pt idx="17">
                  <c:v>6A+</c:v>
                </c:pt>
                <c:pt idx="18">
                  <c:v>6A</c:v>
                </c:pt>
                <c:pt idx="19">
                  <c:v>5C+</c:v>
                </c:pt>
                <c:pt idx="20">
                  <c:v>5C</c:v>
                </c:pt>
                <c:pt idx="21">
                  <c:v>5B+</c:v>
                </c:pt>
                <c:pt idx="22">
                  <c:v>5B</c:v>
                </c:pt>
                <c:pt idx="23">
                  <c:v>5A+</c:v>
                </c:pt>
                <c:pt idx="24">
                  <c:v>5A</c:v>
                </c:pt>
                <c:pt idx="25">
                  <c:v>4</c:v>
                </c:pt>
              </c:strCache>
            </c:strRef>
          </c:cat>
          <c:val>
            <c:numRef>
              <c:f>'09 fevr '!$O$3:$O$28</c:f>
              <c:numCache>
                <c:formatCode>General</c:formatCode>
                <c:ptCount val="26"/>
                <c:pt idx="9">
                  <c:v>1</c:v>
                </c:pt>
                <c:pt idx="12">
                  <c:v>1</c:v>
                </c:pt>
              </c:numCache>
            </c:numRef>
          </c:val>
        </c:ser>
        <c:ser>
          <c:idx val="6"/>
          <c:order val="6"/>
          <c:tx>
            <c:strRef>
              <c:f>'09 fevr '!$S$2</c:f>
              <c:strCache>
                <c:ptCount val="1"/>
                <c:pt idx="0">
                  <c:v>Dalle en moulinettte à vue</c:v>
                </c:pt>
              </c:strCache>
            </c:strRef>
          </c:tx>
          <c:spPr>
            <a:solidFill>
              <a:schemeClr val="accent6">
                <a:lumMod val="20000"/>
                <a:lumOff val="80000"/>
              </a:schemeClr>
            </a:solidFill>
          </c:spPr>
          <c:invertIfNegative val="0"/>
          <c:cat>
            <c:strRef>
              <c:f>'09 fevr '!$D$3:$D$28</c:f>
              <c:strCache>
                <c:ptCount val="26"/>
                <c:pt idx="0">
                  <c:v>9A</c:v>
                </c:pt>
                <c:pt idx="1">
                  <c:v>8C+</c:v>
                </c:pt>
                <c:pt idx="2">
                  <c:v>8C</c:v>
                </c:pt>
                <c:pt idx="3">
                  <c:v>8B+</c:v>
                </c:pt>
                <c:pt idx="4">
                  <c:v>8B</c:v>
                </c:pt>
                <c:pt idx="5">
                  <c:v>8A+</c:v>
                </c:pt>
                <c:pt idx="6">
                  <c:v>8A</c:v>
                </c:pt>
                <c:pt idx="7">
                  <c:v>7C+</c:v>
                </c:pt>
                <c:pt idx="8">
                  <c:v>7C</c:v>
                </c:pt>
                <c:pt idx="9">
                  <c:v>7B+</c:v>
                </c:pt>
                <c:pt idx="10">
                  <c:v>7B</c:v>
                </c:pt>
                <c:pt idx="11">
                  <c:v>7A+</c:v>
                </c:pt>
                <c:pt idx="12">
                  <c:v>7A</c:v>
                </c:pt>
                <c:pt idx="13">
                  <c:v>6C+</c:v>
                </c:pt>
                <c:pt idx="14">
                  <c:v>6C</c:v>
                </c:pt>
                <c:pt idx="15">
                  <c:v>6B+</c:v>
                </c:pt>
                <c:pt idx="16">
                  <c:v>6B</c:v>
                </c:pt>
                <c:pt idx="17">
                  <c:v>6A+</c:v>
                </c:pt>
                <c:pt idx="18">
                  <c:v>6A</c:v>
                </c:pt>
                <c:pt idx="19">
                  <c:v>5C+</c:v>
                </c:pt>
                <c:pt idx="20">
                  <c:v>5C</c:v>
                </c:pt>
                <c:pt idx="21">
                  <c:v>5B+</c:v>
                </c:pt>
                <c:pt idx="22">
                  <c:v>5B</c:v>
                </c:pt>
                <c:pt idx="23">
                  <c:v>5A+</c:v>
                </c:pt>
                <c:pt idx="24">
                  <c:v>5A</c:v>
                </c:pt>
                <c:pt idx="25">
                  <c:v>4</c:v>
                </c:pt>
              </c:strCache>
            </c:strRef>
          </c:cat>
          <c:val>
            <c:numRef>
              <c:f>'09 fevr '!$S$3:$S$28</c:f>
              <c:numCache>
                <c:formatCode>General</c:formatCode>
                <c:ptCount val="26"/>
                <c:pt idx="20">
                  <c:v>5</c:v>
                </c:pt>
              </c:numCache>
            </c:numRef>
          </c:val>
        </c:ser>
        <c:ser>
          <c:idx val="7"/>
          <c:order val="7"/>
          <c:tx>
            <c:strRef>
              <c:f>'09 fevr '!$U$2</c:f>
              <c:strCache>
                <c:ptCount val="1"/>
                <c:pt idx="0">
                  <c:v>Dalle en moulinette en travail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</c:spPr>
          <c:invertIfNegative val="0"/>
          <c:cat>
            <c:strRef>
              <c:f>'09 fevr '!$D$3:$D$28</c:f>
              <c:strCache>
                <c:ptCount val="26"/>
                <c:pt idx="0">
                  <c:v>9A</c:v>
                </c:pt>
                <c:pt idx="1">
                  <c:v>8C+</c:v>
                </c:pt>
                <c:pt idx="2">
                  <c:v>8C</c:v>
                </c:pt>
                <c:pt idx="3">
                  <c:v>8B+</c:v>
                </c:pt>
                <c:pt idx="4">
                  <c:v>8B</c:v>
                </c:pt>
                <c:pt idx="5">
                  <c:v>8A+</c:v>
                </c:pt>
                <c:pt idx="6">
                  <c:v>8A</c:v>
                </c:pt>
                <c:pt idx="7">
                  <c:v>7C+</c:v>
                </c:pt>
                <c:pt idx="8">
                  <c:v>7C</c:v>
                </c:pt>
                <c:pt idx="9">
                  <c:v>7B+</c:v>
                </c:pt>
                <c:pt idx="10">
                  <c:v>7B</c:v>
                </c:pt>
                <c:pt idx="11">
                  <c:v>7A+</c:v>
                </c:pt>
                <c:pt idx="12">
                  <c:v>7A</c:v>
                </c:pt>
                <c:pt idx="13">
                  <c:v>6C+</c:v>
                </c:pt>
                <c:pt idx="14">
                  <c:v>6C</c:v>
                </c:pt>
                <c:pt idx="15">
                  <c:v>6B+</c:v>
                </c:pt>
                <c:pt idx="16">
                  <c:v>6B</c:v>
                </c:pt>
                <c:pt idx="17">
                  <c:v>6A+</c:v>
                </c:pt>
                <c:pt idx="18">
                  <c:v>6A</c:v>
                </c:pt>
                <c:pt idx="19">
                  <c:v>5C+</c:v>
                </c:pt>
                <c:pt idx="20">
                  <c:v>5C</c:v>
                </c:pt>
                <c:pt idx="21">
                  <c:v>5B+</c:v>
                </c:pt>
                <c:pt idx="22">
                  <c:v>5B</c:v>
                </c:pt>
                <c:pt idx="23">
                  <c:v>5A+</c:v>
                </c:pt>
                <c:pt idx="24">
                  <c:v>5A</c:v>
                </c:pt>
                <c:pt idx="25">
                  <c:v>4</c:v>
                </c:pt>
              </c:strCache>
            </c:strRef>
          </c:cat>
          <c:val>
            <c:numRef>
              <c:f>'09 fevr '!$U$3:$U$28</c:f>
              <c:numCache>
                <c:formatCode>General</c:formatCode>
                <c:ptCount val="26"/>
              </c:numCache>
            </c:numRef>
          </c:val>
        </c:ser>
        <c:ser>
          <c:idx val="8"/>
          <c:order val="8"/>
          <c:tx>
            <c:strRef>
              <c:f>'09 fevr '!$W$2</c:f>
              <c:strCache>
                <c:ptCount val="1"/>
                <c:pt idx="0">
                  <c:v>Dalle en moulinette après travail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</c:spPr>
          <c:invertIfNegative val="0"/>
          <c:cat>
            <c:strRef>
              <c:f>'09 fevr '!$D$3:$D$28</c:f>
              <c:strCache>
                <c:ptCount val="26"/>
                <c:pt idx="0">
                  <c:v>9A</c:v>
                </c:pt>
                <c:pt idx="1">
                  <c:v>8C+</c:v>
                </c:pt>
                <c:pt idx="2">
                  <c:v>8C</c:v>
                </c:pt>
                <c:pt idx="3">
                  <c:v>8B+</c:v>
                </c:pt>
                <c:pt idx="4">
                  <c:v>8B</c:v>
                </c:pt>
                <c:pt idx="5">
                  <c:v>8A+</c:v>
                </c:pt>
                <c:pt idx="6">
                  <c:v>8A</c:v>
                </c:pt>
                <c:pt idx="7">
                  <c:v>7C+</c:v>
                </c:pt>
                <c:pt idx="8">
                  <c:v>7C</c:v>
                </c:pt>
                <c:pt idx="9">
                  <c:v>7B+</c:v>
                </c:pt>
                <c:pt idx="10">
                  <c:v>7B</c:v>
                </c:pt>
                <c:pt idx="11">
                  <c:v>7A+</c:v>
                </c:pt>
                <c:pt idx="12">
                  <c:v>7A</c:v>
                </c:pt>
                <c:pt idx="13">
                  <c:v>6C+</c:v>
                </c:pt>
                <c:pt idx="14">
                  <c:v>6C</c:v>
                </c:pt>
                <c:pt idx="15">
                  <c:v>6B+</c:v>
                </c:pt>
                <c:pt idx="16">
                  <c:v>6B</c:v>
                </c:pt>
                <c:pt idx="17">
                  <c:v>6A+</c:v>
                </c:pt>
                <c:pt idx="18">
                  <c:v>6A</c:v>
                </c:pt>
                <c:pt idx="19">
                  <c:v>5C+</c:v>
                </c:pt>
                <c:pt idx="20">
                  <c:v>5C</c:v>
                </c:pt>
                <c:pt idx="21">
                  <c:v>5B+</c:v>
                </c:pt>
                <c:pt idx="22">
                  <c:v>5B</c:v>
                </c:pt>
                <c:pt idx="23">
                  <c:v>5A+</c:v>
                </c:pt>
                <c:pt idx="24">
                  <c:v>5A</c:v>
                </c:pt>
                <c:pt idx="25">
                  <c:v>4</c:v>
                </c:pt>
              </c:strCache>
            </c:strRef>
          </c:cat>
          <c:val>
            <c:numRef>
              <c:f>'09 fevr '!$W$3:$W$28</c:f>
              <c:numCache>
                <c:formatCode>General</c:formatCode>
                <c:ptCount val="26"/>
              </c:numCache>
            </c:numRef>
          </c:val>
        </c:ser>
        <c:ser>
          <c:idx val="9"/>
          <c:order val="9"/>
          <c:tx>
            <c:strRef>
              <c:f>'09 fevr '!$Y$2</c:f>
              <c:strCache>
                <c:ptCount val="1"/>
                <c:pt idx="0">
                  <c:v>Dalle en tête à vue</c:v>
                </c:pt>
              </c:strCache>
            </c:strRef>
          </c:tx>
          <c:spPr>
            <a:solidFill>
              <a:schemeClr val="accent6"/>
            </a:solidFill>
          </c:spPr>
          <c:invertIfNegative val="0"/>
          <c:cat>
            <c:strRef>
              <c:f>'09 fevr '!$D$3:$D$28</c:f>
              <c:strCache>
                <c:ptCount val="26"/>
                <c:pt idx="0">
                  <c:v>9A</c:v>
                </c:pt>
                <c:pt idx="1">
                  <c:v>8C+</c:v>
                </c:pt>
                <c:pt idx="2">
                  <c:v>8C</c:v>
                </c:pt>
                <c:pt idx="3">
                  <c:v>8B+</c:v>
                </c:pt>
                <c:pt idx="4">
                  <c:v>8B</c:v>
                </c:pt>
                <c:pt idx="5">
                  <c:v>8A+</c:v>
                </c:pt>
                <c:pt idx="6">
                  <c:v>8A</c:v>
                </c:pt>
                <c:pt idx="7">
                  <c:v>7C+</c:v>
                </c:pt>
                <c:pt idx="8">
                  <c:v>7C</c:v>
                </c:pt>
                <c:pt idx="9">
                  <c:v>7B+</c:v>
                </c:pt>
                <c:pt idx="10">
                  <c:v>7B</c:v>
                </c:pt>
                <c:pt idx="11">
                  <c:v>7A+</c:v>
                </c:pt>
                <c:pt idx="12">
                  <c:v>7A</c:v>
                </c:pt>
                <c:pt idx="13">
                  <c:v>6C+</c:v>
                </c:pt>
                <c:pt idx="14">
                  <c:v>6C</c:v>
                </c:pt>
                <c:pt idx="15">
                  <c:v>6B+</c:v>
                </c:pt>
                <c:pt idx="16">
                  <c:v>6B</c:v>
                </c:pt>
                <c:pt idx="17">
                  <c:v>6A+</c:v>
                </c:pt>
                <c:pt idx="18">
                  <c:v>6A</c:v>
                </c:pt>
                <c:pt idx="19">
                  <c:v>5C+</c:v>
                </c:pt>
                <c:pt idx="20">
                  <c:v>5C</c:v>
                </c:pt>
                <c:pt idx="21">
                  <c:v>5B+</c:v>
                </c:pt>
                <c:pt idx="22">
                  <c:v>5B</c:v>
                </c:pt>
                <c:pt idx="23">
                  <c:v>5A+</c:v>
                </c:pt>
                <c:pt idx="24">
                  <c:v>5A</c:v>
                </c:pt>
                <c:pt idx="25">
                  <c:v>4</c:v>
                </c:pt>
              </c:strCache>
            </c:strRef>
          </c:cat>
          <c:val>
            <c:numRef>
              <c:f>'09 fevr '!$Y$3:$Y$28</c:f>
              <c:numCache>
                <c:formatCode>General</c:formatCode>
                <c:ptCount val="26"/>
              </c:numCache>
            </c:numRef>
          </c:val>
        </c:ser>
        <c:ser>
          <c:idx val="10"/>
          <c:order val="10"/>
          <c:tx>
            <c:strRef>
              <c:f>'09 fevr '!$AA$2</c:f>
              <c:strCache>
                <c:ptCount val="1"/>
                <c:pt idx="0">
                  <c:v>Dalle en tête en travail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invertIfNegative val="0"/>
          <c:cat>
            <c:strRef>
              <c:f>'09 fevr '!$D$3:$D$28</c:f>
              <c:strCache>
                <c:ptCount val="26"/>
                <c:pt idx="0">
                  <c:v>9A</c:v>
                </c:pt>
                <c:pt idx="1">
                  <c:v>8C+</c:v>
                </c:pt>
                <c:pt idx="2">
                  <c:v>8C</c:v>
                </c:pt>
                <c:pt idx="3">
                  <c:v>8B+</c:v>
                </c:pt>
                <c:pt idx="4">
                  <c:v>8B</c:v>
                </c:pt>
                <c:pt idx="5">
                  <c:v>8A+</c:v>
                </c:pt>
                <c:pt idx="6">
                  <c:v>8A</c:v>
                </c:pt>
                <c:pt idx="7">
                  <c:v>7C+</c:v>
                </c:pt>
                <c:pt idx="8">
                  <c:v>7C</c:v>
                </c:pt>
                <c:pt idx="9">
                  <c:v>7B+</c:v>
                </c:pt>
                <c:pt idx="10">
                  <c:v>7B</c:v>
                </c:pt>
                <c:pt idx="11">
                  <c:v>7A+</c:v>
                </c:pt>
                <c:pt idx="12">
                  <c:v>7A</c:v>
                </c:pt>
                <c:pt idx="13">
                  <c:v>6C+</c:v>
                </c:pt>
                <c:pt idx="14">
                  <c:v>6C</c:v>
                </c:pt>
                <c:pt idx="15">
                  <c:v>6B+</c:v>
                </c:pt>
                <c:pt idx="16">
                  <c:v>6B</c:v>
                </c:pt>
                <c:pt idx="17">
                  <c:v>6A+</c:v>
                </c:pt>
                <c:pt idx="18">
                  <c:v>6A</c:v>
                </c:pt>
                <c:pt idx="19">
                  <c:v>5C+</c:v>
                </c:pt>
                <c:pt idx="20">
                  <c:v>5C</c:v>
                </c:pt>
                <c:pt idx="21">
                  <c:v>5B+</c:v>
                </c:pt>
                <c:pt idx="22">
                  <c:v>5B</c:v>
                </c:pt>
                <c:pt idx="23">
                  <c:v>5A+</c:v>
                </c:pt>
                <c:pt idx="24">
                  <c:v>5A</c:v>
                </c:pt>
                <c:pt idx="25">
                  <c:v>4</c:v>
                </c:pt>
              </c:strCache>
            </c:strRef>
          </c:cat>
          <c:val>
            <c:numRef>
              <c:f>'09 fevr '!$AA$3:$AA$28</c:f>
              <c:numCache>
                <c:formatCode>General</c:formatCode>
                <c:ptCount val="26"/>
              </c:numCache>
            </c:numRef>
          </c:val>
        </c:ser>
        <c:ser>
          <c:idx val="11"/>
          <c:order val="11"/>
          <c:tx>
            <c:strRef>
              <c:f>'09 fevr '!$AC$2</c:f>
              <c:strCache>
                <c:ptCount val="1"/>
                <c:pt idx="0">
                  <c:v>Dalle en tête après travail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</c:spPr>
          <c:invertIfNegative val="0"/>
          <c:cat>
            <c:strRef>
              <c:f>'09 fevr '!$D$3:$D$28</c:f>
              <c:strCache>
                <c:ptCount val="26"/>
                <c:pt idx="0">
                  <c:v>9A</c:v>
                </c:pt>
                <c:pt idx="1">
                  <c:v>8C+</c:v>
                </c:pt>
                <c:pt idx="2">
                  <c:v>8C</c:v>
                </c:pt>
                <c:pt idx="3">
                  <c:v>8B+</c:v>
                </c:pt>
                <c:pt idx="4">
                  <c:v>8B</c:v>
                </c:pt>
                <c:pt idx="5">
                  <c:v>8A+</c:v>
                </c:pt>
                <c:pt idx="6">
                  <c:v>8A</c:v>
                </c:pt>
                <c:pt idx="7">
                  <c:v>7C+</c:v>
                </c:pt>
                <c:pt idx="8">
                  <c:v>7C</c:v>
                </c:pt>
                <c:pt idx="9">
                  <c:v>7B+</c:v>
                </c:pt>
                <c:pt idx="10">
                  <c:v>7B</c:v>
                </c:pt>
                <c:pt idx="11">
                  <c:v>7A+</c:v>
                </c:pt>
                <c:pt idx="12">
                  <c:v>7A</c:v>
                </c:pt>
                <c:pt idx="13">
                  <c:v>6C+</c:v>
                </c:pt>
                <c:pt idx="14">
                  <c:v>6C</c:v>
                </c:pt>
                <c:pt idx="15">
                  <c:v>6B+</c:v>
                </c:pt>
                <c:pt idx="16">
                  <c:v>6B</c:v>
                </c:pt>
                <c:pt idx="17">
                  <c:v>6A+</c:v>
                </c:pt>
                <c:pt idx="18">
                  <c:v>6A</c:v>
                </c:pt>
                <c:pt idx="19">
                  <c:v>5C+</c:v>
                </c:pt>
                <c:pt idx="20">
                  <c:v>5C</c:v>
                </c:pt>
                <c:pt idx="21">
                  <c:v>5B+</c:v>
                </c:pt>
                <c:pt idx="22">
                  <c:v>5B</c:v>
                </c:pt>
                <c:pt idx="23">
                  <c:v>5A+</c:v>
                </c:pt>
                <c:pt idx="24">
                  <c:v>5A</c:v>
                </c:pt>
                <c:pt idx="25">
                  <c:v>4</c:v>
                </c:pt>
              </c:strCache>
            </c:strRef>
          </c:cat>
          <c:val>
            <c:numRef>
              <c:f>'09 fevr '!$AC$3:$AC$28</c:f>
              <c:numCache>
                <c:formatCode>General</c:formatCode>
                <c:ptCount val="26"/>
              </c:numCache>
            </c:numRef>
          </c:val>
        </c:ser>
        <c:ser>
          <c:idx val="12"/>
          <c:order val="12"/>
          <c:tx>
            <c:strRef>
              <c:f>'09 fevr '!$AG$2</c:f>
              <c:strCache>
                <c:ptCount val="1"/>
                <c:pt idx="0">
                  <c:v>Mur droit en moulinette à vue</c:v>
                </c:pt>
              </c:strCache>
            </c:strRef>
          </c:tx>
          <c:spPr>
            <a:solidFill>
              <a:schemeClr val="accent3">
                <a:lumMod val="20000"/>
                <a:lumOff val="80000"/>
              </a:schemeClr>
            </a:solidFill>
          </c:spPr>
          <c:invertIfNegative val="0"/>
          <c:cat>
            <c:strRef>
              <c:f>'09 fevr '!$D$3:$D$28</c:f>
              <c:strCache>
                <c:ptCount val="26"/>
                <c:pt idx="0">
                  <c:v>9A</c:v>
                </c:pt>
                <c:pt idx="1">
                  <c:v>8C+</c:v>
                </c:pt>
                <c:pt idx="2">
                  <c:v>8C</c:v>
                </c:pt>
                <c:pt idx="3">
                  <c:v>8B+</c:v>
                </c:pt>
                <c:pt idx="4">
                  <c:v>8B</c:v>
                </c:pt>
                <c:pt idx="5">
                  <c:v>8A+</c:v>
                </c:pt>
                <c:pt idx="6">
                  <c:v>8A</c:v>
                </c:pt>
                <c:pt idx="7">
                  <c:v>7C+</c:v>
                </c:pt>
                <c:pt idx="8">
                  <c:v>7C</c:v>
                </c:pt>
                <c:pt idx="9">
                  <c:v>7B+</c:v>
                </c:pt>
                <c:pt idx="10">
                  <c:v>7B</c:v>
                </c:pt>
                <c:pt idx="11">
                  <c:v>7A+</c:v>
                </c:pt>
                <c:pt idx="12">
                  <c:v>7A</c:v>
                </c:pt>
                <c:pt idx="13">
                  <c:v>6C+</c:v>
                </c:pt>
                <c:pt idx="14">
                  <c:v>6C</c:v>
                </c:pt>
                <c:pt idx="15">
                  <c:v>6B+</c:v>
                </c:pt>
                <c:pt idx="16">
                  <c:v>6B</c:v>
                </c:pt>
                <c:pt idx="17">
                  <c:v>6A+</c:v>
                </c:pt>
                <c:pt idx="18">
                  <c:v>6A</c:v>
                </c:pt>
                <c:pt idx="19">
                  <c:v>5C+</c:v>
                </c:pt>
                <c:pt idx="20">
                  <c:v>5C</c:v>
                </c:pt>
                <c:pt idx="21">
                  <c:v>5B+</c:v>
                </c:pt>
                <c:pt idx="22">
                  <c:v>5B</c:v>
                </c:pt>
                <c:pt idx="23">
                  <c:v>5A+</c:v>
                </c:pt>
                <c:pt idx="24">
                  <c:v>5A</c:v>
                </c:pt>
                <c:pt idx="25">
                  <c:v>4</c:v>
                </c:pt>
              </c:strCache>
            </c:strRef>
          </c:cat>
          <c:val>
            <c:numRef>
              <c:f>'09 fevr '!$AG$3:$AG$28</c:f>
              <c:numCache>
                <c:formatCode>General</c:formatCode>
                <c:ptCount val="26"/>
              </c:numCache>
            </c:numRef>
          </c:val>
        </c:ser>
        <c:ser>
          <c:idx val="13"/>
          <c:order val="13"/>
          <c:tx>
            <c:strRef>
              <c:f>'09 fevr '!$AI$2</c:f>
              <c:strCache>
                <c:ptCount val="1"/>
                <c:pt idx="0">
                  <c:v>Mur droit en moul. en travail</c:v>
                </c:pt>
              </c:strCache>
            </c:strRef>
          </c:tx>
          <c:spPr>
            <a:solidFill>
              <a:schemeClr val="accent3">
                <a:lumMod val="40000"/>
                <a:lumOff val="60000"/>
              </a:schemeClr>
            </a:solidFill>
          </c:spPr>
          <c:invertIfNegative val="0"/>
          <c:cat>
            <c:strRef>
              <c:f>'09 fevr '!$D$3:$D$28</c:f>
              <c:strCache>
                <c:ptCount val="26"/>
                <c:pt idx="0">
                  <c:v>9A</c:v>
                </c:pt>
                <c:pt idx="1">
                  <c:v>8C+</c:v>
                </c:pt>
                <c:pt idx="2">
                  <c:v>8C</c:v>
                </c:pt>
                <c:pt idx="3">
                  <c:v>8B+</c:v>
                </c:pt>
                <c:pt idx="4">
                  <c:v>8B</c:v>
                </c:pt>
                <c:pt idx="5">
                  <c:v>8A+</c:v>
                </c:pt>
                <c:pt idx="6">
                  <c:v>8A</c:v>
                </c:pt>
                <c:pt idx="7">
                  <c:v>7C+</c:v>
                </c:pt>
                <c:pt idx="8">
                  <c:v>7C</c:v>
                </c:pt>
                <c:pt idx="9">
                  <c:v>7B+</c:v>
                </c:pt>
                <c:pt idx="10">
                  <c:v>7B</c:v>
                </c:pt>
                <c:pt idx="11">
                  <c:v>7A+</c:v>
                </c:pt>
                <c:pt idx="12">
                  <c:v>7A</c:v>
                </c:pt>
                <c:pt idx="13">
                  <c:v>6C+</c:v>
                </c:pt>
                <c:pt idx="14">
                  <c:v>6C</c:v>
                </c:pt>
                <c:pt idx="15">
                  <c:v>6B+</c:v>
                </c:pt>
                <c:pt idx="16">
                  <c:v>6B</c:v>
                </c:pt>
                <c:pt idx="17">
                  <c:v>6A+</c:v>
                </c:pt>
                <c:pt idx="18">
                  <c:v>6A</c:v>
                </c:pt>
                <c:pt idx="19">
                  <c:v>5C+</c:v>
                </c:pt>
                <c:pt idx="20">
                  <c:v>5C</c:v>
                </c:pt>
                <c:pt idx="21">
                  <c:v>5B+</c:v>
                </c:pt>
                <c:pt idx="22">
                  <c:v>5B</c:v>
                </c:pt>
                <c:pt idx="23">
                  <c:v>5A+</c:v>
                </c:pt>
                <c:pt idx="24">
                  <c:v>5A</c:v>
                </c:pt>
                <c:pt idx="25">
                  <c:v>4</c:v>
                </c:pt>
              </c:strCache>
            </c:strRef>
          </c:cat>
          <c:val>
            <c:numRef>
              <c:f>'09 fevr '!$AI$3:$AI$28</c:f>
              <c:numCache>
                <c:formatCode>General</c:formatCode>
                <c:ptCount val="26"/>
              </c:numCache>
            </c:numRef>
          </c:val>
        </c:ser>
        <c:ser>
          <c:idx val="14"/>
          <c:order val="14"/>
          <c:tx>
            <c:strRef>
              <c:f>'09 fevr '!$AK$2</c:f>
              <c:strCache>
                <c:ptCount val="1"/>
                <c:pt idx="0">
                  <c:v>Mur droit en moul. après travail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</c:spPr>
          <c:invertIfNegative val="0"/>
          <c:cat>
            <c:strRef>
              <c:f>'09 fevr '!$D$3:$D$28</c:f>
              <c:strCache>
                <c:ptCount val="26"/>
                <c:pt idx="0">
                  <c:v>9A</c:v>
                </c:pt>
                <c:pt idx="1">
                  <c:v>8C+</c:v>
                </c:pt>
                <c:pt idx="2">
                  <c:v>8C</c:v>
                </c:pt>
                <c:pt idx="3">
                  <c:v>8B+</c:v>
                </c:pt>
                <c:pt idx="4">
                  <c:v>8B</c:v>
                </c:pt>
                <c:pt idx="5">
                  <c:v>8A+</c:v>
                </c:pt>
                <c:pt idx="6">
                  <c:v>8A</c:v>
                </c:pt>
                <c:pt idx="7">
                  <c:v>7C+</c:v>
                </c:pt>
                <c:pt idx="8">
                  <c:v>7C</c:v>
                </c:pt>
                <c:pt idx="9">
                  <c:v>7B+</c:v>
                </c:pt>
                <c:pt idx="10">
                  <c:v>7B</c:v>
                </c:pt>
                <c:pt idx="11">
                  <c:v>7A+</c:v>
                </c:pt>
                <c:pt idx="12">
                  <c:v>7A</c:v>
                </c:pt>
                <c:pt idx="13">
                  <c:v>6C+</c:v>
                </c:pt>
                <c:pt idx="14">
                  <c:v>6C</c:v>
                </c:pt>
                <c:pt idx="15">
                  <c:v>6B+</c:v>
                </c:pt>
                <c:pt idx="16">
                  <c:v>6B</c:v>
                </c:pt>
                <c:pt idx="17">
                  <c:v>6A+</c:v>
                </c:pt>
                <c:pt idx="18">
                  <c:v>6A</c:v>
                </c:pt>
                <c:pt idx="19">
                  <c:v>5C+</c:v>
                </c:pt>
                <c:pt idx="20">
                  <c:v>5C</c:v>
                </c:pt>
                <c:pt idx="21">
                  <c:v>5B+</c:v>
                </c:pt>
                <c:pt idx="22">
                  <c:v>5B</c:v>
                </c:pt>
                <c:pt idx="23">
                  <c:v>5A+</c:v>
                </c:pt>
                <c:pt idx="24">
                  <c:v>5A</c:v>
                </c:pt>
                <c:pt idx="25">
                  <c:v>4</c:v>
                </c:pt>
              </c:strCache>
            </c:strRef>
          </c:cat>
          <c:val>
            <c:numRef>
              <c:f>'09 fevr '!$AK$3:$AK$28</c:f>
              <c:numCache>
                <c:formatCode>General</c:formatCode>
                <c:ptCount val="26"/>
              </c:numCache>
            </c:numRef>
          </c:val>
        </c:ser>
        <c:ser>
          <c:idx val="15"/>
          <c:order val="15"/>
          <c:tx>
            <c:strRef>
              <c:f>'09 fevr '!$AM$2</c:f>
              <c:strCache>
                <c:ptCount val="1"/>
                <c:pt idx="0">
                  <c:v>Mur droit en tête à vue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cat>
            <c:strRef>
              <c:f>'09 fevr '!$D$3:$D$28</c:f>
              <c:strCache>
                <c:ptCount val="26"/>
                <c:pt idx="0">
                  <c:v>9A</c:v>
                </c:pt>
                <c:pt idx="1">
                  <c:v>8C+</c:v>
                </c:pt>
                <c:pt idx="2">
                  <c:v>8C</c:v>
                </c:pt>
                <c:pt idx="3">
                  <c:v>8B+</c:v>
                </c:pt>
                <c:pt idx="4">
                  <c:v>8B</c:v>
                </c:pt>
                <c:pt idx="5">
                  <c:v>8A+</c:v>
                </c:pt>
                <c:pt idx="6">
                  <c:v>8A</c:v>
                </c:pt>
                <c:pt idx="7">
                  <c:v>7C+</c:v>
                </c:pt>
                <c:pt idx="8">
                  <c:v>7C</c:v>
                </c:pt>
                <c:pt idx="9">
                  <c:v>7B+</c:v>
                </c:pt>
                <c:pt idx="10">
                  <c:v>7B</c:v>
                </c:pt>
                <c:pt idx="11">
                  <c:v>7A+</c:v>
                </c:pt>
                <c:pt idx="12">
                  <c:v>7A</c:v>
                </c:pt>
                <c:pt idx="13">
                  <c:v>6C+</c:v>
                </c:pt>
                <c:pt idx="14">
                  <c:v>6C</c:v>
                </c:pt>
                <c:pt idx="15">
                  <c:v>6B+</c:v>
                </c:pt>
                <c:pt idx="16">
                  <c:v>6B</c:v>
                </c:pt>
                <c:pt idx="17">
                  <c:v>6A+</c:v>
                </c:pt>
                <c:pt idx="18">
                  <c:v>6A</c:v>
                </c:pt>
                <c:pt idx="19">
                  <c:v>5C+</c:v>
                </c:pt>
                <c:pt idx="20">
                  <c:v>5C</c:v>
                </c:pt>
                <c:pt idx="21">
                  <c:v>5B+</c:v>
                </c:pt>
                <c:pt idx="22">
                  <c:v>5B</c:v>
                </c:pt>
                <c:pt idx="23">
                  <c:v>5A+</c:v>
                </c:pt>
                <c:pt idx="24">
                  <c:v>5A</c:v>
                </c:pt>
                <c:pt idx="25">
                  <c:v>4</c:v>
                </c:pt>
              </c:strCache>
            </c:strRef>
          </c:cat>
          <c:val>
            <c:numRef>
              <c:f>'09 fevr '!$AM$3:$AM$28</c:f>
              <c:numCache>
                <c:formatCode>General</c:formatCode>
                <c:ptCount val="26"/>
              </c:numCache>
            </c:numRef>
          </c:val>
        </c:ser>
        <c:ser>
          <c:idx val="16"/>
          <c:order val="16"/>
          <c:tx>
            <c:strRef>
              <c:f>'09 fevr '!$AO$2</c:f>
              <c:strCache>
                <c:ptCount val="1"/>
                <c:pt idx="0">
                  <c:v>Mur droit en tête en travail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cat>
            <c:strRef>
              <c:f>'09 fevr '!$D$3:$D$28</c:f>
              <c:strCache>
                <c:ptCount val="26"/>
                <c:pt idx="0">
                  <c:v>9A</c:v>
                </c:pt>
                <c:pt idx="1">
                  <c:v>8C+</c:v>
                </c:pt>
                <c:pt idx="2">
                  <c:v>8C</c:v>
                </c:pt>
                <c:pt idx="3">
                  <c:v>8B+</c:v>
                </c:pt>
                <c:pt idx="4">
                  <c:v>8B</c:v>
                </c:pt>
                <c:pt idx="5">
                  <c:v>8A+</c:v>
                </c:pt>
                <c:pt idx="6">
                  <c:v>8A</c:v>
                </c:pt>
                <c:pt idx="7">
                  <c:v>7C+</c:v>
                </c:pt>
                <c:pt idx="8">
                  <c:v>7C</c:v>
                </c:pt>
                <c:pt idx="9">
                  <c:v>7B+</c:v>
                </c:pt>
                <c:pt idx="10">
                  <c:v>7B</c:v>
                </c:pt>
                <c:pt idx="11">
                  <c:v>7A+</c:v>
                </c:pt>
                <c:pt idx="12">
                  <c:v>7A</c:v>
                </c:pt>
                <c:pt idx="13">
                  <c:v>6C+</c:v>
                </c:pt>
                <c:pt idx="14">
                  <c:v>6C</c:v>
                </c:pt>
                <c:pt idx="15">
                  <c:v>6B+</c:v>
                </c:pt>
                <c:pt idx="16">
                  <c:v>6B</c:v>
                </c:pt>
                <c:pt idx="17">
                  <c:v>6A+</c:v>
                </c:pt>
                <c:pt idx="18">
                  <c:v>6A</c:v>
                </c:pt>
                <c:pt idx="19">
                  <c:v>5C+</c:v>
                </c:pt>
                <c:pt idx="20">
                  <c:v>5C</c:v>
                </c:pt>
                <c:pt idx="21">
                  <c:v>5B+</c:v>
                </c:pt>
                <c:pt idx="22">
                  <c:v>5B</c:v>
                </c:pt>
                <c:pt idx="23">
                  <c:v>5A+</c:v>
                </c:pt>
                <c:pt idx="24">
                  <c:v>5A</c:v>
                </c:pt>
                <c:pt idx="25">
                  <c:v>4</c:v>
                </c:pt>
              </c:strCache>
            </c:strRef>
          </c:cat>
          <c:val>
            <c:numRef>
              <c:f>'09 fevr '!$AO$3:$AO$28</c:f>
              <c:numCache>
                <c:formatCode>General</c:formatCode>
                <c:ptCount val="26"/>
              </c:numCache>
            </c:numRef>
          </c:val>
        </c:ser>
        <c:ser>
          <c:idx val="17"/>
          <c:order val="17"/>
          <c:tx>
            <c:strRef>
              <c:f>'09 fevr '!$AQ$2</c:f>
              <c:strCache>
                <c:ptCount val="1"/>
                <c:pt idx="0">
                  <c:v>Mur droit en tête après travail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</c:spPr>
          <c:invertIfNegative val="0"/>
          <c:cat>
            <c:strRef>
              <c:f>'09 fevr '!$D$3:$D$28</c:f>
              <c:strCache>
                <c:ptCount val="26"/>
                <c:pt idx="0">
                  <c:v>9A</c:v>
                </c:pt>
                <c:pt idx="1">
                  <c:v>8C+</c:v>
                </c:pt>
                <c:pt idx="2">
                  <c:v>8C</c:v>
                </c:pt>
                <c:pt idx="3">
                  <c:v>8B+</c:v>
                </c:pt>
                <c:pt idx="4">
                  <c:v>8B</c:v>
                </c:pt>
                <c:pt idx="5">
                  <c:v>8A+</c:v>
                </c:pt>
                <c:pt idx="6">
                  <c:v>8A</c:v>
                </c:pt>
                <c:pt idx="7">
                  <c:v>7C+</c:v>
                </c:pt>
                <c:pt idx="8">
                  <c:v>7C</c:v>
                </c:pt>
                <c:pt idx="9">
                  <c:v>7B+</c:v>
                </c:pt>
                <c:pt idx="10">
                  <c:v>7B</c:v>
                </c:pt>
                <c:pt idx="11">
                  <c:v>7A+</c:v>
                </c:pt>
                <c:pt idx="12">
                  <c:v>7A</c:v>
                </c:pt>
                <c:pt idx="13">
                  <c:v>6C+</c:v>
                </c:pt>
                <c:pt idx="14">
                  <c:v>6C</c:v>
                </c:pt>
                <c:pt idx="15">
                  <c:v>6B+</c:v>
                </c:pt>
                <c:pt idx="16">
                  <c:v>6B</c:v>
                </c:pt>
                <c:pt idx="17">
                  <c:v>6A+</c:v>
                </c:pt>
                <c:pt idx="18">
                  <c:v>6A</c:v>
                </c:pt>
                <c:pt idx="19">
                  <c:v>5C+</c:v>
                </c:pt>
                <c:pt idx="20">
                  <c:v>5C</c:v>
                </c:pt>
                <c:pt idx="21">
                  <c:v>5B+</c:v>
                </c:pt>
                <c:pt idx="22">
                  <c:v>5B</c:v>
                </c:pt>
                <c:pt idx="23">
                  <c:v>5A+</c:v>
                </c:pt>
                <c:pt idx="24">
                  <c:v>5A</c:v>
                </c:pt>
                <c:pt idx="25">
                  <c:v>4</c:v>
                </c:pt>
              </c:strCache>
            </c:strRef>
          </c:cat>
          <c:val>
            <c:numRef>
              <c:f>'09 fevr '!$AQ$3:$AQ$28</c:f>
              <c:numCache>
                <c:formatCode>General</c:formatCode>
                <c:ptCount val="26"/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overlap val="100"/>
        <c:axId val="194152320"/>
        <c:axId val="194153856"/>
      </c:barChart>
      <c:catAx>
        <c:axId val="194152320"/>
        <c:scaling>
          <c:orientation val="maxMin"/>
        </c:scaling>
        <c:delete val="0"/>
        <c:axPos val="b"/>
        <c:majorTickMark val="none"/>
        <c:minorTickMark val="none"/>
        <c:tickLblPos val="nextTo"/>
        <c:crossAx val="194153856"/>
        <c:crosses val="autoZero"/>
        <c:auto val="1"/>
        <c:lblAlgn val="ctr"/>
        <c:lblOffset val="100"/>
        <c:noMultiLvlLbl val="0"/>
      </c:catAx>
      <c:valAx>
        <c:axId val="194153856"/>
        <c:scaling>
          <c:orientation val="minMax"/>
        </c:scaling>
        <c:delete val="0"/>
        <c:axPos val="r"/>
        <c:numFmt formatCode="General" sourceLinked="1"/>
        <c:majorTickMark val="none"/>
        <c:minorTickMark val="none"/>
        <c:tickLblPos val="nextTo"/>
        <c:crossAx val="194152320"/>
        <c:crosses val="autoZero"/>
        <c:crossBetween val="between"/>
      </c:valAx>
      <c:spPr>
        <a:noFill/>
      </c:spPr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6.1202185371010296E-3"/>
          <c:y val="2.3715094247028647E-2"/>
          <c:w val="0.97465260892627614"/>
          <c:h val="0.67075934545822347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'09 fevr '!$G$2</c:f>
              <c:strCache>
                <c:ptCount val="1"/>
                <c:pt idx="0">
                  <c:v>Dévers en moulinette en travail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</c:spPr>
          <c:invertIfNegative val="0"/>
          <c:cat>
            <c:strRef>
              <c:f>'09 fevr '!$D$3:$D$28</c:f>
              <c:strCache>
                <c:ptCount val="26"/>
                <c:pt idx="0">
                  <c:v>9A</c:v>
                </c:pt>
                <c:pt idx="1">
                  <c:v>8C+</c:v>
                </c:pt>
                <c:pt idx="2">
                  <c:v>8C</c:v>
                </c:pt>
                <c:pt idx="3">
                  <c:v>8B+</c:v>
                </c:pt>
                <c:pt idx="4">
                  <c:v>8B</c:v>
                </c:pt>
                <c:pt idx="5">
                  <c:v>8A+</c:v>
                </c:pt>
                <c:pt idx="6">
                  <c:v>8A</c:v>
                </c:pt>
                <c:pt idx="7">
                  <c:v>7C+</c:v>
                </c:pt>
                <c:pt idx="8">
                  <c:v>7C</c:v>
                </c:pt>
                <c:pt idx="9">
                  <c:v>7B+</c:v>
                </c:pt>
                <c:pt idx="10">
                  <c:v>7B</c:v>
                </c:pt>
                <c:pt idx="11">
                  <c:v>7A+</c:v>
                </c:pt>
                <c:pt idx="12">
                  <c:v>7A</c:v>
                </c:pt>
                <c:pt idx="13">
                  <c:v>6C+</c:v>
                </c:pt>
                <c:pt idx="14">
                  <c:v>6C</c:v>
                </c:pt>
                <c:pt idx="15">
                  <c:v>6B+</c:v>
                </c:pt>
                <c:pt idx="16">
                  <c:v>6B</c:v>
                </c:pt>
                <c:pt idx="17">
                  <c:v>6A+</c:v>
                </c:pt>
                <c:pt idx="18">
                  <c:v>6A</c:v>
                </c:pt>
                <c:pt idx="19">
                  <c:v>5C+</c:v>
                </c:pt>
                <c:pt idx="20">
                  <c:v>5C</c:v>
                </c:pt>
                <c:pt idx="21">
                  <c:v>5B+</c:v>
                </c:pt>
                <c:pt idx="22">
                  <c:v>5B</c:v>
                </c:pt>
                <c:pt idx="23">
                  <c:v>5A+</c:v>
                </c:pt>
                <c:pt idx="24">
                  <c:v>5A</c:v>
                </c:pt>
                <c:pt idx="25">
                  <c:v>4</c:v>
                </c:pt>
              </c:strCache>
            </c:strRef>
          </c:cat>
          <c:val>
            <c:numRef>
              <c:f>'09 fevr '!$G$3:$G$28</c:f>
              <c:numCache>
                <c:formatCode>General</c:formatCode>
                <c:ptCount val="26"/>
              </c:numCache>
            </c:numRef>
          </c:val>
        </c:ser>
        <c:ser>
          <c:idx val="1"/>
          <c:order val="1"/>
          <c:tx>
            <c:strRef>
              <c:f>'09 fevr '!$I$2</c:f>
              <c:strCache>
                <c:ptCount val="1"/>
                <c:pt idx="0">
                  <c:v>Dévers en moulinette après travail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cat>
            <c:strRef>
              <c:f>'09 fevr '!$D$3:$D$28</c:f>
              <c:strCache>
                <c:ptCount val="26"/>
                <c:pt idx="0">
                  <c:v>9A</c:v>
                </c:pt>
                <c:pt idx="1">
                  <c:v>8C+</c:v>
                </c:pt>
                <c:pt idx="2">
                  <c:v>8C</c:v>
                </c:pt>
                <c:pt idx="3">
                  <c:v>8B+</c:v>
                </c:pt>
                <c:pt idx="4">
                  <c:v>8B</c:v>
                </c:pt>
                <c:pt idx="5">
                  <c:v>8A+</c:v>
                </c:pt>
                <c:pt idx="6">
                  <c:v>8A</c:v>
                </c:pt>
                <c:pt idx="7">
                  <c:v>7C+</c:v>
                </c:pt>
                <c:pt idx="8">
                  <c:v>7C</c:v>
                </c:pt>
                <c:pt idx="9">
                  <c:v>7B+</c:v>
                </c:pt>
                <c:pt idx="10">
                  <c:v>7B</c:v>
                </c:pt>
                <c:pt idx="11">
                  <c:v>7A+</c:v>
                </c:pt>
                <c:pt idx="12">
                  <c:v>7A</c:v>
                </c:pt>
                <c:pt idx="13">
                  <c:v>6C+</c:v>
                </c:pt>
                <c:pt idx="14">
                  <c:v>6C</c:v>
                </c:pt>
                <c:pt idx="15">
                  <c:v>6B+</c:v>
                </c:pt>
                <c:pt idx="16">
                  <c:v>6B</c:v>
                </c:pt>
                <c:pt idx="17">
                  <c:v>6A+</c:v>
                </c:pt>
                <c:pt idx="18">
                  <c:v>6A</c:v>
                </c:pt>
                <c:pt idx="19">
                  <c:v>5C+</c:v>
                </c:pt>
                <c:pt idx="20">
                  <c:v>5C</c:v>
                </c:pt>
                <c:pt idx="21">
                  <c:v>5B+</c:v>
                </c:pt>
                <c:pt idx="22">
                  <c:v>5B</c:v>
                </c:pt>
                <c:pt idx="23">
                  <c:v>5A+</c:v>
                </c:pt>
                <c:pt idx="24">
                  <c:v>5A</c:v>
                </c:pt>
                <c:pt idx="25">
                  <c:v>4</c:v>
                </c:pt>
              </c:strCache>
            </c:strRef>
          </c:cat>
          <c:val>
            <c:numRef>
              <c:f>'09 fevr '!$I$3:$I$28</c:f>
              <c:numCache>
                <c:formatCode>General</c:formatCode>
                <c:ptCount val="26"/>
              </c:numCache>
            </c:numRef>
          </c:val>
        </c:ser>
        <c:ser>
          <c:idx val="2"/>
          <c:order val="2"/>
          <c:tx>
            <c:strRef>
              <c:f>'09 fevr '!$E$2</c:f>
              <c:strCache>
                <c:ptCount val="1"/>
                <c:pt idx="0">
                  <c:v>Dévers en moulinette à vue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</c:spPr>
          <c:invertIfNegative val="0"/>
          <c:cat>
            <c:strRef>
              <c:f>'09 fevr '!$D$3:$D$28</c:f>
              <c:strCache>
                <c:ptCount val="26"/>
                <c:pt idx="0">
                  <c:v>9A</c:v>
                </c:pt>
                <c:pt idx="1">
                  <c:v>8C+</c:v>
                </c:pt>
                <c:pt idx="2">
                  <c:v>8C</c:v>
                </c:pt>
                <c:pt idx="3">
                  <c:v>8B+</c:v>
                </c:pt>
                <c:pt idx="4">
                  <c:v>8B</c:v>
                </c:pt>
                <c:pt idx="5">
                  <c:v>8A+</c:v>
                </c:pt>
                <c:pt idx="6">
                  <c:v>8A</c:v>
                </c:pt>
                <c:pt idx="7">
                  <c:v>7C+</c:v>
                </c:pt>
                <c:pt idx="8">
                  <c:v>7C</c:v>
                </c:pt>
                <c:pt idx="9">
                  <c:v>7B+</c:v>
                </c:pt>
                <c:pt idx="10">
                  <c:v>7B</c:v>
                </c:pt>
                <c:pt idx="11">
                  <c:v>7A+</c:v>
                </c:pt>
                <c:pt idx="12">
                  <c:v>7A</c:v>
                </c:pt>
                <c:pt idx="13">
                  <c:v>6C+</c:v>
                </c:pt>
                <c:pt idx="14">
                  <c:v>6C</c:v>
                </c:pt>
                <c:pt idx="15">
                  <c:v>6B+</c:v>
                </c:pt>
                <c:pt idx="16">
                  <c:v>6B</c:v>
                </c:pt>
                <c:pt idx="17">
                  <c:v>6A+</c:v>
                </c:pt>
                <c:pt idx="18">
                  <c:v>6A</c:v>
                </c:pt>
                <c:pt idx="19">
                  <c:v>5C+</c:v>
                </c:pt>
                <c:pt idx="20">
                  <c:v>5C</c:v>
                </c:pt>
                <c:pt idx="21">
                  <c:v>5B+</c:v>
                </c:pt>
                <c:pt idx="22">
                  <c:v>5B</c:v>
                </c:pt>
                <c:pt idx="23">
                  <c:v>5A+</c:v>
                </c:pt>
                <c:pt idx="24">
                  <c:v>5A</c:v>
                </c:pt>
                <c:pt idx="25">
                  <c:v>4</c:v>
                </c:pt>
              </c:strCache>
            </c:strRef>
          </c:cat>
          <c:val>
            <c:numRef>
              <c:f>'09 fevr '!$E$3:$E$28</c:f>
              <c:numCache>
                <c:formatCode>General</c:formatCode>
                <c:ptCount val="26"/>
              </c:numCache>
            </c:numRef>
          </c:val>
        </c:ser>
        <c:ser>
          <c:idx val="3"/>
          <c:order val="3"/>
          <c:tx>
            <c:strRef>
              <c:f>'09 fevr '!$K$2</c:f>
              <c:strCache>
                <c:ptCount val="1"/>
                <c:pt idx="0">
                  <c:v>Dévers en tête à vue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dLbls>
            <c:dLbl>
              <c:idx val="16"/>
              <c:tx>
                <c:rich>
                  <a:bodyPr/>
                  <a:lstStyle/>
                  <a:p>
                    <a:r>
                      <a:rPr lang="en-US" sz="1400"/>
                      <a:t>Dévers</a:t>
                    </a:r>
                  </a:p>
                  <a:p>
                    <a:r>
                      <a:rPr lang="en-US" sz="1400"/>
                      <a:t> en tête</a:t>
                    </a:r>
                  </a:p>
                  <a:p>
                    <a:r>
                      <a:rPr lang="en-US" sz="1400"/>
                      <a:t> à vue
1</a:t>
                    </a:r>
                  </a:p>
                </c:rich>
              </c:tx>
              <c:showLegendKey val="0"/>
              <c:showVal val="1"/>
              <c:showCatName val="0"/>
              <c:showSerName val="1"/>
              <c:showPercent val="0"/>
              <c:showBubbleSize val="0"/>
              <c:separator>
</c:separator>
            </c:dLbl>
            <c:txPr>
              <a:bodyPr rot="-5400000" vert="horz"/>
              <a:lstStyle/>
              <a:p>
                <a:pPr>
                  <a:defRPr sz="1400"/>
                </a:pPr>
                <a:endParaRPr lang="fr-FR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eparator>
</c:separator>
            <c:showLeaderLines val="0"/>
          </c:dLbls>
          <c:cat>
            <c:strRef>
              <c:f>'09 fevr '!$D$3:$D$28</c:f>
              <c:strCache>
                <c:ptCount val="26"/>
                <c:pt idx="0">
                  <c:v>9A</c:v>
                </c:pt>
                <c:pt idx="1">
                  <c:v>8C+</c:v>
                </c:pt>
                <c:pt idx="2">
                  <c:v>8C</c:v>
                </c:pt>
                <c:pt idx="3">
                  <c:v>8B+</c:v>
                </c:pt>
                <c:pt idx="4">
                  <c:v>8B</c:v>
                </c:pt>
                <c:pt idx="5">
                  <c:v>8A+</c:v>
                </c:pt>
                <c:pt idx="6">
                  <c:v>8A</c:v>
                </c:pt>
                <c:pt idx="7">
                  <c:v>7C+</c:v>
                </c:pt>
                <c:pt idx="8">
                  <c:v>7C</c:v>
                </c:pt>
                <c:pt idx="9">
                  <c:v>7B+</c:v>
                </c:pt>
                <c:pt idx="10">
                  <c:v>7B</c:v>
                </c:pt>
                <c:pt idx="11">
                  <c:v>7A+</c:v>
                </c:pt>
                <c:pt idx="12">
                  <c:v>7A</c:v>
                </c:pt>
                <c:pt idx="13">
                  <c:v>6C+</c:v>
                </c:pt>
                <c:pt idx="14">
                  <c:v>6C</c:v>
                </c:pt>
                <c:pt idx="15">
                  <c:v>6B+</c:v>
                </c:pt>
                <c:pt idx="16">
                  <c:v>6B</c:v>
                </c:pt>
                <c:pt idx="17">
                  <c:v>6A+</c:v>
                </c:pt>
                <c:pt idx="18">
                  <c:v>6A</c:v>
                </c:pt>
                <c:pt idx="19">
                  <c:v>5C+</c:v>
                </c:pt>
                <c:pt idx="20">
                  <c:v>5C</c:v>
                </c:pt>
                <c:pt idx="21">
                  <c:v>5B+</c:v>
                </c:pt>
                <c:pt idx="22">
                  <c:v>5B</c:v>
                </c:pt>
                <c:pt idx="23">
                  <c:v>5A+</c:v>
                </c:pt>
                <c:pt idx="24">
                  <c:v>5A</c:v>
                </c:pt>
                <c:pt idx="25">
                  <c:v>4</c:v>
                </c:pt>
              </c:strCache>
            </c:strRef>
          </c:cat>
          <c:val>
            <c:numRef>
              <c:f>'09 fevr '!$K$3:$K$28</c:f>
              <c:numCache>
                <c:formatCode>General</c:formatCode>
                <c:ptCount val="26"/>
                <c:pt idx="19">
                  <c:v>3</c:v>
                </c:pt>
              </c:numCache>
            </c:numRef>
          </c:val>
        </c:ser>
        <c:ser>
          <c:idx val="4"/>
          <c:order val="4"/>
          <c:tx>
            <c:strRef>
              <c:f>'09 fevr '!$M$2</c:f>
              <c:strCache>
                <c:ptCount val="1"/>
                <c:pt idx="0">
                  <c:v>Dévers en tête en travail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</c:spPr>
          <c:invertIfNegative val="0"/>
          <c:cat>
            <c:strRef>
              <c:f>'09 fevr '!$D$3:$D$28</c:f>
              <c:strCache>
                <c:ptCount val="26"/>
                <c:pt idx="0">
                  <c:v>9A</c:v>
                </c:pt>
                <c:pt idx="1">
                  <c:v>8C+</c:v>
                </c:pt>
                <c:pt idx="2">
                  <c:v>8C</c:v>
                </c:pt>
                <c:pt idx="3">
                  <c:v>8B+</c:v>
                </c:pt>
                <c:pt idx="4">
                  <c:v>8B</c:v>
                </c:pt>
                <c:pt idx="5">
                  <c:v>8A+</c:v>
                </c:pt>
                <c:pt idx="6">
                  <c:v>8A</c:v>
                </c:pt>
                <c:pt idx="7">
                  <c:v>7C+</c:v>
                </c:pt>
                <c:pt idx="8">
                  <c:v>7C</c:v>
                </c:pt>
                <c:pt idx="9">
                  <c:v>7B+</c:v>
                </c:pt>
                <c:pt idx="10">
                  <c:v>7B</c:v>
                </c:pt>
                <c:pt idx="11">
                  <c:v>7A+</c:v>
                </c:pt>
                <c:pt idx="12">
                  <c:v>7A</c:v>
                </c:pt>
                <c:pt idx="13">
                  <c:v>6C+</c:v>
                </c:pt>
                <c:pt idx="14">
                  <c:v>6C</c:v>
                </c:pt>
                <c:pt idx="15">
                  <c:v>6B+</c:v>
                </c:pt>
                <c:pt idx="16">
                  <c:v>6B</c:v>
                </c:pt>
                <c:pt idx="17">
                  <c:v>6A+</c:v>
                </c:pt>
                <c:pt idx="18">
                  <c:v>6A</c:v>
                </c:pt>
                <c:pt idx="19">
                  <c:v>5C+</c:v>
                </c:pt>
                <c:pt idx="20">
                  <c:v>5C</c:v>
                </c:pt>
                <c:pt idx="21">
                  <c:v>5B+</c:v>
                </c:pt>
                <c:pt idx="22">
                  <c:v>5B</c:v>
                </c:pt>
                <c:pt idx="23">
                  <c:v>5A+</c:v>
                </c:pt>
                <c:pt idx="24">
                  <c:v>5A</c:v>
                </c:pt>
                <c:pt idx="25">
                  <c:v>4</c:v>
                </c:pt>
              </c:strCache>
            </c:strRef>
          </c:cat>
          <c:val>
            <c:numRef>
              <c:f>'09 fevr '!$M$3:$M$28</c:f>
              <c:numCache>
                <c:formatCode>General</c:formatCode>
                <c:ptCount val="26"/>
                <c:pt idx="8">
                  <c:v>1</c:v>
                </c:pt>
                <c:pt idx="9">
                  <c:v>1</c:v>
                </c:pt>
              </c:numCache>
            </c:numRef>
          </c:val>
        </c:ser>
        <c:ser>
          <c:idx val="5"/>
          <c:order val="5"/>
          <c:tx>
            <c:strRef>
              <c:f>'09 fevr '!$O$2</c:f>
              <c:strCache>
                <c:ptCount val="1"/>
                <c:pt idx="0">
                  <c:v>Dévers en tête après travail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</c:spPr>
          <c:invertIfNegative val="0"/>
          <c:dLbls>
            <c:showLegendKey val="0"/>
            <c:showVal val="1"/>
            <c:showCatName val="0"/>
            <c:showSerName val="1"/>
            <c:showPercent val="0"/>
            <c:showBubbleSize val="0"/>
            <c:showLeaderLines val="0"/>
          </c:dLbls>
          <c:cat>
            <c:strRef>
              <c:f>'09 fevr '!$D$3:$D$28</c:f>
              <c:strCache>
                <c:ptCount val="26"/>
                <c:pt idx="0">
                  <c:v>9A</c:v>
                </c:pt>
                <c:pt idx="1">
                  <c:v>8C+</c:v>
                </c:pt>
                <c:pt idx="2">
                  <c:v>8C</c:v>
                </c:pt>
                <c:pt idx="3">
                  <c:v>8B+</c:v>
                </c:pt>
                <c:pt idx="4">
                  <c:v>8B</c:v>
                </c:pt>
                <c:pt idx="5">
                  <c:v>8A+</c:v>
                </c:pt>
                <c:pt idx="6">
                  <c:v>8A</c:v>
                </c:pt>
                <c:pt idx="7">
                  <c:v>7C+</c:v>
                </c:pt>
                <c:pt idx="8">
                  <c:v>7C</c:v>
                </c:pt>
                <c:pt idx="9">
                  <c:v>7B+</c:v>
                </c:pt>
                <c:pt idx="10">
                  <c:v>7B</c:v>
                </c:pt>
                <c:pt idx="11">
                  <c:v>7A+</c:v>
                </c:pt>
                <c:pt idx="12">
                  <c:v>7A</c:v>
                </c:pt>
                <c:pt idx="13">
                  <c:v>6C+</c:v>
                </c:pt>
                <c:pt idx="14">
                  <c:v>6C</c:v>
                </c:pt>
                <c:pt idx="15">
                  <c:v>6B+</c:v>
                </c:pt>
                <c:pt idx="16">
                  <c:v>6B</c:v>
                </c:pt>
                <c:pt idx="17">
                  <c:v>6A+</c:v>
                </c:pt>
                <c:pt idx="18">
                  <c:v>6A</c:v>
                </c:pt>
                <c:pt idx="19">
                  <c:v>5C+</c:v>
                </c:pt>
                <c:pt idx="20">
                  <c:v>5C</c:v>
                </c:pt>
                <c:pt idx="21">
                  <c:v>5B+</c:v>
                </c:pt>
                <c:pt idx="22">
                  <c:v>5B</c:v>
                </c:pt>
                <c:pt idx="23">
                  <c:v>5A+</c:v>
                </c:pt>
                <c:pt idx="24">
                  <c:v>5A</c:v>
                </c:pt>
                <c:pt idx="25">
                  <c:v>4</c:v>
                </c:pt>
              </c:strCache>
            </c:strRef>
          </c:cat>
          <c:val>
            <c:numRef>
              <c:f>'09 fevr '!$O$3:$O$28</c:f>
              <c:numCache>
                <c:formatCode>General</c:formatCode>
                <c:ptCount val="26"/>
                <c:pt idx="9">
                  <c:v>1</c:v>
                </c:pt>
                <c:pt idx="12">
                  <c:v>1</c:v>
                </c:pt>
              </c:numCache>
            </c:numRef>
          </c:val>
        </c:ser>
        <c:ser>
          <c:idx val="6"/>
          <c:order val="6"/>
          <c:tx>
            <c:strRef>
              <c:f>'09 fevr '!$S$2</c:f>
              <c:strCache>
                <c:ptCount val="1"/>
                <c:pt idx="0">
                  <c:v>Dalle en moulinettte à vue</c:v>
                </c:pt>
              </c:strCache>
            </c:strRef>
          </c:tx>
          <c:spPr>
            <a:solidFill>
              <a:schemeClr val="accent6">
                <a:lumMod val="20000"/>
                <a:lumOff val="80000"/>
              </a:schemeClr>
            </a:solidFill>
          </c:spPr>
          <c:invertIfNegative val="0"/>
          <c:dLbls>
            <c:dLbl>
              <c:idx val="20"/>
              <c:layout/>
              <c:tx>
                <c:rich>
                  <a:bodyPr rot="-5400000" vert="horz"/>
                  <a:lstStyle/>
                  <a:p>
                    <a:pPr>
                      <a:defRPr sz="1000" b="1">
                        <a:solidFill>
                          <a:sysClr val="windowText" lastClr="000000"/>
                        </a:solidFill>
                        <a:latin typeface="+mn-lt"/>
                      </a:defRPr>
                    </a:pPr>
                    <a:r>
                      <a:rPr lang="en-US" sz="1400" b="1">
                        <a:solidFill>
                          <a:sysClr val="windowText" lastClr="000000"/>
                        </a:solidFill>
                        <a:latin typeface="+mn-lt"/>
                      </a:rPr>
                      <a:t>Dalle</a:t>
                    </a:r>
                    <a:r>
                      <a:rPr lang="en-US" sz="1400" b="1" baseline="0">
                        <a:solidFill>
                          <a:sysClr val="windowText" lastClr="000000"/>
                        </a:solidFill>
                        <a:latin typeface="+mn-lt"/>
                      </a:rPr>
                      <a:t> en moulinette </a:t>
                    </a:r>
                    <a:r>
                      <a:rPr lang="en-US" sz="1400" b="1">
                        <a:solidFill>
                          <a:sysClr val="windowText" lastClr="000000"/>
                        </a:solidFill>
                        <a:latin typeface="+mn-lt"/>
                      </a:rPr>
                      <a:t> à vue
5</a:t>
                    </a:r>
                  </a:p>
                </c:rich>
              </c:tx>
              <c:spPr>
                <a:noFill/>
                <a:ln>
                  <a:noFill/>
                </a:ln>
              </c:spPr>
              <c:dLblPos val="ctr"/>
              <c:showLegendKey val="0"/>
              <c:showVal val="1"/>
              <c:showCatName val="0"/>
              <c:showSerName val="1"/>
              <c:showPercent val="0"/>
              <c:showBubbleSize val="0"/>
              <c:separator>
</c:separator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Ref>
              <c:f>'09 fevr '!$D$3:$D$28</c:f>
              <c:strCache>
                <c:ptCount val="26"/>
                <c:pt idx="0">
                  <c:v>9A</c:v>
                </c:pt>
                <c:pt idx="1">
                  <c:v>8C+</c:v>
                </c:pt>
                <c:pt idx="2">
                  <c:v>8C</c:v>
                </c:pt>
                <c:pt idx="3">
                  <c:v>8B+</c:v>
                </c:pt>
                <c:pt idx="4">
                  <c:v>8B</c:v>
                </c:pt>
                <c:pt idx="5">
                  <c:v>8A+</c:v>
                </c:pt>
                <c:pt idx="6">
                  <c:v>8A</c:v>
                </c:pt>
                <c:pt idx="7">
                  <c:v>7C+</c:v>
                </c:pt>
                <c:pt idx="8">
                  <c:v>7C</c:v>
                </c:pt>
                <c:pt idx="9">
                  <c:v>7B+</c:v>
                </c:pt>
                <c:pt idx="10">
                  <c:v>7B</c:v>
                </c:pt>
                <c:pt idx="11">
                  <c:v>7A+</c:v>
                </c:pt>
                <c:pt idx="12">
                  <c:v>7A</c:v>
                </c:pt>
                <c:pt idx="13">
                  <c:v>6C+</c:v>
                </c:pt>
                <c:pt idx="14">
                  <c:v>6C</c:v>
                </c:pt>
                <c:pt idx="15">
                  <c:v>6B+</c:v>
                </c:pt>
                <c:pt idx="16">
                  <c:v>6B</c:v>
                </c:pt>
                <c:pt idx="17">
                  <c:v>6A+</c:v>
                </c:pt>
                <c:pt idx="18">
                  <c:v>6A</c:v>
                </c:pt>
                <c:pt idx="19">
                  <c:v>5C+</c:v>
                </c:pt>
                <c:pt idx="20">
                  <c:v>5C</c:v>
                </c:pt>
                <c:pt idx="21">
                  <c:v>5B+</c:v>
                </c:pt>
                <c:pt idx="22">
                  <c:v>5B</c:v>
                </c:pt>
                <c:pt idx="23">
                  <c:v>5A+</c:v>
                </c:pt>
                <c:pt idx="24">
                  <c:v>5A</c:v>
                </c:pt>
                <c:pt idx="25">
                  <c:v>4</c:v>
                </c:pt>
              </c:strCache>
            </c:strRef>
          </c:cat>
          <c:val>
            <c:numRef>
              <c:f>'09 fevr '!$S$3:$S$28</c:f>
              <c:numCache>
                <c:formatCode>General</c:formatCode>
                <c:ptCount val="26"/>
                <c:pt idx="20">
                  <c:v>5</c:v>
                </c:pt>
              </c:numCache>
            </c:numRef>
          </c:val>
        </c:ser>
        <c:ser>
          <c:idx val="7"/>
          <c:order val="7"/>
          <c:tx>
            <c:strRef>
              <c:f>'09 fevr '!$U$2</c:f>
              <c:strCache>
                <c:ptCount val="1"/>
                <c:pt idx="0">
                  <c:v>Dalle en moulinette en travail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</c:spPr>
          <c:invertIfNegative val="0"/>
          <c:cat>
            <c:strRef>
              <c:f>'09 fevr '!$D$3:$D$28</c:f>
              <c:strCache>
                <c:ptCount val="26"/>
                <c:pt idx="0">
                  <c:v>9A</c:v>
                </c:pt>
                <c:pt idx="1">
                  <c:v>8C+</c:v>
                </c:pt>
                <c:pt idx="2">
                  <c:v>8C</c:v>
                </c:pt>
                <c:pt idx="3">
                  <c:v>8B+</c:v>
                </c:pt>
                <c:pt idx="4">
                  <c:v>8B</c:v>
                </c:pt>
                <c:pt idx="5">
                  <c:v>8A+</c:v>
                </c:pt>
                <c:pt idx="6">
                  <c:v>8A</c:v>
                </c:pt>
                <c:pt idx="7">
                  <c:v>7C+</c:v>
                </c:pt>
                <c:pt idx="8">
                  <c:v>7C</c:v>
                </c:pt>
                <c:pt idx="9">
                  <c:v>7B+</c:v>
                </c:pt>
                <c:pt idx="10">
                  <c:v>7B</c:v>
                </c:pt>
                <c:pt idx="11">
                  <c:v>7A+</c:v>
                </c:pt>
                <c:pt idx="12">
                  <c:v>7A</c:v>
                </c:pt>
                <c:pt idx="13">
                  <c:v>6C+</c:v>
                </c:pt>
                <c:pt idx="14">
                  <c:v>6C</c:v>
                </c:pt>
                <c:pt idx="15">
                  <c:v>6B+</c:v>
                </c:pt>
                <c:pt idx="16">
                  <c:v>6B</c:v>
                </c:pt>
                <c:pt idx="17">
                  <c:v>6A+</c:v>
                </c:pt>
                <c:pt idx="18">
                  <c:v>6A</c:v>
                </c:pt>
                <c:pt idx="19">
                  <c:v>5C+</c:v>
                </c:pt>
                <c:pt idx="20">
                  <c:v>5C</c:v>
                </c:pt>
                <c:pt idx="21">
                  <c:v>5B+</c:v>
                </c:pt>
                <c:pt idx="22">
                  <c:v>5B</c:v>
                </c:pt>
                <c:pt idx="23">
                  <c:v>5A+</c:v>
                </c:pt>
                <c:pt idx="24">
                  <c:v>5A</c:v>
                </c:pt>
                <c:pt idx="25">
                  <c:v>4</c:v>
                </c:pt>
              </c:strCache>
            </c:strRef>
          </c:cat>
          <c:val>
            <c:numRef>
              <c:f>'09 fevr '!$U$3:$U$28</c:f>
              <c:numCache>
                <c:formatCode>General</c:formatCode>
                <c:ptCount val="26"/>
              </c:numCache>
            </c:numRef>
          </c:val>
        </c:ser>
        <c:ser>
          <c:idx val="8"/>
          <c:order val="8"/>
          <c:tx>
            <c:strRef>
              <c:f>'09 fevr '!$W$2</c:f>
              <c:strCache>
                <c:ptCount val="1"/>
                <c:pt idx="0">
                  <c:v>Dalle en moulinette après travail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</c:spPr>
          <c:invertIfNegative val="0"/>
          <c:cat>
            <c:strRef>
              <c:f>'09 fevr '!$D$3:$D$28</c:f>
              <c:strCache>
                <c:ptCount val="26"/>
                <c:pt idx="0">
                  <c:v>9A</c:v>
                </c:pt>
                <c:pt idx="1">
                  <c:v>8C+</c:v>
                </c:pt>
                <c:pt idx="2">
                  <c:v>8C</c:v>
                </c:pt>
                <c:pt idx="3">
                  <c:v>8B+</c:v>
                </c:pt>
                <c:pt idx="4">
                  <c:v>8B</c:v>
                </c:pt>
                <c:pt idx="5">
                  <c:v>8A+</c:v>
                </c:pt>
                <c:pt idx="6">
                  <c:v>8A</c:v>
                </c:pt>
                <c:pt idx="7">
                  <c:v>7C+</c:v>
                </c:pt>
                <c:pt idx="8">
                  <c:v>7C</c:v>
                </c:pt>
                <c:pt idx="9">
                  <c:v>7B+</c:v>
                </c:pt>
                <c:pt idx="10">
                  <c:v>7B</c:v>
                </c:pt>
                <c:pt idx="11">
                  <c:v>7A+</c:v>
                </c:pt>
                <c:pt idx="12">
                  <c:v>7A</c:v>
                </c:pt>
                <c:pt idx="13">
                  <c:v>6C+</c:v>
                </c:pt>
                <c:pt idx="14">
                  <c:v>6C</c:v>
                </c:pt>
                <c:pt idx="15">
                  <c:v>6B+</c:v>
                </c:pt>
                <c:pt idx="16">
                  <c:v>6B</c:v>
                </c:pt>
                <c:pt idx="17">
                  <c:v>6A+</c:v>
                </c:pt>
                <c:pt idx="18">
                  <c:v>6A</c:v>
                </c:pt>
                <c:pt idx="19">
                  <c:v>5C+</c:v>
                </c:pt>
                <c:pt idx="20">
                  <c:v>5C</c:v>
                </c:pt>
                <c:pt idx="21">
                  <c:v>5B+</c:v>
                </c:pt>
                <c:pt idx="22">
                  <c:v>5B</c:v>
                </c:pt>
                <c:pt idx="23">
                  <c:v>5A+</c:v>
                </c:pt>
                <c:pt idx="24">
                  <c:v>5A</c:v>
                </c:pt>
                <c:pt idx="25">
                  <c:v>4</c:v>
                </c:pt>
              </c:strCache>
            </c:strRef>
          </c:cat>
          <c:val>
            <c:numRef>
              <c:f>'09 fevr '!$W$3:$W$28</c:f>
              <c:numCache>
                <c:formatCode>General</c:formatCode>
                <c:ptCount val="26"/>
              </c:numCache>
            </c:numRef>
          </c:val>
        </c:ser>
        <c:ser>
          <c:idx val="9"/>
          <c:order val="9"/>
          <c:tx>
            <c:strRef>
              <c:f>'09 fevr '!$Y$2</c:f>
              <c:strCache>
                <c:ptCount val="1"/>
                <c:pt idx="0">
                  <c:v>Dalle en tête à vue</c:v>
                </c:pt>
              </c:strCache>
            </c:strRef>
          </c:tx>
          <c:spPr>
            <a:solidFill>
              <a:schemeClr val="accent6"/>
            </a:solidFill>
          </c:spPr>
          <c:invertIfNegative val="0"/>
          <c:cat>
            <c:strRef>
              <c:f>'09 fevr '!$D$3:$D$28</c:f>
              <c:strCache>
                <c:ptCount val="26"/>
                <c:pt idx="0">
                  <c:v>9A</c:v>
                </c:pt>
                <c:pt idx="1">
                  <c:v>8C+</c:v>
                </c:pt>
                <c:pt idx="2">
                  <c:v>8C</c:v>
                </c:pt>
                <c:pt idx="3">
                  <c:v>8B+</c:v>
                </c:pt>
                <c:pt idx="4">
                  <c:v>8B</c:v>
                </c:pt>
                <c:pt idx="5">
                  <c:v>8A+</c:v>
                </c:pt>
                <c:pt idx="6">
                  <c:v>8A</c:v>
                </c:pt>
                <c:pt idx="7">
                  <c:v>7C+</c:v>
                </c:pt>
                <c:pt idx="8">
                  <c:v>7C</c:v>
                </c:pt>
                <c:pt idx="9">
                  <c:v>7B+</c:v>
                </c:pt>
                <c:pt idx="10">
                  <c:v>7B</c:v>
                </c:pt>
                <c:pt idx="11">
                  <c:v>7A+</c:v>
                </c:pt>
                <c:pt idx="12">
                  <c:v>7A</c:v>
                </c:pt>
                <c:pt idx="13">
                  <c:v>6C+</c:v>
                </c:pt>
                <c:pt idx="14">
                  <c:v>6C</c:v>
                </c:pt>
                <c:pt idx="15">
                  <c:v>6B+</c:v>
                </c:pt>
                <c:pt idx="16">
                  <c:v>6B</c:v>
                </c:pt>
                <c:pt idx="17">
                  <c:v>6A+</c:v>
                </c:pt>
                <c:pt idx="18">
                  <c:v>6A</c:v>
                </c:pt>
                <c:pt idx="19">
                  <c:v>5C+</c:v>
                </c:pt>
                <c:pt idx="20">
                  <c:v>5C</c:v>
                </c:pt>
                <c:pt idx="21">
                  <c:v>5B+</c:v>
                </c:pt>
                <c:pt idx="22">
                  <c:v>5B</c:v>
                </c:pt>
                <c:pt idx="23">
                  <c:v>5A+</c:v>
                </c:pt>
                <c:pt idx="24">
                  <c:v>5A</c:v>
                </c:pt>
                <c:pt idx="25">
                  <c:v>4</c:v>
                </c:pt>
              </c:strCache>
            </c:strRef>
          </c:cat>
          <c:val>
            <c:numRef>
              <c:f>'09 fevr '!$Y$3:$Y$28</c:f>
              <c:numCache>
                <c:formatCode>General</c:formatCode>
                <c:ptCount val="26"/>
              </c:numCache>
            </c:numRef>
          </c:val>
        </c:ser>
        <c:ser>
          <c:idx val="10"/>
          <c:order val="10"/>
          <c:tx>
            <c:strRef>
              <c:f>'09 fevr '!$AA$2</c:f>
              <c:strCache>
                <c:ptCount val="1"/>
                <c:pt idx="0">
                  <c:v>Dalle en tête en travail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invertIfNegative val="0"/>
          <c:cat>
            <c:strRef>
              <c:f>'09 fevr '!$D$3:$D$28</c:f>
              <c:strCache>
                <c:ptCount val="26"/>
                <c:pt idx="0">
                  <c:v>9A</c:v>
                </c:pt>
                <c:pt idx="1">
                  <c:v>8C+</c:v>
                </c:pt>
                <c:pt idx="2">
                  <c:v>8C</c:v>
                </c:pt>
                <c:pt idx="3">
                  <c:v>8B+</c:v>
                </c:pt>
                <c:pt idx="4">
                  <c:v>8B</c:v>
                </c:pt>
                <c:pt idx="5">
                  <c:v>8A+</c:v>
                </c:pt>
                <c:pt idx="6">
                  <c:v>8A</c:v>
                </c:pt>
                <c:pt idx="7">
                  <c:v>7C+</c:v>
                </c:pt>
                <c:pt idx="8">
                  <c:v>7C</c:v>
                </c:pt>
                <c:pt idx="9">
                  <c:v>7B+</c:v>
                </c:pt>
                <c:pt idx="10">
                  <c:v>7B</c:v>
                </c:pt>
                <c:pt idx="11">
                  <c:v>7A+</c:v>
                </c:pt>
                <c:pt idx="12">
                  <c:v>7A</c:v>
                </c:pt>
                <c:pt idx="13">
                  <c:v>6C+</c:v>
                </c:pt>
                <c:pt idx="14">
                  <c:v>6C</c:v>
                </c:pt>
                <c:pt idx="15">
                  <c:v>6B+</c:v>
                </c:pt>
                <c:pt idx="16">
                  <c:v>6B</c:v>
                </c:pt>
                <c:pt idx="17">
                  <c:v>6A+</c:v>
                </c:pt>
                <c:pt idx="18">
                  <c:v>6A</c:v>
                </c:pt>
                <c:pt idx="19">
                  <c:v>5C+</c:v>
                </c:pt>
                <c:pt idx="20">
                  <c:v>5C</c:v>
                </c:pt>
                <c:pt idx="21">
                  <c:v>5B+</c:v>
                </c:pt>
                <c:pt idx="22">
                  <c:v>5B</c:v>
                </c:pt>
                <c:pt idx="23">
                  <c:v>5A+</c:v>
                </c:pt>
                <c:pt idx="24">
                  <c:v>5A</c:v>
                </c:pt>
                <c:pt idx="25">
                  <c:v>4</c:v>
                </c:pt>
              </c:strCache>
            </c:strRef>
          </c:cat>
          <c:val>
            <c:numRef>
              <c:f>'09 fevr '!$AA$3:$AA$28</c:f>
              <c:numCache>
                <c:formatCode>General</c:formatCode>
                <c:ptCount val="26"/>
              </c:numCache>
            </c:numRef>
          </c:val>
        </c:ser>
        <c:ser>
          <c:idx val="11"/>
          <c:order val="11"/>
          <c:tx>
            <c:strRef>
              <c:f>'09 fevr '!$AC$2</c:f>
              <c:strCache>
                <c:ptCount val="1"/>
                <c:pt idx="0">
                  <c:v>Dalle en tête après travail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</c:spPr>
          <c:invertIfNegative val="0"/>
          <c:cat>
            <c:strRef>
              <c:f>'09 fevr '!$D$3:$D$28</c:f>
              <c:strCache>
                <c:ptCount val="26"/>
                <c:pt idx="0">
                  <c:v>9A</c:v>
                </c:pt>
                <c:pt idx="1">
                  <c:v>8C+</c:v>
                </c:pt>
                <c:pt idx="2">
                  <c:v>8C</c:v>
                </c:pt>
                <c:pt idx="3">
                  <c:v>8B+</c:v>
                </c:pt>
                <c:pt idx="4">
                  <c:v>8B</c:v>
                </c:pt>
                <c:pt idx="5">
                  <c:v>8A+</c:v>
                </c:pt>
                <c:pt idx="6">
                  <c:v>8A</c:v>
                </c:pt>
                <c:pt idx="7">
                  <c:v>7C+</c:v>
                </c:pt>
                <c:pt idx="8">
                  <c:v>7C</c:v>
                </c:pt>
                <c:pt idx="9">
                  <c:v>7B+</c:v>
                </c:pt>
                <c:pt idx="10">
                  <c:v>7B</c:v>
                </c:pt>
                <c:pt idx="11">
                  <c:v>7A+</c:v>
                </c:pt>
                <c:pt idx="12">
                  <c:v>7A</c:v>
                </c:pt>
                <c:pt idx="13">
                  <c:v>6C+</c:v>
                </c:pt>
                <c:pt idx="14">
                  <c:v>6C</c:v>
                </c:pt>
                <c:pt idx="15">
                  <c:v>6B+</c:v>
                </c:pt>
                <c:pt idx="16">
                  <c:v>6B</c:v>
                </c:pt>
                <c:pt idx="17">
                  <c:v>6A+</c:v>
                </c:pt>
                <c:pt idx="18">
                  <c:v>6A</c:v>
                </c:pt>
                <c:pt idx="19">
                  <c:v>5C+</c:v>
                </c:pt>
                <c:pt idx="20">
                  <c:v>5C</c:v>
                </c:pt>
                <c:pt idx="21">
                  <c:v>5B+</c:v>
                </c:pt>
                <c:pt idx="22">
                  <c:v>5B</c:v>
                </c:pt>
                <c:pt idx="23">
                  <c:v>5A+</c:v>
                </c:pt>
                <c:pt idx="24">
                  <c:v>5A</c:v>
                </c:pt>
                <c:pt idx="25">
                  <c:v>4</c:v>
                </c:pt>
              </c:strCache>
            </c:strRef>
          </c:cat>
          <c:val>
            <c:numRef>
              <c:f>'09 fevr '!$AC$3:$AC$28</c:f>
              <c:numCache>
                <c:formatCode>General</c:formatCode>
                <c:ptCount val="26"/>
              </c:numCache>
            </c:numRef>
          </c:val>
        </c:ser>
        <c:ser>
          <c:idx val="12"/>
          <c:order val="12"/>
          <c:tx>
            <c:strRef>
              <c:f>'09 fevr '!$AG$2</c:f>
              <c:strCache>
                <c:ptCount val="1"/>
                <c:pt idx="0">
                  <c:v>Mur droit en moulinette à vue</c:v>
                </c:pt>
              </c:strCache>
            </c:strRef>
          </c:tx>
          <c:spPr>
            <a:solidFill>
              <a:schemeClr val="accent3">
                <a:lumMod val="20000"/>
                <a:lumOff val="80000"/>
              </a:schemeClr>
            </a:solidFill>
          </c:spPr>
          <c:invertIfNegative val="0"/>
          <c:cat>
            <c:strRef>
              <c:f>'09 fevr '!$D$3:$D$28</c:f>
              <c:strCache>
                <c:ptCount val="26"/>
                <c:pt idx="0">
                  <c:v>9A</c:v>
                </c:pt>
                <c:pt idx="1">
                  <c:v>8C+</c:v>
                </c:pt>
                <c:pt idx="2">
                  <c:v>8C</c:v>
                </c:pt>
                <c:pt idx="3">
                  <c:v>8B+</c:v>
                </c:pt>
                <c:pt idx="4">
                  <c:v>8B</c:v>
                </c:pt>
                <c:pt idx="5">
                  <c:v>8A+</c:v>
                </c:pt>
                <c:pt idx="6">
                  <c:v>8A</c:v>
                </c:pt>
                <c:pt idx="7">
                  <c:v>7C+</c:v>
                </c:pt>
                <c:pt idx="8">
                  <c:v>7C</c:v>
                </c:pt>
                <c:pt idx="9">
                  <c:v>7B+</c:v>
                </c:pt>
                <c:pt idx="10">
                  <c:v>7B</c:v>
                </c:pt>
                <c:pt idx="11">
                  <c:v>7A+</c:v>
                </c:pt>
                <c:pt idx="12">
                  <c:v>7A</c:v>
                </c:pt>
                <c:pt idx="13">
                  <c:v>6C+</c:v>
                </c:pt>
                <c:pt idx="14">
                  <c:v>6C</c:v>
                </c:pt>
                <c:pt idx="15">
                  <c:v>6B+</c:v>
                </c:pt>
                <c:pt idx="16">
                  <c:v>6B</c:v>
                </c:pt>
                <c:pt idx="17">
                  <c:v>6A+</c:v>
                </c:pt>
                <c:pt idx="18">
                  <c:v>6A</c:v>
                </c:pt>
                <c:pt idx="19">
                  <c:v>5C+</c:v>
                </c:pt>
                <c:pt idx="20">
                  <c:v>5C</c:v>
                </c:pt>
                <c:pt idx="21">
                  <c:v>5B+</c:v>
                </c:pt>
                <c:pt idx="22">
                  <c:v>5B</c:v>
                </c:pt>
                <c:pt idx="23">
                  <c:v>5A+</c:v>
                </c:pt>
                <c:pt idx="24">
                  <c:v>5A</c:v>
                </c:pt>
                <c:pt idx="25">
                  <c:v>4</c:v>
                </c:pt>
              </c:strCache>
            </c:strRef>
          </c:cat>
          <c:val>
            <c:numRef>
              <c:f>'09 fevr '!$AG$3:$AG$28</c:f>
              <c:numCache>
                <c:formatCode>General</c:formatCode>
                <c:ptCount val="26"/>
              </c:numCache>
            </c:numRef>
          </c:val>
        </c:ser>
        <c:ser>
          <c:idx val="13"/>
          <c:order val="13"/>
          <c:tx>
            <c:strRef>
              <c:f>'09 fevr '!$AI$2</c:f>
              <c:strCache>
                <c:ptCount val="1"/>
                <c:pt idx="0">
                  <c:v>Mur droit en moul. en travail</c:v>
                </c:pt>
              </c:strCache>
            </c:strRef>
          </c:tx>
          <c:spPr>
            <a:solidFill>
              <a:schemeClr val="accent3">
                <a:lumMod val="40000"/>
                <a:lumOff val="60000"/>
              </a:schemeClr>
            </a:solidFill>
          </c:spPr>
          <c:invertIfNegative val="0"/>
          <c:cat>
            <c:strRef>
              <c:f>'09 fevr '!$D$3:$D$28</c:f>
              <c:strCache>
                <c:ptCount val="26"/>
                <c:pt idx="0">
                  <c:v>9A</c:v>
                </c:pt>
                <c:pt idx="1">
                  <c:v>8C+</c:v>
                </c:pt>
                <c:pt idx="2">
                  <c:v>8C</c:v>
                </c:pt>
                <c:pt idx="3">
                  <c:v>8B+</c:v>
                </c:pt>
                <c:pt idx="4">
                  <c:v>8B</c:v>
                </c:pt>
                <c:pt idx="5">
                  <c:v>8A+</c:v>
                </c:pt>
                <c:pt idx="6">
                  <c:v>8A</c:v>
                </c:pt>
                <c:pt idx="7">
                  <c:v>7C+</c:v>
                </c:pt>
                <c:pt idx="8">
                  <c:v>7C</c:v>
                </c:pt>
                <c:pt idx="9">
                  <c:v>7B+</c:v>
                </c:pt>
                <c:pt idx="10">
                  <c:v>7B</c:v>
                </c:pt>
                <c:pt idx="11">
                  <c:v>7A+</c:v>
                </c:pt>
                <c:pt idx="12">
                  <c:v>7A</c:v>
                </c:pt>
                <c:pt idx="13">
                  <c:v>6C+</c:v>
                </c:pt>
                <c:pt idx="14">
                  <c:v>6C</c:v>
                </c:pt>
                <c:pt idx="15">
                  <c:v>6B+</c:v>
                </c:pt>
                <c:pt idx="16">
                  <c:v>6B</c:v>
                </c:pt>
                <c:pt idx="17">
                  <c:v>6A+</c:v>
                </c:pt>
                <c:pt idx="18">
                  <c:v>6A</c:v>
                </c:pt>
                <c:pt idx="19">
                  <c:v>5C+</c:v>
                </c:pt>
                <c:pt idx="20">
                  <c:v>5C</c:v>
                </c:pt>
                <c:pt idx="21">
                  <c:v>5B+</c:v>
                </c:pt>
                <c:pt idx="22">
                  <c:v>5B</c:v>
                </c:pt>
                <c:pt idx="23">
                  <c:v>5A+</c:v>
                </c:pt>
                <c:pt idx="24">
                  <c:v>5A</c:v>
                </c:pt>
                <c:pt idx="25">
                  <c:v>4</c:v>
                </c:pt>
              </c:strCache>
            </c:strRef>
          </c:cat>
          <c:val>
            <c:numRef>
              <c:f>'09 fevr '!$AI$3:$AI$28</c:f>
              <c:numCache>
                <c:formatCode>General</c:formatCode>
                <c:ptCount val="26"/>
              </c:numCache>
            </c:numRef>
          </c:val>
        </c:ser>
        <c:ser>
          <c:idx val="14"/>
          <c:order val="14"/>
          <c:tx>
            <c:strRef>
              <c:f>'09 fevr '!$AK$2</c:f>
              <c:strCache>
                <c:ptCount val="1"/>
                <c:pt idx="0">
                  <c:v>Mur droit en moul. après travail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</c:spPr>
          <c:invertIfNegative val="0"/>
          <c:dLbls>
            <c:dLbl>
              <c:idx val="17"/>
              <c:tx>
                <c:rich>
                  <a:bodyPr/>
                  <a:lstStyle/>
                  <a:p>
                    <a:r>
                      <a:rPr lang="en-US"/>
                      <a:t>Mur droit</a:t>
                    </a:r>
                  </a:p>
                  <a:p>
                    <a:r>
                      <a:rPr lang="en-US"/>
                      <a:t>  moul.</a:t>
                    </a:r>
                  </a:p>
                  <a:p>
                    <a:r>
                      <a:rPr lang="en-US"/>
                      <a:t> après travail; 5</a:t>
                    </a:r>
                  </a:p>
                </c:rich>
              </c:tx>
              <c:showLegendKey val="0"/>
              <c:showVal val="1"/>
              <c:showCatName val="0"/>
              <c:showSerName val="1"/>
              <c:showPercent val="0"/>
              <c:showBubbleSize val="0"/>
              <c:separator>
</c:separator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'09 fevr '!$D$3:$D$28</c:f>
              <c:strCache>
                <c:ptCount val="26"/>
                <c:pt idx="0">
                  <c:v>9A</c:v>
                </c:pt>
                <c:pt idx="1">
                  <c:v>8C+</c:v>
                </c:pt>
                <c:pt idx="2">
                  <c:v>8C</c:v>
                </c:pt>
                <c:pt idx="3">
                  <c:v>8B+</c:v>
                </c:pt>
                <c:pt idx="4">
                  <c:v>8B</c:v>
                </c:pt>
                <c:pt idx="5">
                  <c:v>8A+</c:v>
                </c:pt>
                <c:pt idx="6">
                  <c:v>8A</c:v>
                </c:pt>
                <c:pt idx="7">
                  <c:v>7C+</c:v>
                </c:pt>
                <c:pt idx="8">
                  <c:v>7C</c:v>
                </c:pt>
                <c:pt idx="9">
                  <c:v>7B+</c:v>
                </c:pt>
                <c:pt idx="10">
                  <c:v>7B</c:v>
                </c:pt>
                <c:pt idx="11">
                  <c:v>7A+</c:v>
                </c:pt>
                <c:pt idx="12">
                  <c:v>7A</c:v>
                </c:pt>
                <c:pt idx="13">
                  <c:v>6C+</c:v>
                </c:pt>
                <c:pt idx="14">
                  <c:v>6C</c:v>
                </c:pt>
                <c:pt idx="15">
                  <c:v>6B+</c:v>
                </c:pt>
                <c:pt idx="16">
                  <c:v>6B</c:v>
                </c:pt>
                <c:pt idx="17">
                  <c:v>6A+</c:v>
                </c:pt>
                <c:pt idx="18">
                  <c:v>6A</c:v>
                </c:pt>
                <c:pt idx="19">
                  <c:v>5C+</c:v>
                </c:pt>
                <c:pt idx="20">
                  <c:v>5C</c:v>
                </c:pt>
                <c:pt idx="21">
                  <c:v>5B+</c:v>
                </c:pt>
                <c:pt idx="22">
                  <c:v>5B</c:v>
                </c:pt>
                <c:pt idx="23">
                  <c:v>5A+</c:v>
                </c:pt>
                <c:pt idx="24">
                  <c:v>5A</c:v>
                </c:pt>
                <c:pt idx="25">
                  <c:v>4</c:v>
                </c:pt>
              </c:strCache>
            </c:strRef>
          </c:cat>
          <c:val>
            <c:numRef>
              <c:f>'09 fevr '!$AK$3:$AK$28</c:f>
              <c:numCache>
                <c:formatCode>General</c:formatCode>
                <c:ptCount val="26"/>
              </c:numCache>
            </c:numRef>
          </c:val>
        </c:ser>
        <c:ser>
          <c:idx val="15"/>
          <c:order val="15"/>
          <c:tx>
            <c:strRef>
              <c:f>'09 fevr '!$AM$2</c:f>
              <c:strCache>
                <c:ptCount val="1"/>
                <c:pt idx="0">
                  <c:v>Mur droit en tête à vue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cat>
            <c:strRef>
              <c:f>'09 fevr '!$D$3:$D$28</c:f>
              <c:strCache>
                <c:ptCount val="26"/>
                <c:pt idx="0">
                  <c:v>9A</c:v>
                </c:pt>
                <c:pt idx="1">
                  <c:v>8C+</c:v>
                </c:pt>
                <c:pt idx="2">
                  <c:v>8C</c:v>
                </c:pt>
                <c:pt idx="3">
                  <c:v>8B+</c:v>
                </c:pt>
                <c:pt idx="4">
                  <c:v>8B</c:v>
                </c:pt>
                <c:pt idx="5">
                  <c:v>8A+</c:v>
                </c:pt>
                <c:pt idx="6">
                  <c:v>8A</c:v>
                </c:pt>
                <c:pt idx="7">
                  <c:v>7C+</c:v>
                </c:pt>
                <c:pt idx="8">
                  <c:v>7C</c:v>
                </c:pt>
                <c:pt idx="9">
                  <c:v>7B+</c:v>
                </c:pt>
                <c:pt idx="10">
                  <c:v>7B</c:v>
                </c:pt>
                <c:pt idx="11">
                  <c:v>7A+</c:v>
                </c:pt>
                <c:pt idx="12">
                  <c:v>7A</c:v>
                </c:pt>
                <c:pt idx="13">
                  <c:v>6C+</c:v>
                </c:pt>
                <c:pt idx="14">
                  <c:v>6C</c:v>
                </c:pt>
                <c:pt idx="15">
                  <c:v>6B+</c:v>
                </c:pt>
                <c:pt idx="16">
                  <c:v>6B</c:v>
                </c:pt>
                <c:pt idx="17">
                  <c:v>6A+</c:v>
                </c:pt>
                <c:pt idx="18">
                  <c:v>6A</c:v>
                </c:pt>
                <c:pt idx="19">
                  <c:v>5C+</c:v>
                </c:pt>
                <c:pt idx="20">
                  <c:v>5C</c:v>
                </c:pt>
                <c:pt idx="21">
                  <c:v>5B+</c:v>
                </c:pt>
                <c:pt idx="22">
                  <c:v>5B</c:v>
                </c:pt>
                <c:pt idx="23">
                  <c:v>5A+</c:v>
                </c:pt>
                <c:pt idx="24">
                  <c:v>5A</c:v>
                </c:pt>
                <c:pt idx="25">
                  <c:v>4</c:v>
                </c:pt>
              </c:strCache>
            </c:strRef>
          </c:cat>
          <c:val>
            <c:numRef>
              <c:f>'09 fevr '!$AM$3:$AM$28</c:f>
              <c:numCache>
                <c:formatCode>General</c:formatCode>
                <c:ptCount val="26"/>
              </c:numCache>
            </c:numRef>
          </c:val>
        </c:ser>
        <c:ser>
          <c:idx val="16"/>
          <c:order val="16"/>
          <c:tx>
            <c:strRef>
              <c:f>'09 fevr '!$AO$2</c:f>
              <c:strCache>
                <c:ptCount val="1"/>
                <c:pt idx="0">
                  <c:v>Mur droit en tête en travail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cat>
            <c:strRef>
              <c:f>'09 fevr '!$D$3:$D$28</c:f>
              <c:strCache>
                <c:ptCount val="26"/>
                <c:pt idx="0">
                  <c:v>9A</c:v>
                </c:pt>
                <c:pt idx="1">
                  <c:v>8C+</c:v>
                </c:pt>
                <c:pt idx="2">
                  <c:v>8C</c:v>
                </c:pt>
                <c:pt idx="3">
                  <c:v>8B+</c:v>
                </c:pt>
                <c:pt idx="4">
                  <c:v>8B</c:v>
                </c:pt>
                <c:pt idx="5">
                  <c:v>8A+</c:v>
                </c:pt>
                <c:pt idx="6">
                  <c:v>8A</c:v>
                </c:pt>
                <c:pt idx="7">
                  <c:v>7C+</c:v>
                </c:pt>
                <c:pt idx="8">
                  <c:v>7C</c:v>
                </c:pt>
                <c:pt idx="9">
                  <c:v>7B+</c:v>
                </c:pt>
                <c:pt idx="10">
                  <c:v>7B</c:v>
                </c:pt>
                <c:pt idx="11">
                  <c:v>7A+</c:v>
                </c:pt>
                <c:pt idx="12">
                  <c:v>7A</c:v>
                </c:pt>
                <c:pt idx="13">
                  <c:v>6C+</c:v>
                </c:pt>
                <c:pt idx="14">
                  <c:v>6C</c:v>
                </c:pt>
                <c:pt idx="15">
                  <c:v>6B+</c:v>
                </c:pt>
                <c:pt idx="16">
                  <c:v>6B</c:v>
                </c:pt>
                <c:pt idx="17">
                  <c:v>6A+</c:v>
                </c:pt>
                <c:pt idx="18">
                  <c:v>6A</c:v>
                </c:pt>
                <c:pt idx="19">
                  <c:v>5C+</c:v>
                </c:pt>
                <c:pt idx="20">
                  <c:v>5C</c:v>
                </c:pt>
                <c:pt idx="21">
                  <c:v>5B+</c:v>
                </c:pt>
                <c:pt idx="22">
                  <c:v>5B</c:v>
                </c:pt>
                <c:pt idx="23">
                  <c:v>5A+</c:v>
                </c:pt>
                <c:pt idx="24">
                  <c:v>5A</c:v>
                </c:pt>
                <c:pt idx="25">
                  <c:v>4</c:v>
                </c:pt>
              </c:strCache>
            </c:strRef>
          </c:cat>
          <c:val>
            <c:numRef>
              <c:f>'09 fevr '!$AO$3:$AO$28</c:f>
              <c:numCache>
                <c:formatCode>General</c:formatCode>
                <c:ptCount val="26"/>
              </c:numCache>
            </c:numRef>
          </c:val>
        </c:ser>
        <c:ser>
          <c:idx val="17"/>
          <c:order val="17"/>
          <c:tx>
            <c:strRef>
              <c:f>'09 fevr '!$AQ$2</c:f>
              <c:strCache>
                <c:ptCount val="1"/>
                <c:pt idx="0">
                  <c:v>Mur droit en tête après travail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</c:spPr>
          <c:invertIfNegative val="0"/>
          <c:cat>
            <c:strRef>
              <c:f>'09 fevr '!$D$3:$D$28</c:f>
              <c:strCache>
                <c:ptCount val="26"/>
                <c:pt idx="0">
                  <c:v>9A</c:v>
                </c:pt>
                <c:pt idx="1">
                  <c:v>8C+</c:v>
                </c:pt>
                <c:pt idx="2">
                  <c:v>8C</c:v>
                </c:pt>
                <c:pt idx="3">
                  <c:v>8B+</c:v>
                </c:pt>
                <c:pt idx="4">
                  <c:v>8B</c:v>
                </c:pt>
                <c:pt idx="5">
                  <c:v>8A+</c:v>
                </c:pt>
                <c:pt idx="6">
                  <c:v>8A</c:v>
                </c:pt>
                <c:pt idx="7">
                  <c:v>7C+</c:v>
                </c:pt>
                <c:pt idx="8">
                  <c:v>7C</c:v>
                </c:pt>
                <c:pt idx="9">
                  <c:v>7B+</c:v>
                </c:pt>
                <c:pt idx="10">
                  <c:v>7B</c:v>
                </c:pt>
                <c:pt idx="11">
                  <c:v>7A+</c:v>
                </c:pt>
                <c:pt idx="12">
                  <c:v>7A</c:v>
                </c:pt>
                <c:pt idx="13">
                  <c:v>6C+</c:v>
                </c:pt>
                <c:pt idx="14">
                  <c:v>6C</c:v>
                </c:pt>
                <c:pt idx="15">
                  <c:v>6B+</c:v>
                </c:pt>
                <c:pt idx="16">
                  <c:v>6B</c:v>
                </c:pt>
                <c:pt idx="17">
                  <c:v>6A+</c:v>
                </c:pt>
                <c:pt idx="18">
                  <c:v>6A</c:v>
                </c:pt>
                <c:pt idx="19">
                  <c:v>5C+</c:v>
                </c:pt>
                <c:pt idx="20">
                  <c:v>5C</c:v>
                </c:pt>
                <c:pt idx="21">
                  <c:v>5B+</c:v>
                </c:pt>
                <c:pt idx="22">
                  <c:v>5B</c:v>
                </c:pt>
                <c:pt idx="23">
                  <c:v>5A+</c:v>
                </c:pt>
                <c:pt idx="24">
                  <c:v>5A</c:v>
                </c:pt>
                <c:pt idx="25">
                  <c:v>4</c:v>
                </c:pt>
              </c:strCache>
            </c:strRef>
          </c:cat>
          <c:val>
            <c:numRef>
              <c:f>'09 fevr '!$AQ$3:$AQ$28</c:f>
              <c:numCache>
                <c:formatCode>General</c:formatCode>
                <c:ptCount val="26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"/>
        <c:overlap val="100"/>
        <c:axId val="196717952"/>
        <c:axId val="196555904"/>
      </c:barChart>
      <c:catAx>
        <c:axId val="196717952"/>
        <c:scaling>
          <c:orientation val="maxMin"/>
        </c:scaling>
        <c:delete val="0"/>
        <c:axPos val="b"/>
        <c:majorTickMark val="out"/>
        <c:minorTickMark val="none"/>
        <c:tickLblPos val="nextTo"/>
        <c:crossAx val="196555904"/>
        <c:crosses val="autoZero"/>
        <c:auto val="1"/>
        <c:lblAlgn val="ctr"/>
        <c:lblOffset val="100"/>
        <c:noMultiLvlLbl val="0"/>
      </c:catAx>
      <c:valAx>
        <c:axId val="196555904"/>
        <c:scaling>
          <c:orientation val="minMax"/>
        </c:scaling>
        <c:delete val="0"/>
        <c:axPos val="r"/>
        <c:majorGridlines/>
        <c:numFmt formatCode="General" sourceLinked="1"/>
        <c:majorTickMark val="out"/>
        <c:minorTickMark val="none"/>
        <c:tickLblPos val="nextTo"/>
        <c:crossAx val="196717952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0.1195899593156792"/>
          <c:y val="0.78223628867626815"/>
          <c:w val="0.69380793351599634"/>
          <c:h val="0.20711934734682949"/>
        </c:manualLayout>
      </c:layout>
      <c:overlay val="0"/>
      <c:txPr>
        <a:bodyPr/>
        <a:lstStyle/>
        <a:p>
          <a:pPr>
            <a:defRPr sz="1400" baseline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010386867322057E-2"/>
          <c:y val="6.991907261592302E-2"/>
          <c:w val="0.81673242323999451"/>
          <c:h val="0.79822506561679785"/>
        </c:manualLayout>
      </c:layout>
      <c:lineChart>
        <c:grouping val="standard"/>
        <c:varyColors val="0"/>
        <c:ser>
          <c:idx val="2"/>
          <c:order val="0"/>
          <c:cat>
            <c:strRef>
              <c:f>Feuil3!$B$1:$C$1</c:f>
              <c:strCache>
                <c:ptCount val="2"/>
                <c:pt idx="0">
                  <c:v>10-févr</c:v>
                </c:pt>
                <c:pt idx="1">
                  <c:v>13-févr</c:v>
                </c:pt>
              </c:strCache>
            </c:strRef>
          </c:cat>
          <c:val>
            <c:numRef>
              <c:f>Feuil3!$B$2:$C$2</c:f>
              <c:numCache>
                <c:formatCode>General</c:formatCode>
                <c:ptCount val="2"/>
                <c:pt idx="0">
                  <c:v>9</c:v>
                </c:pt>
                <c:pt idx="1">
                  <c:v>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256128"/>
        <c:axId val="198257664"/>
      </c:lineChart>
      <c:catAx>
        <c:axId val="198256128"/>
        <c:scaling>
          <c:orientation val="minMax"/>
        </c:scaling>
        <c:delete val="0"/>
        <c:axPos val="t"/>
        <c:numFmt formatCode="dd/mm/yy;@" sourceLinked="0"/>
        <c:majorTickMark val="out"/>
        <c:minorTickMark val="none"/>
        <c:tickLblPos val="high"/>
        <c:crossAx val="198257664"/>
        <c:crosses val="autoZero"/>
        <c:auto val="1"/>
        <c:lblAlgn val="ctr"/>
        <c:lblOffset val="100"/>
        <c:noMultiLvlLbl val="0"/>
      </c:catAx>
      <c:valAx>
        <c:axId val="198257664"/>
        <c:scaling>
          <c:orientation val="maxMin"/>
        </c:scaling>
        <c:delete val="0"/>
        <c:axPos val="l"/>
        <c:majorGridlines/>
        <c:numFmt formatCode="@" sourceLinked="0"/>
        <c:majorTickMark val="out"/>
        <c:minorTickMark val="none"/>
        <c:tickLblPos val="nextTo"/>
        <c:crossAx val="1982561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Feuil2!$B$1</c:f>
              <c:strCache>
                <c:ptCount val="1"/>
                <c:pt idx="0">
                  <c:v>Dévers en moulinette à vue</c:v>
                </c:pt>
              </c:strCache>
            </c:strRef>
          </c:tx>
          <c:invertIfNegative val="0"/>
          <c:cat>
            <c:strRef>
              <c:f>Feuil2!$A$2:$A$27</c:f>
              <c:strCache>
                <c:ptCount val="26"/>
                <c:pt idx="0">
                  <c:v>9A</c:v>
                </c:pt>
                <c:pt idx="1">
                  <c:v>8C+</c:v>
                </c:pt>
                <c:pt idx="2">
                  <c:v>8C</c:v>
                </c:pt>
                <c:pt idx="3">
                  <c:v>8B+</c:v>
                </c:pt>
                <c:pt idx="4">
                  <c:v>8B</c:v>
                </c:pt>
                <c:pt idx="5">
                  <c:v>8A+</c:v>
                </c:pt>
                <c:pt idx="6">
                  <c:v>8A</c:v>
                </c:pt>
                <c:pt idx="7">
                  <c:v>7C+</c:v>
                </c:pt>
                <c:pt idx="8">
                  <c:v>7C</c:v>
                </c:pt>
                <c:pt idx="9">
                  <c:v>7B+</c:v>
                </c:pt>
                <c:pt idx="10">
                  <c:v>7B</c:v>
                </c:pt>
                <c:pt idx="11">
                  <c:v>7A+</c:v>
                </c:pt>
                <c:pt idx="12">
                  <c:v>7A</c:v>
                </c:pt>
                <c:pt idx="13">
                  <c:v>6C+</c:v>
                </c:pt>
                <c:pt idx="14">
                  <c:v>6C</c:v>
                </c:pt>
                <c:pt idx="15">
                  <c:v>6B+</c:v>
                </c:pt>
                <c:pt idx="16">
                  <c:v>6B</c:v>
                </c:pt>
                <c:pt idx="17">
                  <c:v>6A+</c:v>
                </c:pt>
                <c:pt idx="18">
                  <c:v>6A</c:v>
                </c:pt>
                <c:pt idx="19">
                  <c:v>5C+</c:v>
                </c:pt>
                <c:pt idx="20">
                  <c:v>5C</c:v>
                </c:pt>
                <c:pt idx="21">
                  <c:v>5B+</c:v>
                </c:pt>
                <c:pt idx="22">
                  <c:v>5B</c:v>
                </c:pt>
                <c:pt idx="23">
                  <c:v>5A+</c:v>
                </c:pt>
                <c:pt idx="24">
                  <c:v>5A</c:v>
                </c:pt>
                <c:pt idx="25">
                  <c:v>4</c:v>
                </c:pt>
              </c:strCache>
            </c:strRef>
          </c:cat>
          <c:val>
            <c:numRef>
              <c:f>Feuil2!$B$2:$B$27</c:f>
              <c:numCache>
                <c:formatCode>General</c:formatCode>
                <c:ptCount val="26"/>
                <c:pt idx="0">
                  <c:v>10</c:v>
                </c:pt>
                <c:pt idx="1">
                  <c:v>10</c:v>
                </c:pt>
                <c:pt idx="2">
                  <c:v>7</c:v>
                </c:pt>
                <c:pt idx="3">
                  <c:v>10</c:v>
                </c:pt>
                <c:pt idx="4">
                  <c:v>5</c:v>
                </c:pt>
                <c:pt idx="5">
                  <c:v>6</c:v>
                </c:pt>
                <c:pt idx="6">
                  <c:v>5</c:v>
                </c:pt>
                <c:pt idx="7">
                  <c:v>9</c:v>
                </c:pt>
                <c:pt idx="8">
                  <c:v>2</c:v>
                </c:pt>
                <c:pt idx="9">
                  <c:v>9</c:v>
                </c:pt>
                <c:pt idx="10">
                  <c:v>6</c:v>
                </c:pt>
                <c:pt idx="11">
                  <c:v>9</c:v>
                </c:pt>
                <c:pt idx="12">
                  <c:v>6</c:v>
                </c:pt>
                <c:pt idx="13">
                  <c:v>3</c:v>
                </c:pt>
                <c:pt idx="14">
                  <c:v>1</c:v>
                </c:pt>
                <c:pt idx="15">
                  <c:v>9</c:v>
                </c:pt>
                <c:pt idx="16">
                  <c:v>7</c:v>
                </c:pt>
                <c:pt idx="17">
                  <c:v>9</c:v>
                </c:pt>
                <c:pt idx="18">
                  <c:v>3</c:v>
                </c:pt>
                <c:pt idx="19">
                  <c:v>0</c:v>
                </c:pt>
                <c:pt idx="20">
                  <c:v>6</c:v>
                </c:pt>
                <c:pt idx="21">
                  <c:v>0</c:v>
                </c:pt>
                <c:pt idx="22">
                  <c:v>5</c:v>
                </c:pt>
                <c:pt idx="23">
                  <c:v>6</c:v>
                </c:pt>
                <c:pt idx="24">
                  <c:v>8</c:v>
                </c:pt>
                <c:pt idx="25">
                  <c:v>2</c:v>
                </c:pt>
              </c:numCache>
            </c:numRef>
          </c:val>
        </c:ser>
        <c:ser>
          <c:idx val="1"/>
          <c:order val="1"/>
          <c:tx>
            <c:strRef>
              <c:f>Feuil2!$C$1</c:f>
              <c:strCache>
                <c:ptCount val="1"/>
                <c:pt idx="0">
                  <c:v>Dévers en moulinette en travail</c:v>
                </c:pt>
              </c:strCache>
            </c:strRef>
          </c:tx>
          <c:invertIfNegative val="0"/>
          <c:cat>
            <c:strRef>
              <c:f>Feuil2!$A$2:$A$27</c:f>
              <c:strCache>
                <c:ptCount val="26"/>
                <c:pt idx="0">
                  <c:v>9A</c:v>
                </c:pt>
                <c:pt idx="1">
                  <c:v>8C+</c:v>
                </c:pt>
                <c:pt idx="2">
                  <c:v>8C</c:v>
                </c:pt>
                <c:pt idx="3">
                  <c:v>8B+</c:v>
                </c:pt>
                <c:pt idx="4">
                  <c:v>8B</c:v>
                </c:pt>
                <c:pt idx="5">
                  <c:v>8A+</c:v>
                </c:pt>
                <c:pt idx="6">
                  <c:v>8A</c:v>
                </c:pt>
                <c:pt idx="7">
                  <c:v>7C+</c:v>
                </c:pt>
                <c:pt idx="8">
                  <c:v>7C</c:v>
                </c:pt>
                <c:pt idx="9">
                  <c:v>7B+</c:v>
                </c:pt>
                <c:pt idx="10">
                  <c:v>7B</c:v>
                </c:pt>
                <c:pt idx="11">
                  <c:v>7A+</c:v>
                </c:pt>
                <c:pt idx="12">
                  <c:v>7A</c:v>
                </c:pt>
                <c:pt idx="13">
                  <c:v>6C+</c:v>
                </c:pt>
                <c:pt idx="14">
                  <c:v>6C</c:v>
                </c:pt>
                <c:pt idx="15">
                  <c:v>6B+</c:v>
                </c:pt>
                <c:pt idx="16">
                  <c:v>6B</c:v>
                </c:pt>
                <c:pt idx="17">
                  <c:v>6A+</c:v>
                </c:pt>
                <c:pt idx="18">
                  <c:v>6A</c:v>
                </c:pt>
                <c:pt idx="19">
                  <c:v>5C+</c:v>
                </c:pt>
                <c:pt idx="20">
                  <c:v>5C</c:v>
                </c:pt>
                <c:pt idx="21">
                  <c:v>5B+</c:v>
                </c:pt>
                <c:pt idx="22">
                  <c:v>5B</c:v>
                </c:pt>
                <c:pt idx="23">
                  <c:v>5A+</c:v>
                </c:pt>
                <c:pt idx="24">
                  <c:v>5A</c:v>
                </c:pt>
                <c:pt idx="25">
                  <c:v>4</c:v>
                </c:pt>
              </c:strCache>
            </c:strRef>
          </c:cat>
          <c:val>
            <c:numRef>
              <c:f>Feuil2!$C$2:$C$27</c:f>
              <c:numCache>
                <c:formatCode>General</c:formatCode>
                <c:ptCount val="26"/>
                <c:pt idx="0">
                  <c:v>7</c:v>
                </c:pt>
                <c:pt idx="1">
                  <c:v>10</c:v>
                </c:pt>
                <c:pt idx="2">
                  <c:v>1</c:v>
                </c:pt>
                <c:pt idx="3">
                  <c:v>1</c:v>
                </c:pt>
                <c:pt idx="4">
                  <c:v>6</c:v>
                </c:pt>
                <c:pt idx="5">
                  <c:v>1</c:v>
                </c:pt>
                <c:pt idx="6">
                  <c:v>5</c:v>
                </c:pt>
                <c:pt idx="7">
                  <c:v>6</c:v>
                </c:pt>
                <c:pt idx="8">
                  <c:v>9</c:v>
                </c:pt>
                <c:pt idx="9">
                  <c:v>0</c:v>
                </c:pt>
                <c:pt idx="10">
                  <c:v>2</c:v>
                </c:pt>
                <c:pt idx="11">
                  <c:v>7</c:v>
                </c:pt>
                <c:pt idx="12">
                  <c:v>0</c:v>
                </c:pt>
                <c:pt idx="13">
                  <c:v>7</c:v>
                </c:pt>
                <c:pt idx="14">
                  <c:v>9</c:v>
                </c:pt>
                <c:pt idx="15">
                  <c:v>4</c:v>
                </c:pt>
                <c:pt idx="16">
                  <c:v>1</c:v>
                </c:pt>
                <c:pt idx="17">
                  <c:v>8</c:v>
                </c:pt>
                <c:pt idx="18">
                  <c:v>6</c:v>
                </c:pt>
                <c:pt idx="19">
                  <c:v>7</c:v>
                </c:pt>
                <c:pt idx="20">
                  <c:v>2</c:v>
                </c:pt>
                <c:pt idx="21">
                  <c:v>2</c:v>
                </c:pt>
                <c:pt idx="22">
                  <c:v>1</c:v>
                </c:pt>
                <c:pt idx="23">
                  <c:v>6</c:v>
                </c:pt>
                <c:pt idx="24">
                  <c:v>0</c:v>
                </c:pt>
                <c:pt idx="25">
                  <c:v>8</c:v>
                </c:pt>
              </c:numCache>
            </c:numRef>
          </c:val>
        </c:ser>
        <c:ser>
          <c:idx val="2"/>
          <c:order val="2"/>
          <c:tx>
            <c:strRef>
              <c:f>Feuil2!$D$1</c:f>
              <c:strCache>
                <c:ptCount val="1"/>
                <c:pt idx="0">
                  <c:v>C</c:v>
                </c:pt>
              </c:strCache>
            </c:strRef>
          </c:tx>
          <c:invertIfNegative val="0"/>
          <c:cat>
            <c:strRef>
              <c:f>Feuil2!$A$2:$A$27</c:f>
              <c:strCache>
                <c:ptCount val="26"/>
                <c:pt idx="0">
                  <c:v>9A</c:v>
                </c:pt>
                <c:pt idx="1">
                  <c:v>8C+</c:v>
                </c:pt>
                <c:pt idx="2">
                  <c:v>8C</c:v>
                </c:pt>
                <c:pt idx="3">
                  <c:v>8B+</c:v>
                </c:pt>
                <c:pt idx="4">
                  <c:v>8B</c:v>
                </c:pt>
                <c:pt idx="5">
                  <c:v>8A+</c:v>
                </c:pt>
                <c:pt idx="6">
                  <c:v>8A</c:v>
                </c:pt>
                <c:pt idx="7">
                  <c:v>7C+</c:v>
                </c:pt>
                <c:pt idx="8">
                  <c:v>7C</c:v>
                </c:pt>
                <c:pt idx="9">
                  <c:v>7B+</c:v>
                </c:pt>
                <c:pt idx="10">
                  <c:v>7B</c:v>
                </c:pt>
                <c:pt idx="11">
                  <c:v>7A+</c:v>
                </c:pt>
                <c:pt idx="12">
                  <c:v>7A</c:v>
                </c:pt>
                <c:pt idx="13">
                  <c:v>6C+</c:v>
                </c:pt>
                <c:pt idx="14">
                  <c:v>6C</c:v>
                </c:pt>
                <c:pt idx="15">
                  <c:v>6B+</c:v>
                </c:pt>
                <c:pt idx="16">
                  <c:v>6B</c:v>
                </c:pt>
                <c:pt idx="17">
                  <c:v>6A+</c:v>
                </c:pt>
                <c:pt idx="18">
                  <c:v>6A</c:v>
                </c:pt>
                <c:pt idx="19">
                  <c:v>5C+</c:v>
                </c:pt>
                <c:pt idx="20">
                  <c:v>5C</c:v>
                </c:pt>
                <c:pt idx="21">
                  <c:v>5B+</c:v>
                </c:pt>
                <c:pt idx="22">
                  <c:v>5B</c:v>
                </c:pt>
                <c:pt idx="23">
                  <c:v>5A+</c:v>
                </c:pt>
                <c:pt idx="24">
                  <c:v>5A</c:v>
                </c:pt>
                <c:pt idx="25">
                  <c:v>4</c:v>
                </c:pt>
              </c:strCache>
            </c:strRef>
          </c:cat>
          <c:val>
            <c:numRef>
              <c:f>Feuil2!$D$2:$D$27</c:f>
              <c:numCache>
                <c:formatCode>General</c:formatCode>
                <c:ptCount val="26"/>
                <c:pt idx="0">
                  <c:v>7</c:v>
                </c:pt>
                <c:pt idx="1">
                  <c:v>9</c:v>
                </c:pt>
                <c:pt idx="2">
                  <c:v>9</c:v>
                </c:pt>
                <c:pt idx="3">
                  <c:v>4</c:v>
                </c:pt>
                <c:pt idx="4">
                  <c:v>1</c:v>
                </c:pt>
                <c:pt idx="5">
                  <c:v>9</c:v>
                </c:pt>
                <c:pt idx="6">
                  <c:v>6</c:v>
                </c:pt>
                <c:pt idx="7">
                  <c:v>8</c:v>
                </c:pt>
                <c:pt idx="8">
                  <c:v>1</c:v>
                </c:pt>
                <c:pt idx="9">
                  <c:v>8</c:v>
                </c:pt>
                <c:pt idx="10">
                  <c:v>7</c:v>
                </c:pt>
                <c:pt idx="11">
                  <c:v>8</c:v>
                </c:pt>
                <c:pt idx="12">
                  <c:v>8</c:v>
                </c:pt>
                <c:pt idx="13">
                  <c:v>8</c:v>
                </c:pt>
                <c:pt idx="14">
                  <c:v>0</c:v>
                </c:pt>
                <c:pt idx="15">
                  <c:v>6</c:v>
                </c:pt>
                <c:pt idx="16">
                  <c:v>9</c:v>
                </c:pt>
                <c:pt idx="17">
                  <c:v>8</c:v>
                </c:pt>
                <c:pt idx="18">
                  <c:v>10</c:v>
                </c:pt>
                <c:pt idx="19">
                  <c:v>10</c:v>
                </c:pt>
                <c:pt idx="20">
                  <c:v>2</c:v>
                </c:pt>
                <c:pt idx="21">
                  <c:v>2</c:v>
                </c:pt>
                <c:pt idx="22">
                  <c:v>10</c:v>
                </c:pt>
                <c:pt idx="23">
                  <c:v>7</c:v>
                </c:pt>
                <c:pt idx="24">
                  <c:v>10</c:v>
                </c:pt>
                <c:pt idx="25">
                  <c:v>10</c:v>
                </c:pt>
              </c:numCache>
            </c:numRef>
          </c:val>
        </c:ser>
        <c:ser>
          <c:idx val="3"/>
          <c:order val="3"/>
          <c:tx>
            <c:strRef>
              <c:f>Feuil2!$E$1</c:f>
              <c:strCache>
                <c:ptCount val="1"/>
                <c:pt idx="0">
                  <c:v>D</c:v>
                </c:pt>
              </c:strCache>
            </c:strRef>
          </c:tx>
          <c:invertIfNegative val="0"/>
          <c:cat>
            <c:strRef>
              <c:f>Feuil2!$A$2:$A$27</c:f>
              <c:strCache>
                <c:ptCount val="26"/>
                <c:pt idx="0">
                  <c:v>9A</c:v>
                </c:pt>
                <c:pt idx="1">
                  <c:v>8C+</c:v>
                </c:pt>
                <c:pt idx="2">
                  <c:v>8C</c:v>
                </c:pt>
                <c:pt idx="3">
                  <c:v>8B+</c:v>
                </c:pt>
                <c:pt idx="4">
                  <c:v>8B</c:v>
                </c:pt>
                <c:pt idx="5">
                  <c:v>8A+</c:v>
                </c:pt>
                <c:pt idx="6">
                  <c:v>8A</c:v>
                </c:pt>
                <c:pt idx="7">
                  <c:v>7C+</c:v>
                </c:pt>
                <c:pt idx="8">
                  <c:v>7C</c:v>
                </c:pt>
                <c:pt idx="9">
                  <c:v>7B+</c:v>
                </c:pt>
                <c:pt idx="10">
                  <c:v>7B</c:v>
                </c:pt>
                <c:pt idx="11">
                  <c:v>7A+</c:v>
                </c:pt>
                <c:pt idx="12">
                  <c:v>7A</c:v>
                </c:pt>
                <c:pt idx="13">
                  <c:v>6C+</c:v>
                </c:pt>
                <c:pt idx="14">
                  <c:v>6C</c:v>
                </c:pt>
                <c:pt idx="15">
                  <c:v>6B+</c:v>
                </c:pt>
                <c:pt idx="16">
                  <c:v>6B</c:v>
                </c:pt>
                <c:pt idx="17">
                  <c:v>6A+</c:v>
                </c:pt>
                <c:pt idx="18">
                  <c:v>6A</c:v>
                </c:pt>
                <c:pt idx="19">
                  <c:v>5C+</c:v>
                </c:pt>
                <c:pt idx="20">
                  <c:v>5C</c:v>
                </c:pt>
                <c:pt idx="21">
                  <c:v>5B+</c:v>
                </c:pt>
                <c:pt idx="22">
                  <c:v>5B</c:v>
                </c:pt>
                <c:pt idx="23">
                  <c:v>5A+</c:v>
                </c:pt>
                <c:pt idx="24">
                  <c:v>5A</c:v>
                </c:pt>
                <c:pt idx="25">
                  <c:v>4</c:v>
                </c:pt>
              </c:strCache>
            </c:strRef>
          </c:cat>
          <c:val>
            <c:numRef>
              <c:f>Feuil2!$E$2:$E$27</c:f>
              <c:numCache>
                <c:formatCode>General</c:formatCode>
                <c:ptCount val="26"/>
                <c:pt idx="0">
                  <c:v>10</c:v>
                </c:pt>
                <c:pt idx="1">
                  <c:v>0</c:v>
                </c:pt>
                <c:pt idx="2">
                  <c:v>9</c:v>
                </c:pt>
                <c:pt idx="3">
                  <c:v>0</c:v>
                </c:pt>
                <c:pt idx="4">
                  <c:v>1</c:v>
                </c:pt>
                <c:pt idx="5">
                  <c:v>9</c:v>
                </c:pt>
                <c:pt idx="6">
                  <c:v>8</c:v>
                </c:pt>
                <c:pt idx="7">
                  <c:v>2</c:v>
                </c:pt>
                <c:pt idx="8">
                  <c:v>6</c:v>
                </c:pt>
                <c:pt idx="9">
                  <c:v>7</c:v>
                </c:pt>
                <c:pt idx="10">
                  <c:v>4</c:v>
                </c:pt>
                <c:pt idx="11">
                  <c:v>4</c:v>
                </c:pt>
                <c:pt idx="12">
                  <c:v>3</c:v>
                </c:pt>
                <c:pt idx="13">
                  <c:v>5</c:v>
                </c:pt>
                <c:pt idx="14">
                  <c:v>7</c:v>
                </c:pt>
                <c:pt idx="15">
                  <c:v>8</c:v>
                </c:pt>
                <c:pt idx="16">
                  <c:v>5</c:v>
                </c:pt>
                <c:pt idx="17">
                  <c:v>7</c:v>
                </c:pt>
                <c:pt idx="18">
                  <c:v>10</c:v>
                </c:pt>
                <c:pt idx="19">
                  <c:v>9</c:v>
                </c:pt>
                <c:pt idx="20">
                  <c:v>3</c:v>
                </c:pt>
                <c:pt idx="21">
                  <c:v>0</c:v>
                </c:pt>
                <c:pt idx="22">
                  <c:v>4</c:v>
                </c:pt>
                <c:pt idx="23">
                  <c:v>0</c:v>
                </c:pt>
                <c:pt idx="24">
                  <c:v>5</c:v>
                </c:pt>
                <c:pt idx="25">
                  <c:v>4</c:v>
                </c:pt>
              </c:numCache>
            </c:numRef>
          </c:val>
        </c:ser>
        <c:ser>
          <c:idx val="4"/>
          <c:order val="4"/>
          <c:tx>
            <c:strRef>
              <c:f>Feuil2!$F$1</c:f>
              <c:strCache>
                <c:ptCount val="1"/>
                <c:pt idx="0">
                  <c:v>E</c:v>
                </c:pt>
              </c:strCache>
            </c:strRef>
          </c:tx>
          <c:invertIfNegative val="0"/>
          <c:cat>
            <c:strRef>
              <c:f>Feuil2!$A$2:$A$27</c:f>
              <c:strCache>
                <c:ptCount val="26"/>
                <c:pt idx="0">
                  <c:v>9A</c:v>
                </c:pt>
                <c:pt idx="1">
                  <c:v>8C+</c:v>
                </c:pt>
                <c:pt idx="2">
                  <c:v>8C</c:v>
                </c:pt>
                <c:pt idx="3">
                  <c:v>8B+</c:v>
                </c:pt>
                <c:pt idx="4">
                  <c:v>8B</c:v>
                </c:pt>
                <c:pt idx="5">
                  <c:v>8A+</c:v>
                </c:pt>
                <c:pt idx="6">
                  <c:v>8A</c:v>
                </c:pt>
                <c:pt idx="7">
                  <c:v>7C+</c:v>
                </c:pt>
                <c:pt idx="8">
                  <c:v>7C</c:v>
                </c:pt>
                <c:pt idx="9">
                  <c:v>7B+</c:v>
                </c:pt>
                <c:pt idx="10">
                  <c:v>7B</c:v>
                </c:pt>
                <c:pt idx="11">
                  <c:v>7A+</c:v>
                </c:pt>
                <c:pt idx="12">
                  <c:v>7A</c:v>
                </c:pt>
                <c:pt idx="13">
                  <c:v>6C+</c:v>
                </c:pt>
                <c:pt idx="14">
                  <c:v>6C</c:v>
                </c:pt>
                <c:pt idx="15">
                  <c:v>6B+</c:v>
                </c:pt>
                <c:pt idx="16">
                  <c:v>6B</c:v>
                </c:pt>
                <c:pt idx="17">
                  <c:v>6A+</c:v>
                </c:pt>
                <c:pt idx="18">
                  <c:v>6A</c:v>
                </c:pt>
                <c:pt idx="19">
                  <c:v>5C+</c:v>
                </c:pt>
                <c:pt idx="20">
                  <c:v>5C</c:v>
                </c:pt>
                <c:pt idx="21">
                  <c:v>5B+</c:v>
                </c:pt>
                <c:pt idx="22">
                  <c:v>5B</c:v>
                </c:pt>
                <c:pt idx="23">
                  <c:v>5A+</c:v>
                </c:pt>
                <c:pt idx="24">
                  <c:v>5A</c:v>
                </c:pt>
                <c:pt idx="25">
                  <c:v>4</c:v>
                </c:pt>
              </c:strCache>
            </c:strRef>
          </c:cat>
          <c:val>
            <c:numRef>
              <c:f>Feuil2!$F$2:$F$27</c:f>
              <c:numCache>
                <c:formatCode>General</c:formatCode>
                <c:ptCount val="26"/>
                <c:pt idx="0">
                  <c:v>3</c:v>
                </c:pt>
                <c:pt idx="1">
                  <c:v>7</c:v>
                </c:pt>
                <c:pt idx="2">
                  <c:v>2</c:v>
                </c:pt>
                <c:pt idx="3">
                  <c:v>1</c:v>
                </c:pt>
                <c:pt idx="4">
                  <c:v>9</c:v>
                </c:pt>
                <c:pt idx="5">
                  <c:v>4</c:v>
                </c:pt>
                <c:pt idx="6">
                  <c:v>6</c:v>
                </c:pt>
                <c:pt idx="7">
                  <c:v>4</c:v>
                </c:pt>
                <c:pt idx="8">
                  <c:v>0</c:v>
                </c:pt>
                <c:pt idx="9">
                  <c:v>9</c:v>
                </c:pt>
                <c:pt idx="10">
                  <c:v>8</c:v>
                </c:pt>
                <c:pt idx="11">
                  <c:v>10</c:v>
                </c:pt>
                <c:pt idx="12">
                  <c:v>2</c:v>
                </c:pt>
                <c:pt idx="13">
                  <c:v>1</c:v>
                </c:pt>
                <c:pt idx="14">
                  <c:v>9</c:v>
                </c:pt>
                <c:pt idx="15">
                  <c:v>9</c:v>
                </c:pt>
                <c:pt idx="16">
                  <c:v>5</c:v>
                </c:pt>
                <c:pt idx="17">
                  <c:v>10</c:v>
                </c:pt>
                <c:pt idx="18">
                  <c:v>8</c:v>
                </c:pt>
                <c:pt idx="19">
                  <c:v>3</c:v>
                </c:pt>
                <c:pt idx="20">
                  <c:v>4</c:v>
                </c:pt>
                <c:pt idx="21">
                  <c:v>10</c:v>
                </c:pt>
                <c:pt idx="22">
                  <c:v>9</c:v>
                </c:pt>
                <c:pt idx="23">
                  <c:v>3</c:v>
                </c:pt>
                <c:pt idx="24">
                  <c:v>2</c:v>
                </c:pt>
                <c:pt idx="25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5279232"/>
        <c:axId val="165280768"/>
      </c:barChart>
      <c:catAx>
        <c:axId val="165279232"/>
        <c:scaling>
          <c:orientation val="minMax"/>
        </c:scaling>
        <c:delete val="0"/>
        <c:axPos val="l"/>
        <c:majorTickMark val="out"/>
        <c:minorTickMark val="none"/>
        <c:tickLblPos val="nextTo"/>
        <c:crossAx val="165280768"/>
        <c:crosses val="autoZero"/>
        <c:auto val="1"/>
        <c:lblAlgn val="ctr"/>
        <c:lblOffset val="100"/>
        <c:noMultiLvlLbl val="0"/>
      </c:catAx>
      <c:valAx>
        <c:axId val="165280768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6527923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28</xdr:row>
      <xdr:rowOff>80282</xdr:rowOff>
    </xdr:from>
    <xdr:to>
      <xdr:col>45</xdr:col>
      <xdr:colOff>1687286</xdr:colOff>
      <xdr:row>62</xdr:row>
      <xdr:rowOff>40821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29</xdr:row>
      <xdr:rowOff>80282</xdr:rowOff>
    </xdr:from>
    <xdr:to>
      <xdr:col>45</xdr:col>
      <xdr:colOff>1687286</xdr:colOff>
      <xdr:row>63</xdr:row>
      <xdr:rowOff>40821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28574</xdr:colOff>
      <xdr:row>55</xdr:row>
      <xdr:rowOff>19050</xdr:rowOff>
    </xdr:from>
    <xdr:to>
      <xdr:col>6</xdr:col>
      <xdr:colOff>47624</xdr:colOff>
      <xdr:row>69</xdr:row>
      <xdr:rowOff>95250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323850</xdr:colOff>
      <xdr:row>4</xdr:row>
      <xdr:rowOff>104775</xdr:rowOff>
    </xdr:from>
    <xdr:to>
      <xdr:col>14</xdr:col>
      <xdr:colOff>38100</xdr:colOff>
      <xdr:row>22</xdr:row>
      <xdr:rowOff>180975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7" name="Tableau158" displayName="Tableau158" ref="A1:B50" totalsRowShown="0" headerRowDxfId="212" dataDxfId="211">
  <autoFilter ref="A1:B50"/>
  <tableColumns count="2">
    <tableColumn id="1" name="Perf " dataDxfId="210"/>
    <tableColumn id="2" name="Colonne1" dataDxfId="209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3530333" displayName="Tableau3530333" ref="R1:AD28" totalsRowCount="1" headerRowDxfId="208" dataDxfId="206" headerRowBorderDxfId="207" tableBorderDxfId="205">
  <tableColumns count="13">
    <tableColumn id="4" name="cotation" dataDxfId="204" totalsRowDxfId="203"/>
    <tableColumn id="6" name="Dalle en moulinettte à vue" dataDxfId="202" totalsRowDxfId="201"/>
    <tableColumn id="5" name="." totalsRowFunction="custom" dataDxfId="200" totalsRowDxfId="199">
      <calculatedColumnFormula>COUNTIF(Tableau3530333[[#This Row],[cotation]:[Dalle en moulinettte à vue]],Tableau3530333[[#This Row],[Dalle en moulinettte à vue]])</calculatedColumnFormula>
      <totalsRowFormula>IF(ISERROR(MATCH(1,Tableau3530333[.],0)),"-",MATCH(1,Tableau3530333[.],0))</totalsRowFormula>
    </tableColumn>
    <tableColumn id="7" name="Dalle en moulinette en travail" dataDxfId="198" totalsRowDxfId="197"/>
    <tableColumn id="12" name="perf DaMET" totalsRowFunction="custom" dataDxfId="196" totalsRowDxfId="195">
      <calculatedColumnFormula>COUNTIF(U2,Tableau3530333[[#This Row],[Dalle en moulinette en travail]])</calculatedColumnFormula>
      <totalsRowFormula>IF(ISERROR(MATCH(1,Tableau3530333[perf DaMET],0)),"-",MATCH(1,Tableau3530333[perf DaMET],0))</totalsRowFormula>
    </tableColumn>
    <tableColumn id="8" name="Dalle en moulinette après travail" dataDxfId="194" totalsRowDxfId="193"/>
    <tableColumn id="13" name="," totalsRowFunction="custom" dataDxfId="192" totalsRowDxfId="191">
      <calculatedColumnFormula>COUNTIF(W2,W2)</calculatedColumnFormula>
      <totalsRowFormula>IF(ISERROR(MATCH(1,Tableau3530333[,],0)),"-",MATCH(1,Tableau3530333[,],0))</totalsRowFormula>
    </tableColumn>
    <tableColumn id="9" name="Dalle en tête à vue" dataDxfId="190" totalsRowDxfId="189"/>
    <tableColumn id="14" name="perf DaTAV" totalsRowFunction="custom" dataDxfId="188" totalsRowDxfId="187">
      <calculatedColumnFormula>COUNTIF(Y2,Y2)</calculatedColumnFormula>
      <totalsRowFormula>IF(ISERROR(MATCH(1,Tableau3530333[perf DaTAV],0)),"-",MATCH(1,Tableau3530333[perf DaTAV],0))</totalsRowFormula>
    </tableColumn>
    <tableColumn id="10" name="Dalle en tête en travail" dataDxfId="186" totalsRowDxfId="185"/>
    <tableColumn id="15" name="perf DaTET" totalsRowFunction="custom" dataDxfId="184" totalsRowDxfId="183">
      <calculatedColumnFormula>COUNTIF(AA2,AA2)</calculatedColumnFormula>
      <totalsRowFormula>IF(ISERROR(MATCH(1,Tableau3530333[perf DaTET],0)),"-",MATCH(1,Tableau3530333[perf DaTET],0))</totalsRowFormula>
    </tableColumn>
    <tableColumn id="11" name="Dalle en tête après travail" totalsRowFunction="custom" dataDxfId="182" totalsRowDxfId="181">
      <totalsRowFormula>IF(ISERROR(MATCH(1,Tableau3530333[Dalle en tête après travail],0)),"-",MATCH(1,Tableau3530333[Dalle en tête après travail],0))</totalsRowFormula>
    </tableColumn>
    <tableColumn id="16" name="Colonne1" totalsRowFunction="custom" dataDxfId="180" totalsRowDxfId="179">
      <calculatedColumnFormula>COUNTIF(Tableau3530333[[#This Row],[Dalle en tête après travail]],Tableau3530333[[#This Row],[Dalle en tête après travail]])</calculatedColumnFormula>
      <totalsRowFormula>IF(ISERROR(MATCH(1,Tableau3530333[Colonne1],0)),"-",MATCH(1,Tableau3530333[Colonne1],0))</totalsRowFormula>
    </tableColumn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id="3" name="Tableau3530344" displayName="Tableau3530344" ref="AF1:AR28" totalsRowCount="1" headerRowDxfId="178" dataDxfId="176" headerRowBorderDxfId="177" tableBorderDxfId="175">
  <tableColumns count="13">
    <tableColumn id="4" name="cotation" dataDxfId="174" totalsRowDxfId="173"/>
    <tableColumn id="6" name="Mur droit en moulinette à vue" dataDxfId="172" totalsRowDxfId="171"/>
    <tableColumn id="5" name="perf MdMAV" totalsRowFunction="custom" dataDxfId="170" totalsRowDxfId="169">
      <calculatedColumnFormula>COUNTIF(Tableau3530344[[#This Row],[cotation]:[Mur droit en moulinette à vue]],Tableau3530344[[#This Row],[Mur droit en moulinette à vue]])</calculatedColumnFormula>
      <totalsRowFormula>IF(ISERROR(MATCH(1,Tableau3530344[perf MdMAV],0)),"-",MATCH(1,Tableau3530344[perf MdMAV],0))</totalsRowFormula>
    </tableColumn>
    <tableColumn id="7" name="Mur droit en moul. en travail" dataDxfId="168" totalsRowDxfId="167"/>
    <tableColumn id="12" name="perf MdMET" totalsRowFunction="custom" dataDxfId="166" totalsRowDxfId="165">
      <calculatedColumnFormula>COUNTIF(AI2,Tableau3530344[[#This Row],[Mur droit en moul. en travail]])</calculatedColumnFormula>
      <totalsRowFormula>IF(ISERROR(MATCH(1,Tableau3530344[perf MdMET],0)),"-",MATCH(1,Tableau3530344[perf MdMET],0))</totalsRowFormula>
    </tableColumn>
    <tableColumn id="8" name="Mur droit en moul. après travail" dataDxfId="164" totalsRowDxfId="163"/>
    <tableColumn id="13" name="perf MdMAT" totalsRowFunction="custom" dataDxfId="162" totalsRowDxfId="161">
      <calculatedColumnFormula>COUNTIF(AK2,AK2)</calculatedColumnFormula>
      <totalsRowFormula>IF(ISERROR(MATCH(1,Tableau3530344[perf MdMAT],0)),"-",MATCH(1,Tableau3530344[perf MdMAT],0))</totalsRowFormula>
    </tableColumn>
    <tableColumn id="9" name="Mur droit en tête à vue" dataDxfId="160" totalsRowDxfId="159"/>
    <tableColumn id="14" name="perf MdTAV" totalsRowFunction="custom" dataDxfId="158" totalsRowDxfId="157">
      <calculatedColumnFormula>COUNTIF(AM2,AM2)</calculatedColumnFormula>
      <totalsRowFormula>IF(ISERROR(MATCH(1,Tableau3530344[perf MdTAV],0)),"-",MATCH(1,Tableau3530344[perf MdTAV],0))</totalsRowFormula>
    </tableColumn>
    <tableColumn id="10" name="Mur droit en tête en travail" dataDxfId="156" totalsRowDxfId="155"/>
    <tableColumn id="15" name="perf MdTET" totalsRowFunction="custom" dataDxfId="154" totalsRowDxfId="153">
      <calculatedColumnFormula>COUNTIF(AO2,AO2)</calculatedColumnFormula>
      <totalsRowFormula>IF(ISERROR(MATCH(1,Tableau3530344[perf MdTET],0)),"-",MATCH(1,Tableau3530344[perf MdTET],0))</totalsRowFormula>
    </tableColumn>
    <tableColumn id="11" name="Mur droit en tête après travail" dataDxfId="152" totalsRowDxfId="151"/>
    <tableColumn id="16" name="perf MdTAT" totalsRowFunction="custom" dataDxfId="150" totalsRowDxfId="149">
      <calculatedColumnFormula>COUNTIF(Tableau3530344[[#This Row],[Mur droit en tête après travail]],Tableau3530344[[#This Row],[Mur droit en tête après travail]])</calculatedColumnFormula>
      <totalsRowFormula>IF(ISERROR(MATCH(1,Tableau3530344[perf MdTAT],0)),"-",MATCH(1,Tableau3530344[perf MdTAT],0))</totalsRowFormula>
    </tableColumn>
  </tableColumns>
  <tableStyleInfo name="TableStyleLight16" showFirstColumn="0" showLastColumn="0" showRowStripes="1" showColumnStripes="0"/>
</table>
</file>

<file path=xl/tables/table4.xml><?xml version="1.0" encoding="utf-8"?>
<table xmlns="http://schemas.openxmlformats.org/spreadsheetml/2006/main" id="4" name="Tableau15" displayName="Tableau15" ref="AU3:AV52" totalsRowShown="0" headerRowDxfId="148" dataDxfId="147">
  <autoFilter ref="AU3:AV52"/>
  <tableColumns count="2">
    <tableColumn id="1" name="Perf " dataDxfId="146"/>
    <tableColumn id="2" name="Colonne1" dataDxfId="14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5" name="Tableau376" displayName="Tableau376" ref="BA4:BD31" totalsRowShown="0" headerRowDxfId="144">
  <autoFilter ref="BA4:BD31"/>
  <tableColumns count="4">
    <tableColumn id="1" name="calcul intensité"/>
    <tableColumn id="2" name="Colonne1"/>
    <tableColumn id="3" name="Colonne2"/>
    <tableColumn id="4" name="Colonne3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6" name="Tableau35307" displayName="Tableau35307" ref="A1:P28" totalsRowCount="1" headerRowDxfId="143" dataDxfId="141" totalsRowDxfId="139" headerRowBorderDxfId="142" tableBorderDxfId="140">
  <tableColumns count="16">
    <tableColumn id="1" name="date" dataDxfId="138" totalsRowDxfId="137"/>
    <tableColumn id="2" name="salle" dataDxfId="136" totalsRowDxfId="135"/>
    <tableColumn id="3" name="couloir" dataDxfId="134" totalsRowDxfId="133"/>
    <tableColumn id="4" name="cotation" dataDxfId="132" totalsRowDxfId="131"/>
    <tableColumn id="6" name="Dévers en moulinette à vue" dataDxfId="130" totalsRowDxfId="129"/>
    <tableColumn id="5" name="Colonne1" totalsRowFunction="custom" dataDxfId="128" totalsRowDxfId="127">
      <calculatedColumnFormula>COUNTIF(Tableau35307[[#This Row],[cotation]:[Dévers en moulinette à vue]],Tableau35307[[#This Row],[Dévers en moulinette à vue]])</calculatedColumnFormula>
      <totalsRowFormula>IF(ISERROR(MATCH(1,Tableau35307[Colonne1],0)),"-",MATCH(1,Tableau35307[Colonne1],0))</totalsRowFormula>
    </tableColumn>
    <tableColumn id="7" name="Dévers en moulinette en travail" dataDxfId="126" totalsRowDxfId="125"/>
    <tableColumn id="12" name="Colonne2" dataDxfId="124" totalsRowDxfId="123"/>
    <tableColumn id="8" name="Dévers en moulinette après travail" dataDxfId="122" totalsRowDxfId="121"/>
    <tableColumn id="13" name="perf DEMAT" totalsRowFunction="custom" dataDxfId="120" totalsRowDxfId="119">
      <calculatedColumnFormula>COUNTIF(I2,I2)</calculatedColumnFormula>
      <totalsRowFormula>IF(ISERROR(MATCH(1,Tableau35307[perf DEMAT],0)),"-",MATCH(1,Tableau35307[perf DEMAT],0))</totalsRowFormula>
    </tableColumn>
    <tableColumn id="9" name="Dévers en tête à vue" dataDxfId="118" totalsRowDxfId="117"/>
    <tableColumn id="14" name="perf DeTAV" totalsRowFunction="custom" dataDxfId="116" totalsRowDxfId="115">
      <calculatedColumnFormula>COUNTIF(K2,K2)</calculatedColumnFormula>
      <totalsRowFormula>IF(ISERROR(MATCH(1,Tableau35307[perf DeTAV],0)),"-",MATCH(1,Tableau35307[perf DeTAV],0))</totalsRowFormula>
    </tableColumn>
    <tableColumn id="10" name="Dévers en tête en travail" dataDxfId="114" totalsRowDxfId="113"/>
    <tableColumn id="15" name="Colonne3" totalsRowFunction="custom" dataDxfId="112" totalsRowDxfId="111">
      <calculatedColumnFormula>COUNTIF(M2,M2)</calculatedColumnFormula>
      <totalsRowFormula>IF(ISERROR(MATCH(1,Tableau35307[Colonne3],0)),"-",MATCH(1,Tableau35307[Colonne3],0))</totalsRowFormula>
    </tableColumn>
    <tableColumn id="11" name="Dévers en tête après travail" dataDxfId="110" totalsRowDxfId="109"/>
    <tableColumn id="16" name="perf DeTAT" totalsRowFunction="custom" dataDxfId="108" totalsRowDxfId="107">
      <calculatedColumnFormula>COUNTIF(Tableau35307[[#This Row],[Dévers en tête après travail]],Tableau35307[[#This Row],[Dévers en tête après travail]])</calculatedColumnFormula>
      <totalsRowFormula>IF(ISERROR(MATCH(1,Tableau35307[perf DeTAT],0)),"-",MATCH(1,Tableau35307[perf DeTAT],0))</totalsRowFormula>
    </tableColumn>
  </tableColumns>
  <tableStyleInfo name="TableStyleLight16" showFirstColumn="0" showLastColumn="0" showRowStripes="1" showColumnStripes="0"/>
</table>
</file>

<file path=xl/tables/table7.xml><?xml version="1.0" encoding="utf-8"?>
<table xmlns="http://schemas.openxmlformats.org/spreadsheetml/2006/main" id="32" name="Tableau353033" displayName="Tableau353033" ref="R2:AD29" totalsRowCount="1" headerRowDxfId="106" dataDxfId="104" headerRowBorderDxfId="105" tableBorderDxfId="103">
  <tableColumns count="13">
    <tableColumn id="4" name="cotation" dataDxfId="102" totalsRowDxfId="101"/>
    <tableColumn id="6" name="Dalle en moulinettte à vue" dataDxfId="100" totalsRowDxfId="99"/>
    <tableColumn id="5" name="." totalsRowFunction="custom" dataDxfId="98" totalsRowDxfId="97">
      <calculatedColumnFormula>COUNTIF(Tableau353033[[#This Row],[cotation]:[Dalle en moulinettte à vue]],Tableau353033[[#This Row],[Dalle en moulinettte à vue]])</calculatedColumnFormula>
      <totalsRowFormula>IF(ISERROR(MATCH(1,Tableau353033[.],0)),"-",MATCH(1,Tableau353033[.],0))</totalsRowFormula>
    </tableColumn>
    <tableColumn id="7" name="Dalle en moulinette en travail" dataDxfId="96" totalsRowDxfId="95"/>
    <tableColumn id="12" name="perf DaMET" totalsRowFunction="custom" dataDxfId="94" totalsRowDxfId="93">
      <calculatedColumnFormula>COUNTIF(U3,Tableau353033[[#This Row],[Dalle en moulinette en travail]])</calculatedColumnFormula>
      <totalsRowFormula>IF(ISERROR(MATCH(1,Tableau353033[perf DaMET],0)),"-",MATCH(1,Tableau353033[perf DaMET],0))</totalsRowFormula>
    </tableColumn>
    <tableColumn id="8" name="Dalle en moulinette après travail" dataDxfId="92" totalsRowDxfId="91"/>
    <tableColumn id="13" name="," totalsRowFunction="custom" dataDxfId="90" totalsRowDxfId="89">
      <calculatedColumnFormula>COUNTIF(W3,W3)</calculatedColumnFormula>
      <totalsRowFormula>IF(ISERROR(MATCH(1,Tableau353033[,],0)),"-",MATCH(1,Tableau353033[,],0))</totalsRowFormula>
    </tableColumn>
    <tableColumn id="9" name="Dalle en tête à vue" dataDxfId="88" totalsRowDxfId="87"/>
    <tableColumn id="14" name="perf DaTAV" totalsRowFunction="custom" dataDxfId="86" totalsRowDxfId="85">
      <calculatedColumnFormula>COUNTIF(Y3,Y3)</calculatedColumnFormula>
      <totalsRowFormula>IF(ISERROR(MATCH(1,Tableau353033[perf DaTAV],0)),"-",MATCH(1,Tableau353033[perf DaTAV],0))</totalsRowFormula>
    </tableColumn>
    <tableColumn id="10" name="Dalle en tête en travail" dataDxfId="84" totalsRowDxfId="83"/>
    <tableColumn id="15" name="perf DaTET" totalsRowFunction="custom" dataDxfId="82" totalsRowDxfId="81">
      <calculatedColumnFormula>COUNTIF(AA3,AA3)</calculatedColumnFormula>
      <totalsRowFormula>IF(ISERROR(MATCH(1,Tableau353033[perf DaTET],0)),"-",MATCH(1,Tableau353033[perf DaTET],0))</totalsRowFormula>
    </tableColumn>
    <tableColumn id="11" name="Dalle en tête après travail" totalsRowFunction="custom" dataDxfId="80" totalsRowDxfId="79">
      <totalsRowFormula>IF(ISERROR(MATCH(1,Tableau353033[Dalle en tête après travail],0)),"-",MATCH(1,Tableau353033[Dalle en tête après travail],0))</totalsRowFormula>
    </tableColumn>
    <tableColumn id="16" name="Colonne1" totalsRowFunction="custom" dataDxfId="78" totalsRowDxfId="77">
      <calculatedColumnFormula>COUNTIF(Tableau353033[[#This Row],[Dalle en tête après travail]],Tableau353033[[#This Row],[Dalle en tête après travail]])</calculatedColumnFormula>
      <totalsRowFormula>IF(ISERROR(MATCH(1,Tableau353033[Colonne1],0)),"-",MATCH(1,Tableau353033[Colonne1],0))</totalsRowFormula>
    </tableColumn>
  </tableColumns>
  <tableStyleInfo name="TableStyleLight16" showFirstColumn="0" showLastColumn="0" showRowStripes="1" showColumnStripes="0"/>
</table>
</file>

<file path=xl/tables/table8.xml><?xml version="1.0" encoding="utf-8"?>
<table xmlns="http://schemas.openxmlformats.org/spreadsheetml/2006/main" id="33" name="Tableau353034" displayName="Tableau353034" ref="AF2:AR29" totalsRowCount="1" headerRowDxfId="76" dataDxfId="74" headerRowBorderDxfId="75" tableBorderDxfId="73">
  <tableColumns count="13">
    <tableColumn id="4" name="cotation" dataDxfId="72" totalsRowDxfId="71"/>
    <tableColumn id="6" name="Mur droit en moulinette à vue" dataDxfId="70" totalsRowDxfId="69"/>
    <tableColumn id="5" name="perf MdMAV" totalsRowFunction="custom" dataDxfId="68" totalsRowDxfId="67">
      <calculatedColumnFormula>COUNTIF(Tableau353034[[#This Row],[cotation]:[Mur droit en moulinette à vue]],Tableau353034[[#This Row],[Mur droit en moulinette à vue]])</calculatedColumnFormula>
      <totalsRowFormula>IF(ISERROR(MATCH(1,Tableau353034[perf MdMAV],0)),"-",MATCH(1,Tableau353034[perf MdMAV],0))</totalsRowFormula>
    </tableColumn>
    <tableColumn id="7" name="Mur droit en moul. en travail" dataDxfId="66" totalsRowDxfId="65"/>
    <tableColumn id="12" name="perf MdMET" totalsRowFunction="custom" dataDxfId="64" totalsRowDxfId="63">
      <calculatedColumnFormula>COUNTIF(AI3,Tableau353034[[#This Row],[Mur droit en moul. en travail]])</calculatedColumnFormula>
      <totalsRowFormula>IF(ISERROR(MATCH(1,Tableau353034[perf MdMET],0)),"-",MATCH(1,Tableau353034[perf MdMET],0))</totalsRowFormula>
    </tableColumn>
    <tableColumn id="8" name="Mur droit en moul. après travail" dataDxfId="62" totalsRowDxfId="61"/>
    <tableColumn id="13" name="perf MdMAT" totalsRowFunction="custom" dataDxfId="60" totalsRowDxfId="59">
      <calculatedColumnFormula>COUNTIF(AK3,AK3)</calculatedColumnFormula>
      <totalsRowFormula>IF(ISERROR(MATCH(1,Tableau353034[perf MdMAT],0)),"-",MATCH(1,Tableau353034[perf MdMAT],0))</totalsRowFormula>
    </tableColumn>
    <tableColumn id="9" name="Mur droit en tête à vue" dataDxfId="58" totalsRowDxfId="57"/>
    <tableColumn id="14" name="perf MdTAV" totalsRowFunction="custom" dataDxfId="56" totalsRowDxfId="55">
      <calculatedColumnFormula>COUNTIF(AM3,AM3)</calculatedColumnFormula>
      <totalsRowFormula>IF(ISERROR(MATCH(1,Tableau353034[perf MdTAV],0)),"-",MATCH(1,Tableau353034[perf MdTAV],0))</totalsRowFormula>
    </tableColumn>
    <tableColumn id="10" name="Mur droit en tête en travail" dataDxfId="54" totalsRowDxfId="53"/>
    <tableColumn id="15" name="perf MdTET" totalsRowFunction="custom" dataDxfId="52" totalsRowDxfId="51">
      <totalsRowFormula>IF(ISERROR(MATCH(1,Tableau353034[perf MdTET],0)),"-",MATCH(1,Tableau353034[perf MdTET],0))</totalsRowFormula>
    </tableColumn>
    <tableColumn id="11" name="Mur droit en tête après travail" dataDxfId="50" totalsRowDxfId="49"/>
    <tableColumn id="16" name="perf MdTAT" totalsRowFunction="custom" dataDxfId="48" totalsRowDxfId="47">
      <calculatedColumnFormula>COUNTIF(Tableau353034[[#This Row],[Mur droit en tête après travail]],Tableau353034[[#This Row],[Mur droit en tête après travail]])</calculatedColumnFormula>
      <totalsRowFormula>IF(ISERROR(MATCH(1,Tableau353034[perf MdTAT],0)),"-",MATCH(1,Tableau353034[perf MdTAT],0))</totalsRowFormula>
    </tableColumn>
  </tableColumns>
  <tableStyleInfo name="TableStyleLight16" showFirstColumn="0" showLastColumn="0" showRowStripes="1" showColumnStripes="0"/>
</table>
</file>

<file path=xl/tables/table9.xml><?xml version="1.0" encoding="utf-8"?>
<table xmlns="http://schemas.openxmlformats.org/spreadsheetml/2006/main" id="1" name="Tableau1" displayName="Tableau1" ref="AU4:AV53" totalsRowShown="0" headerRowDxfId="46" dataDxfId="45">
  <autoFilter ref="AU4:AV53"/>
  <tableColumns count="2">
    <tableColumn id="1" name="Perf " dataDxfId="44"/>
    <tableColumn id="2" name="Colonne1" dataDxfId="43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id="36" name="Tableau37" displayName="Tableau37" ref="BA5:BD32" totalsRowShown="0" headerRowDxfId="42">
  <autoFilter ref="BA5:BD32"/>
  <tableColumns count="4">
    <tableColumn id="1" name="calcul intensité"/>
    <tableColumn id="2" name="Colonne1"/>
    <tableColumn id="3" name="Colonne2"/>
    <tableColumn id="4" name="Colonne3"/>
  </tableColumns>
  <tableStyleInfo name="TableStyleMedium9" showFirstColumn="0" showLastColumn="0" showRowStripes="1" showColumnStripes="0"/>
</table>
</file>

<file path=xl/tables/table11.xml><?xml version="1.0" encoding="utf-8"?>
<table xmlns="http://schemas.openxmlformats.org/spreadsheetml/2006/main" id="29" name="Tableau3530" displayName="Tableau3530" ref="A2:P29" totalsRowCount="1" headerRowDxfId="41" dataDxfId="39" totalsRowDxfId="37" headerRowBorderDxfId="40" tableBorderDxfId="38">
  <tableColumns count="16">
    <tableColumn id="1" name="date" dataDxfId="36" totalsRowDxfId="35"/>
    <tableColumn id="2" name="salle" dataDxfId="34" totalsRowDxfId="33"/>
    <tableColumn id="3" name="couloir" dataDxfId="32" totalsRowDxfId="31"/>
    <tableColumn id="4" name="cotation" dataDxfId="30" totalsRowDxfId="29"/>
    <tableColumn id="6" name="Dévers en moulinette à vue" dataDxfId="28" totalsRowDxfId="27"/>
    <tableColumn id="5" name="Colonne1" totalsRowFunction="custom" dataDxfId="26" totalsRowDxfId="25">
      <calculatedColumnFormula>COUNTIF(Tableau3530[[#This Row],[cotation]:[Dévers en moulinette à vue]],Tableau3530[[#This Row],[Dévers en moulinette à vue]])</calculatedColumnFormula>
      <totalsRowFormula>IF(ISERROR(MATCH(1,Tableau3530[Colonne1],0)),"-",MATCH(1,Tableau3530[Colonne1],0))</totalsRowFormula>
    </tableColumn>
    <tableColumn id="7" name="Dévers en moulinette en travail" dataDxfId="24" totalsRowDxfId="23"/>
    <tableColumn id="12" name="Colonne2" dataDxfId="22" totalsRowDxfId="21"/>
    <tableColumn id="8" name="Dévers en moulinette après travail" dataDxfId="20" totalsRowDxfId="19"/>
    <tableColumn id="13" name="perf DEMAT" totalsRowFunction="custom" dataDxfId="18" totalsRowDxfId="17">
      <calculatedColumnFormula>COUNTIF(I3,I3)</calculatedColumnFormula>
      <totalsRowFormula>IF(ISERROR(MATCH(1,Tableau3530[perf DEMAT],0)),"-",MATCH(1,Tableau3530[perf DEMAT],0))</totalsRowFormula>
    </tableColumn>
    <tableColumn id="9" name="Dévers en tête à vue" dataDxfId="16" totalsRowDxfId="15"/>
    <tableColumn id="14" name="perf DeTAV" totalsRowFunction="custom" dataDxfId="14" totalsRowDxfId="13">
      <calculatedColumnFormula>COUNTIF(K3,K3)</calculatedColumnFormula>
      <totalsRowFormula>IF(ISERROR(MATCH(1,Tableau3530[perf DeTAV],0)),"-",MATCH(1,Tableau3530[perf DeTAV],0))</totalsRowFormula>
    </tableColumn>
    <tableColumn id="10" name="Dévers en tête en travail" dataDxfId="12" totalsRowDxfId="11"/>
    <tableColumn id="15" name="Colonne3" totalsRowFunction="custom" dataDxfId="10" totalsRowDxfId="9">
      <calculatedColumnFormula>COUNTIF(M3,M3)</calculatedColumnFormula>
      <totalsRowFormula>IF(ISERROR(MATCH(1,Tableau3530[Colonne3],0)),"-",MATCH(1,Tableau3530[Colonne3],0))</totalsRowFormula>
    </tableColumn>
    <tableColumn id="11" name="Dévers en tête après travail" dataDxfId="8" totalsRowDxfId="7"/>
    <tableColumn id="16" name="perf DeTAT" totalsRowFunction="custom" dataDxfId="6" totalsRowDxfId="5">
      <calculatedColumnFormula>COUNTIF(Tableau3530[[#This Row],[Dévers en tête après travail]],Tableau3530[[#This Row],[Dévers en tête après travail]])</calculatedColumnFormula>
      <totalsRowFormula>IF(ISERROR(MATCH(1,Tableau3530[perf DeTAT],0)),"-",MATCH(1,Tableau3530[perf DeTAT],0))</totalsRowFormula>
    </tableColumn>
  </tableColumns>
  <tableStyleInfo name="TableStyleLight16" showFirstColumn="0" showLastColumn="0" showRowStripes="1" showColumnStripes="0"/>
</table>
</file>

<file path=xl/tables/table12.xml><?xml version="1.0" encoding="utf-8"?>
<table xmlns="http://schemas.openxmlformats.org/spreadsheetml/2006/main" id="17" name="Tableau118" displayName="Tableau118" ref="A1:C50" totalsRowShown="0" headerRowDxfId="4" dataDxfId="3">
  <tableColumns count="3">
    <tableColumn id="1" name="Performance globale" dataDxfId="2"/>
    <tableColumn id="2" name="10-févr" dataDxfId="1"/>
    <tableColumn id="3" name="13-févr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1.xml"/><Relationship Id="rId3" Type="http://schemas.openxmlformats.org/officeDocument/2006/relationships/vmlDrawing" Target="../drawings/vmlDrawing2.vml"/><Relationship Id="rId7" Type="http://schemas.openxmlformats.org/officeDocument/2006/relationships/table" Target="../tables/table10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9.xml"/><Relationship Id="rId5" Type="http://schemas.openxmlformats.org/officeDocument/2006/relationships/table" Target="../tables/table8.xml"/><Relationship Id="rId4" Type="http://schemas.openxmlformats.org/officeDocument/2006/relationships/table" Target="../tables/table7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BL40"/>
  <sheetViews>
    <sheetView workbookViewId="0">
      <selection activeCell="D13" sqref="D13"/>
    </sheetView>
  </sheetViews>
  <sheetFormatPr baseColWidth="10" defaultRowHeight="15" x14ac:dyDescent="0.25"/>
  <cols>
    <col min="1" max="1" width="1.85546875" style="179" customWidth="1"/>
    <col min="2" max="2" width="3.5703125" style="179" customWidth="1"/>
    <col min="3" max="3" width="2.85546875" style="179" customWidth="1"/>
    <col min="4" max="4" width="14.42578125" style="180" customWidth="1"/>
    <col min="5" max="5" width="1" style="181" customWidth="1"/>
    <col min="6" max="6" width="3.5703125" style="179" customWidth="1"/>
    <col min="7" max="7" width="2.85546875" style="179" customWidth="1"/>
    <col min="8" max="8" width="14.42578125" style="180" customWidth="1"/>
    <col min="9" max="9" width="1" style="181" customWidth="1"/>
    <col min="10" max="10" width="3.5703125" style="179" customWidth="1"/>
    <col min="11" max="11" width="2.85546875" style="179" customWidth="1"/>
    <col min="12" max="12" width="14.42578125" style="180" customWidth="1"/>
    <col min="13" max="13" width="1" style="181" customWidth="1"/>
    <col min="14" max="14" width="3.5703125" style="179" customWidth="1"/>
    <col min="15" max="15" width="2.85546875" style="179" customWidth="1"/>
    <col min="16" max="16" width="14.42578125" style="180" customWidth="1"/>
    <col min="17" max="17" width="1" style="181" customWidth="1"/>
    <col min="18" max="18" width="3.5703125" style="179" customWidth="1"/>
    <col min="19" max="19" width="2.85546875" style="179" customWidth="1"/>
    <col min="20" max="20" width="14.42578125" style="180" customWidth="1"/>
    <col min="21" max="21" width="1" style="181" customWidth="1"/>
    <col min="22" max="22" width="3.5703125" style="179" customWidth="1"/>
    <col min="23" max="23" width="2.85546875" style="179" customWidth="1"/>
    <col min="24" max="24" width="14.42578125" style="180" customWidth="1"/>
    <col min="25" max="25" width="1" style="181" customWidth="1"/>
    <col min="26" max="26" width="3.5703125" style="179" customWidth="1"/>
    <col min="27" max="27" width="2.85546875" style="179" customWidth="1"/>
    <col min="28" max="28" width="14.42578125" style="180" customWidth="1"/>
    <col min="29" max="29" width="1" style="181" customWidth="1"/>
    <col min="30" max="30" width="3.5703125" style="179" customWidth="1"/>
    <col min="31" max="31" width="2.85546875" style="179" customWidth="1"/>
    <col min="32" max="32" width="14.42578125" style="180" customWidth="1"/>
    <col min="33" max="33" width="1" style="181" customWidth="1"/>
    <col min="34" max="34" width="3.5703125" style="179" customWidth="1"/>
    <col min="35" max="35" width="2.85546875" style="179" customWidth="1"/>
    <col min="36" max="36" width="14.42578125" style="180" customWidth="1"/>
    <col min="37" max="37" width="1" style="181" customWidth="1"/>
    <col min="38" max="38" width="3.5703125" style="179" customWidth="1"/>
    <col min="39" max="39" width="2.85546875" style="179" customWidth="1"/>
    <col min="40" max="40" width="14.42578125" style="180" customWidth="1"/>
    <col min="41" max="41" width="1" style="181" customWidth="1"/>
    <col min="42" max="42" width="3.5703125" style="179" customWidth="1"/>
    <col min="43" max="43" width="2.85546875" style="179" customWidth="1"/>
    <col min="44" max="44" width="14.42578125" style="180" customWidth="1"/>
    <col min="45" max="45" width="1" style="181" customWidth="1"/>
    <col min="46" max="46" width="3.5703125" style="179" customWidth="1"/>
    <col min="47" max="47" width="2.85546875" style="179" customWidth="1"/>
    <col min="48" max="48" width="14.42578125" style="180" customWidth="1"/>
    <col min="49" max="49" width="11.42578125" style="210"/>
    <col min="50" max="64" width="11.42578125" style="181"/>
    <col min="65" max="16384" width="11.42578125" style="179"/>
  </cols>
  <sheetData>
    <row r="1" spans="2:64" ht="12.75" customHeight="1" x14ac:dyDescent="0.25">
      <c r="AW1" s="182"/>
    </row>
    <row r="2" spans="2:64" s="186" customFormat="1" ht="19.5" customHeight="1" x14ac:dyDescent="0.25">
      <c r="B2" s="315" t="s">
        <v>119</v>
      </c>
      <c r="C2" s="316"/>
      <c r="D2" s="317"/>
      <c r="E2" s="183"/>
      <c r="F2" s="315" t="s">
        <v>120</v>
      </c>
      <c r="G2" s="316"/>
      <c r="H2" s="317"/>
      <c r="I2" s="183"/>
      <c r="J2" s="315" t="s">
        <v>121</v>
      </c>
      <c r="K2" s="316"/>
      <c r="L2" s="317"/>
      <c r="M2" s="183"/>
      <c r="N2" s="315" t="s">
        <v>122</v>
      </c>
      <c r="O2" s="316"/>
      <c r="P2" s="317"/>
      <c r="Q2" s="183"/>
      <c r="R2" s="315" t="s">
        <v>123</v>
      </c>
      <c r="S2" s="316"/>
      <c r="T2" s="317"/>
      <c r="U2" s="183"/>
      <c r="V2" s="315" t="s">
        <v>124</v>
      </c>
      <c r="W2" s="316"/>
      <c r="X2" s="317"/>
      <c r="Y2" s="183"/>
      <c r="Z2" s="315" t="s">
        <v>125</v>
      </c>
      <c r="AA2" s="316"/>
      <c r="AB2" s="317"/>
      <c r="AC2" s="183"/>
      <c r="AD2" s="315" t="s">
        <v>126</v>
      </c>
      <c r="AE2" s="316"/>
      <c r="AF2" s="317"/>
      <c r="AG2" s="183"/>
      <c r="AH2" s="315" t="s">
        <v>127</v>
      </c>
      <c r="AI2" s="316"/>
      <c r="AJ2" s="317"/>
      <c r="AK2" s="183"/>
      <c r="AL2" s="315" t="s">
        <v>128</v>
      </c>
      <c r="AM2" s="316"/>
      <c r="AN2" s="317"/>
      <c r="AO2" s="183"/>
      <c r="AP2" s="315" t="s">
        <v>129</v>
      </c>
      <c r="AQ2" s="316"/>
      <c r="AR2" s="317"/>
      <c r="AS2" s="183"/>
      <c r="AT2" s="315" t="s">
        <v>130</v>
      </c>
      <c r="AU2" s="316"/>
      <c r="AV2" s="317"/>
      <c r="AW2" s="184"/>
      <c r="AX2" s="184"/>
      <c r="AY2" s="184"/>
      <c r="AZ2" s="185"/>
      <c r="BA2" s="184"/>
      <c r="BB2" s="184"/>
      <c r="BC2" s="184"/>
      <c r="BD2" s="184"/>
      <c r="BE2" s="184"/>
      <c r="BF2" s="184"/>
      <c r="BG2" s="184"/>
      <c r="BH2" s="184"/>
      <c r="BI2" s="184"/>
      <c r="BJ2" s="184"/>
      <c r="BK2" s="184"/>
      <c r="BL2" s="184"/>
    </row>
    <row r="3" spans="2:64" x14ac:dyDescent="0.25">
      <c r="B3" s="187" t="s">
        <v>131</v>
      </c>
      <c r="C3" s="188">
        <v>41275</v>
      </c>
      <c r="D3" s="189"/>
      <c r="E3" s="190"/>
      <c r="F3" s="191" t="s">
        <v>132</v>
      </c>
      <c r="G3" s="192">
        <v>41306</v>
      </c>
      <c r="H3" s="193"/>
      <c r="I3" s="190"/>
      <c r="J3" s="191" t="s">
        <v>132</v>
      </c>
      <c r="K3" s="192">
        <v>41334</v>
      </c>
      <c r="L3" s="193"/>
      <c r="M3" s="190"/>
      <c r="N3" s="187" t="s">
        <v>133</v>
      </c>
      <c r="O3" s="188">
        <v>41365</v>
      </c>
      <c r="P3" s="189"/>
      <c r="Q3" s="190"/>
      <c r="R3" s="187" t="s">
        <v>134</v>
      </c>
      <c r="S3" s="188">
        <v>41395</v>
      </c>
      <c r="T3" s="189"/>
      <c r="U3" s="190"/>
      <c r="V3" s="191" t="s">
        <v>135</v>
      </c>
      <c r="W3" s="192">
        <v>41426</v>
      </c>
      <c r="X3" s="193"/>
      <c r="Y3" s="190"/>
      <c r="Z3" s="187" t="s">
        <v>133</v>
      </c>
      <c r="AA3" s="188">
        <v>41456</v>
      </c>
      <c r="AB3" s="189"/>
      <c r="AC3" s="190"/>
      <c r="AD3" s="187" t="s">
        <v>136</v>
      </c>
      <c r="AE3" s="188">
        <v>41487</v>
      </c>
      <c r="AF3" s="189"/>
      <c r="AG3" s="190"/>
      <c r="AH3" s="187" t="s">
        <v>137</v>
      </c>
      <c r="AI3" s="188">
        <v>41518</v>
      </c>
      <c r="AJ3" s="189"/>
      <c r="AK3" s="190"/>
      <c r="AL3" s="187" t="s">
        <v>131</v>
      </c>
      <c r="AM3" s="188">
        <v>41548</v>
      </c>
      <c r="AN3" s="189"/>
      <c r="AO3" s="190"/>
      <c r="AP3" s="191" t="s">
        <v>132</v>
      </c>
      <c r="AQ3" s="192">
        <v>41579</v>
      </c>
      <c r="AR3" s="193"/>
      <c r="AS3" s="190"/>
      <c r="AT3" s="187" t="s">
        <v>137</v>
      </c>
      <c r="AU3" s="188">
        <v>41609</v>
      </c>
      <c r="AV3" s="189"/>
      <c r="AW3" s="181"/>
    </row>
    <row r="4" spans="2:64" x14ac:dyDescent="0.25">
      <c r="B4" s="187" t="s">
        <v>134</v>
      </c>
      <c r="C4" s="194">
        <v>41276</v>
      </c>
      <c r="D4" s="195"/>
      <c r="E4" s="196"/>
      <c r="F4" s="191" t="s">
        <v>135</v>
      </c>
      <c r="G4" s="197">
        <v>41307</v>
      </c>
      <c r="H4" s="198"/>
      <c r="I4" s="196"/>
      <c r="J4" s="191" t="s">
        <v>135</v>
      </c>
      <c r="K4" s="197">
        <v>41335</v>
      </c>
      <c r="L4" s="198"/>
      <c r="M4" s="196"/>
      <c r="N4" s="187" t="s">
        <v>131</v>
      </c>
      <c r="O4" s="194">
        <v>41366</v>
      </c>
      <c r="P4" s="195"/>
      <c r="Q4" s="196"/>
      <c r="R4" s="187" t="s">
        <v>136</v>
      </c>
      <c r="S4" s="194">
        <v>41396</v>
      </c>
      <c r="T4" s="195"/>
      <c r="U4" s="196"/>
      <c r="V4" s="187" t="s">
        <v>137</v>
      </c>
      <c r="W4" s="194">
        <v>41427</v>
      </c>
      <c r="X4" s="195"/>
      <c r="Y4" s="196"/>
      <c r="Z4" s="187" t="s">
        <v>131</v>
      </c>
      <c r="AA4" s="194">
        <v>41457</v>
      </c>
      <c r="AB4" s="195"/>
      <c r="AC4" s="196"/>
      <c r="AD4" s="191" t="s">
        <v>132</v>
      </c>
      <c r="AE4" s="197">
        <v>41488</v>
      </c>
      <c r="AF4" s="198"/>
      <c r="AG4" s="196"/>
      <c r="AH4" s="187" t="s">
        <v>133</v>
      </c>
      <c r="AI4" s="194">
        <v>41519</v>
      </c>
      <c r="AJ4" s="195"/>
      <c r="AK4" s="196"/>
      <c r="AL4" s="187" t="s">
        <v>134</v>
      </c>
      <c r="AM4" s="194">
        <v>41549</v>
      </c>
      <c r="AN4" s="195"/>
      <c r="AO4" s="196"/>
      <c r="AP4" s="191" t="s">
        <v>135</v>
      </c>
      <c r="AQ4" s="197">
        <v>41580</v>
      </c>
      <c r="AR4" s="198"/>
      <c r="AS4" s="196"/>
      <c r="AT4" s="187" t="s">
        <v>133</v>
      </c>
      <c r="AU4" s="194">
        <v>41610</v>
      </c>
      <c r="AV4" s="195"/>
      <c r="AW4" s="181"/>
    </row>
    <row r="5" spans="2:64" x14ac:dyDescent="0.25">
      <c r="B5" s="187" t="s">
        <v>136</v>
      </c>
      <c r="C5" s="194">
        <v>41277</v>
      </c>
      <c r="D5" s="195"/>
      <c r="E5" s="196"/>
      <c r="F5" s="187" t="s">
        <v>137</v>
      </c>
      <c r="G5" s="194">
        <v>41308</v>
      </c>
      <c r="H5" s="195"/>
      <c r="I5" s="196"/>
      <c r="J5" s="187" t="s">
        <v>137</v>
      </c>
      <c r="K5" s="194">
        <v>41336</v>
      </c>
      <c r="L5" s="195"/>
      <c r="M5" s="196"/>
      <c r="N5" s="187" t="s">
        <v>134</v>
      </c>
      <c r="O5" s="194">
        <v>41367</v>
      </c>
      <c r="P5" s="195"/>
      <c r="Q5" s="196"/>
      <c r="R5" s="191" t="s">
        <v>132</v>
      </c>
      <c r="S5" s="197">
        <v>41397</v>
      </c>
      <c r="T5" s="198"/>
      <c r="U5" s="196"/>
      <c r="V5" s="187" t="s">
        <v>133</v>
      </c>
      <c r="W5" s="194">
        <v>41428</v>
      </c>
      <c r="X5" s="195"/>
      <c r="Y5" s="196"/>
      <c r="Z5" s="187" t="s">
        <v>134</v>
      </c>
      <c r="AA5" s="194">
        <v>41458</v>
      </c>
      <c r="AB5" s="195"/>
      <c r="AC5" s="196"/>
      <c r="AD5" s="191" t="s">
        <v>135</v>
      </c>
      <c r="AE5" s="197">
        <v>41489</v>
      </c>
      <c r="AF5" s="198"/>
      <c r="AG5" s="196"/>
      <c r="AH5" s="187" t="s">
        <v>131</v>
      </c>
      <c r="AI5" s="194">
        <v>41520</v>
      </c>
      <c r="AJ5" s="195"/>
      <c r="AK5" s="196"/>
      <c r="AL5" s="187" t="s">
        <v>136</v>
      </c>
      <c r="AM5" s="194">
        <v>41550</v>
      </c>
      <c r="AN5" s="195"/>
      <c r="AO5" s="196"/>
      <c r="AP5" s="187" t="s">
        <v>137</v>
      </c>
      <c r="AQ5" s="194">
        <v>41581</v>
      </c>
      <c r="AR5" s="195"/>
      <c r="AS5" s="196"/>
      <c r="AT5" s="187" t="s">
        <v>131</v>
      </c>
      <c r="AU5" s="194">
        <v>41611</v>
      </c>
      <c r="AV5" s="195"/>
      <c r="AW5" s="181"/>
    </row>
    <row r="6" spans="2:64" x14ac:dyDescent="0.25">
      <c r="B6" s="191" t="s">
        <v>132</v>
      </c>
      <c r="C6" s="197">
        <v>41278</v>
      </c>
      <c r="D6" s="198"/>
      <c r="E6" s="196"/>
      <c r="F6" s="187" t="s">
        <v>133</v>
      </c>
      <c r="G6" s="194">
        <v>41309</v>
      </c>
      <c r="H6" s="195"/>
      <c r="I6" s="196"/>
      <c r="J6" s="187" t="s">
        <v>133</v>
      </c>
      <c r="K6" s="194">
        <v>41337</v>
      </c>
      <c r="L6" s="195"/>
      <c r="M6" s="196"/>
      <c r="N6" s="187" t="s">
        <v>136</v>
      </c>
      <c r="O6" s="194">
        <v>41368</v>
      </c>
      <c r="P6" s="195"/>
      <c r="Q6" s="196"/>
      <c r="R6" s="191" t="s">
        <v>135</v>
      </c>
      <c r="S6" s="197">
        <v>41398</v>
      </c>
      <c r="T6" s="198"/>
      <c r="U6" s="196"/>
      <c r="V6" s="187" t="s">
        <v>131</v>
      </c>
      <c r="W6" s="194">
        <v>41429</v>
      </c>
      <c r="X6" s="195"/>
      <c r="Y6" s="196"/>
      <c r="Z6" s="187" t="s">
        <v>136</v>
      </c>
      <c r="AA6" s="194">
        <v>41459</v>
      </c>
      <c r="AB6" s="195"/>
      <c r="AC6" s="196"/>
      <c r="AD6" s="187" t="s">
        <v>137</v>
      </c>
      <c r="AE6" s="194">
        <v>41490</v>
      </c>
      <c r="AF6" s="195"/>
      <c r="AG6" s="196"/>
      <c r="AH6" s="187" t="s">
        <v>134</v>
      </c>
      <c r="AI6" s="194">
        <v>41521</v>
      </c>
      <c r="AJ6" s="195"/>
      <c r="AK6" s="196"/>
      <c r="AL6" s="191" t="s">
        <v>132</v>
      </c>
      <c r="AM6" s="197">
        <v>41551</v>
      </c>
      <c r="AN6" s="198"/>
      <c r="AO6" s="196"/>
      <c r="AP6" s="187" t="s">
        <v>133</v>
      </c>
      <c r="AQ6" s="194">
        <v>41582</v>
      </c>
      <c r="AR6" s="195"/>
      <c r="AS6" s="196"/>
      <c r="AT6" s="187" t="s">
        <v>134</v>
      </c>
      <c r="AU6" s="194">
        <v>41612</v>
      </c>
      <c r="AV6" s="195"/>
      <c r="AW6" s="181"/>
    </row>
    <row r="7" spans="2:64" x14ac:dyDescent="0.25">
      <c r="B7" s="191" t="s">
        <v>135</v>
      </c>
      <c r="C7" s="197">
        <v>41279</v>
      </c>
      <c r="D7" s="198"/>
      <c r="E7" s="196"/>
      <c r="F7" s="187" t="s">
        <v>131</v>
      </c>
      <c r="G7" s="194">
        <v>41310</v>
      </c>
      <c r="H7" s="195"/>
      <c r="I7" s="196"/>
      <c r="J7" s="187" t="s">
        <v>131</v>
      </c>
      <c r="K7" s="194">
        <v>41338</v>
      </c>
      <c r="L7" s="195"/>
      <c r="M7" s="196"/>
      <c r="N7" s="191" t="s">
        <v>132</v>
      </c>
      <c r="O7" s="197">
        <v>41369</v>
      </c>
      <c r="P7" s="198"/>
      <c r="Q7" s="196"/>
      <c r="R7" s="187" t="s">
        <v>137</v>
      </c>
      <c r="S7" s="194">
        <v>41399</v>
      </c>
      <c r="T7" s="195"/>
      <c r="U7" s="196"/>
      <c r="V7" s="187" t="s">
        <v>134</v>
      </c>
      <c r="W7" s="194">
        <v>41430</v>
      </c>
      <c r="X7" s="195"/>
      <c r="Y7" s="196"/>
      <c r="Z7" s="191" t="s">
        <v>132</v>
      </c>
      <c r="AA7" s="197">
        <v>41460</v>
      </c>
      <c r="AB7" s="198"/>
      <c r="AC7" s="196"/>
      <c r="AD7" s="187" t="s">
        <v>133</v>
      </c>
      <c r="AE7" s="194">
        <v>41491</v>
      </c>
      <c r="AF7" s="195"/>
      <c r="AG7" s="196"/>
      <c r="AH7" s="187" t="s">
        <v>136</v>
      </c>
      <c r="AI7" s="194">
        <v>41522</v>
      </c>
      <c r="AJ7" s="195"/>
      <c r="AK7" s="196"/>
      <c r="AL7" s="191" t="s">
        <v>135</v>
      </c>
      <c r="AM7" s="197">
        <v>41552</v>
      </c>
      <c r="AN7" s="198"/>
      <c r="AO7" s="196"/>
      <c r="AP7" s="187" t="s">
        <v>131</v>
      </c>
      <c r="AQ7" s="194">
        <v>41583</v>
      </c>
      <c r="AR7" s="195"/>
      <c r="AS7" s="196"/>
      <c r="AT7" s="187" t="s">
        <v>136</v>
      </c>
      <c r="AU7" s="194">
        <v>41613</v>
      </c>
      <c r="AV7" s="195"/>
      <c r="AW7" s="181"/>
    </row>
    <row r="8" spans="2:64" x14ac:dyDescent="0.25">
      <c r="B8" s="187" t="s">
        <v>137</v>
      </c>
      <c r="C8" s="194">
        <v>41280</v>
      </c>
      <c r="D8" s="195"/>
      <c r="E8" s="196"/>
      <c r="F8" s="187" t="s">
        <v>134</v>
      </c>
      <c r="G8" s="194">
        <v>41311</v>
      </c>
      <c r="H8" s="195"/>
      <c r="I8" s="196"/>
      <c r="J8" s="187" t="s">
        <v>134</v>
      </c>
      <c r="K8" s="194">
        <v>41339</v>
      </c>
      <c r="L8" s="195"/>
      <c r="M8" s="196"/>
      <c r="N8" s="191" t="s">
        <v>135</v>
      </c>
      <c r="O8" s="197">
        <v>41370</v>
      </c>
      <c r="P8" s="198"/>
      <c r="Q8" s="196"/>
      <c r="R8" s="187" t="s">
        <v>133</v>
      </c>
      <c r="S8" s="194">
        <v>41400</v>
      </c>
      <c r="T8" s="195"/>
      <c r="U8" s="196"/>
      <c r="V8" s="187" t="s">
        <v>136</v>
      </c>
      <c r="W8" s="194">
        <v>41431</v>
      </c>
      <c r="X8" s="195"/>
      <c r="Y8" s="196"/>
      <c r="Z8" s="191" t="s">
        <v>135</v>
      </c>
      <c r="AA8" s="197">
        <v>41461</v>
      </c>
      <c r="AB8" s="198"/>
      <c r="AC8" s="196"/>
      <c r="AD8" s="187" t="s">
        <v>131</v>
      </c>
      <c r="AE8" s="194">
        <v>41492</v>
      </c>
      <c r="AF8" s="195"/>
      <c r="AG8" s="196"/>
      <c r="AH8" s="191" t="s">
        <v>132</v>
      </c>
      <c r="AI8" s="197">
        <v>41523</v>
      </c>
      <c r="AJ8" s="198"/>
      <c r="AK8" s="196"/>
      <c r="AL8" s="187" t="s">
        <v>137</v>
      </c>
      <c r="AM8" s="194">
        <v>41553</v>
      </c>
      <c r="AN8" s="195"/>
      <c r="AO8" s="196"/>
      <c r="AP8" s="187" t="s">
        <v>134</v>
      </c>
      <c r="AQ8" s="194">
        <v>41584</v>
      </c>
      <c r="AR8" s="195"/>
      <c r="AS8" s="196"/>
      <c r="AT8" s="191" t="s">
        <v>132</v>
      </c>
      <c r="AU8" s="197">
        <v>41614</v>
      </c>
      <c r="AV8" s="198"/>
      <c r="AW8" s="181"/>
    </row>
    <row r="9" spans="2:64" x14ac:dyDescent="0.25">
      <c r="B9" s="187" t="s">
        <v>133</v>
      </c>
      <c r="C9" s="194">
        <v>41281</v>
      </c>
      <c r="D9" s="195"/>
      <c r="E9" s="196"/>
      <c r="F9" s="187" t="s">
        <v>136</v>
      </c>
      <c r="G9" s="194">
        <v>41312</v>
      </c>
      <c r="H9" s="195"/>
      <c r="I9" s="196"/>
      <c r="J9" s="187" t="s">
        <v>136</v>
      </c>
      <c r="K9" s="194">
        <v>41340</v>
      </c>
      <c r="L9" s="195"/>
      <c r="M9" s="196"/>
      <c r="N9" s="187" t="s">
        <v>137</v>
      </c>
      <c r="O9" s="194">
        <v>41371</v>
      </c>
      <c r="P9" s="195"/>
      <c r="Q9" s="196"/>
      <c r="R9" s="187" t="s">
        <v>131</v>
      </c>
      <c r="S9" s="194">
        <v>41401</v>
      </c>
      <c r="T9" s="195"/>
      <c r="U9" s="196"/>
      <c r="V9" s="191" t="s">
        <v>132</v>
      </c>
      <c r="W9" s="197">
        <v>41432</v>
      </c>
      <c r="X9" s="198"/>
      <c r="Y9" s="196"/>
      <c r="Z9" s="187" t="s">
        <v>137</v>
      </c>
      <c r="AA9" s="194">
        <v>41462</v>
      </c>
      <c r="AB9" s="195"/>
      <c r="AC9" s="196"/>
      <c r="AD9" s="187" t="s">
        <v>134</v>
      </c>
      <c r="AE9" s="194">
        <v>41493</v>
      </c>
      <c r="AF9" s="195"/>
      <c r="AG9" s="196"/>
      <c r="AH9" s="191" t="s">
        <v>135</v>
      </c>
      <c r="AI9" s="197">
        <v>41524</v>
      </c>
      <c r="AJ9" s="198"/>
      <c r="AK9" s="196"/>
      <c r="AL9" s="187" t="s">
        <v>133</v>
      </c>
      <c r="AM9" s="194">
        <v>41554</v>
      </c>
      <c r="AN9" s="195"/>
      <c r="AO9" s="196"/>
      <c r="AP9" s="187" t="s">
        <v>136</v>
      </c>
      <c r="AQ9" s="194">
        <v>41585</v>
      </c>
      <c r="AR9" s="195"/>
      <c r="AS9" s="196"/>
      <c r="AT9" s="191" t="s">
        <v>135</v>
      </c>
      <c r="AU9" s="197">
        <v>41615</v>
      </c>
      <c r="AV9" s="198"/>
      <c r="AW9" s="181"/>
    </row>
    <row r="10" spans="2:64" x14ac:dyDescent="0.25">
      <c r="B10" s="187" t="s">
        <v>131</v>
      </c>
      <c r="C10" s="194">
        <v>41282</v>
      </c>
      <c r="D10" s="195"/>
      <c r="E10" s="196"/>
      <c r="F10" s="191" t="s">
        <v>132</v>
      </c>
      <c r="G10" s="197">
        <v>41313</v>
      </c>
      <c r="H10" s="198"/>
      <c r="I10" s="196"/>
      <c r="J10" s="191" t="s">
        <v>132</v>
      </c>
      <c r="K10" s="197">
        <v>41341</v>
      </c>
      <c r="L10" s="198"/>
      <c r="M10" s="196"/>
      <c r="N10" s="187" t="s">
        <v>133</v>
      </c>
      <c r="O10" s="194">
        <v>41372</v>
      </c>
      <c r="P10" s="195"/>
      <c r="Q10" s="196"/>
      <c r="R10" s="187" t="s">
        <v>134</v>
      </c>
      <c r="S10" s="194">
        <v>41402</v>
      </c>
      <c r="T10" s="195"/>
      <c r="U10" s="196"/>
      <c r="V10" s="191" t="s">
        <v>135</v>
      </c>
      <c r="W10" s="197">
        <v>41433</v>
      </c>
      <c r="X10" s="198"/>
      <c r="Y10" s="196"/>
      <c r="Z10" s="187" t="s">
        <v>133</v>
      </c>
      <c r="AA10" s="194">
        <v>41463</v>
      </c>
      <c r="AB10" s="195"/>
      <c r="AC10" s="196"/>
      <c r="AD10" s="187" t="s">
        <v>136</v>
      </c>
      <c r="AE10" s="194">
        <v>41494</v>
      </c>
      <c r="AF10" s="195"/>
      <c r="AG10" s="196"/>
      <c r="AH10" s="187" t="s">
        <v>137</v>
      </c>
      <c r="AI10" s="194">
        <v>41525</v>
      </c>
      <c r="AJ10" s="195"/>
      <c r="AK10" s="196"/>
      <c r="AL10" s="187" t="s">
        <v>131</v>
      </c>
      <c r="AM10" s="194">
        <v>41555</v>
      </c>
      <c r="AN10" s="195"/>
      <c r="AO10" s="196"/>
      <c r="AP10" s="191" t="s">
        <v>132</v>
      </c>
      <c r="AQ10" s="197">
        <v>41586</v>
      </c>
      <c r="AR10" s="198"/>
      <c r="AS10" s="196"/>
      <c r="AT10" s="187" t="s">
        <v>137</v>
      </c>
      <c r="AU10" s="194">
        <v>41616</v>
      </c>
      <c r="AV10" s="195"/>
      <c r="AW10" s="181"/>
    </row>
    <row r="11" spans="2:64" x14ac:dyDescent="0.25">
      <c r="B11" s="187" t="s">
        <v>134</v>
      </c>
      <c r="C11" s="194">
        <v>41283</v>
      </c>
      <c r="D11" s="195"/>
      <c r="E11" s="196"/>
      <c r="F11" s="191" t="s">
        <v>135</v>
      </c>
      <c r="G11" s="197">
        <v>41314</v>
      </c>
      <c r="H11" s="211" t="s">
        <v>138</v>
      </c>
      <c r="I11" s="196"/>
      <c r="J11" s="191" t="s">
        <v>135</v>
      </c>
      <c r="K11" s="197">
        <v>41342</v>
      </c>
      <c r="L11" s="198"/>
      <c r="M11" s="196"/>
      <c r="N11" s="187" t="s">
        <v>131</v>
      </c>
      <c r="O11" s="194">
        <v>41373</v>
      </c>
      <c r="P11" s="195"/>
      <c r="Q11" s="196"/>
      <c r="R11" s="187" t="s">
        <v>136</v>
      </c>
      <c r="S11" s="194">
        <v>41403</v>
      </c>
      <c r="T11" s="195"/>
      <c r="U11" s="196"/>
      <c r="V11" s="187" t="s">
        <v>137</v>
      </c>
      <c r="W11" s="194">
        <v>41434</v>
      </c>
      <c r="X11" s="195"/>
      <c r="Y11" s="196"/>
      <c r="Z11" s="187" t="s">
        <v>131</v>
      </c>
      <c r="AA11" s="194">
        <v>41464</v>
      </c>
      <c r="AB11" s="195"/>
      <c r="AC11" s="196"/>
      <c r="AD11" s="191" t="s">
        <v>132</v>
      </c>
      <c r="AE11" s="197">
        <v>41495</v>
      </c>
      <c r="AF11" s="198"/>
      <c r="AG11" s="196"/>
      <c r="AH11" s="187" t="s">
        <v>133</v>
      </c>
      <c r="AI11" s="194">
        <v>41526</v>
      </c>
      <c r="AJ11" s="195"/>
      <c r="AK11" s="196"/>
      <c r="AL11" s="187" t="s">
        <v>134</v>
      </c>
      <c r="AM11" s="194">
        <v>41556</v>
      </c>
      <c r="AN11" s="195"/>
      <c r="AO11" s="196"/>
      <c r="AP11" s="191" t="s">
        <v>135</v>
      </c>
      <c r="AQ11" s="197">
        <v>41587</v>
      </c>
      <c r="AR11" s="198"/>
      <c r="AS11" s="196"/>
      <c r="AT11" s="187" t="s">
        <v>133</v>
      </c>
      <c r="AU11" s="194">
        <v>41617</v>
      </c>
      <c r="AV11" s="195"/>
      <c r="AW11" s="181"/>
    </row>
    <row r="12" spans="2:64" x14ac:dyDescent="0.25">
      <c r="B12" s="187" t="s">
        <v>136</v>
      </c>
      <c r="C12" s="194">
        <v>41284</v>
      </c>
      <c r="D12" s="195"/>
      <c r="E12" s="196"/>
      <c r="F12" s="187" t="s">
        <v>137</v>
      </c>
      <c r="G12" s="194">
        <v>41315</v>
      </c>
      <c r="H12" s="195"/>
      <c r="I12" s="196"/>
      <c r="J12" s="187" t="s">
        <v>137</v>
      </c>
      <c r="K12" s="194">
        <v>41343</v>
      </c>
      <c r="L12" s="195"/>
      <c r="M12" s="196"/>
      <c r="N12" s="187" t="s">
        <v>134</v>
      </c>
      <c r="O12" s="194">
        <v>41374</v>
      </c>
      <c r="P12" s="195"/>
      <c r="Q12" s="196"/>
      <c r="R12" s="191" t="s">
        <v>132</v>
      </c>
      <c r="S12" s="197">
        <v>41404</v>
      </c>
      <c r="T12" s="198"/>
      <c r="U12" s="196"/>
      <c r="V12" s="187" t="s">
        <v>133</v>
      </c>
      <c r="W12" s="194">
        <v>41435</v>
      </c>
      <c r="X12" s="195"/>
      <c r="Y12" s="196"/>
      <c r="Z12" s="187" t="s">
        <v>134</v>
      </c>
      <c r="AA12" s="194">
        <v>41465</v>
      </c>
      <c r="AB12" s="195"/>
      <c r="AC12" s="196"/>
      <c r="AD12" s="191" t="s">
        <v>135</v>
      </c>
      <c r="AE12" s="197">
        <v>41496</v>
      </c>
      <c r="AF12" s="198"/>
      <c r="AG12" s="196"/>
      <c r="AH12" s="187" t="s">
        <v>131</v>
      </c>
      <c r="AI12" s="194">
        <v>41527</v>
      </c>
      <c r="AJ12" s="195"/>
      <c r="AK12" s="196"/>
      <c r="AL12" s="187" t="s">
        <v>136</v>
      </c>
      <c r="AM12" s="194">
        <v>41557</v>
      </c>
      <c r="AN12" s="195"/>
      <c r="AO12" s="196"/>
      <c r="AP12" s="187" t="s">
        <v>137</v>
      </c>
      <c r="AQ12" s="194">
        <v>41588</v>
      </c>
      <c r="AR12" s="195"/>
      <c r="AS12" s="196"/>
      <c r="AT12" s="187" t="s">
        <v>131</v>
      </c>
      <c r="AU12" s="194">
        <v>41618</v>
      </c>
      <c r="AV12" s="195"/>
      <c r="AW12" s="181"/>
    </row>
    <row r="13" spans="2:64" x14ac:dyDescent="0.25">
      <c r="B13" s="191" t="s">
        <v>132</v>
      </c>
      <c r="C13" s="197">
        <v>41285</v>
      </c>
      <c r="D13" s="198"/>
      <c r="E13" s="196"/>
      <c r="F13" s="187" t="s">
        <v>133</v>
      </c>
      <c r="G13" s="194">
        <v>41316</v>
      </c>
      <c r="H13" s="195"/>
      <c r="I13" s="196"/>
      <c r="J13" s="187" t="s">
        <v>133</v>
      </c>
      <c r="K13" s="194">
        <v>41344</v>
      </c>
      <c r="L13" s="195"/>
      <c r="M13" s="196"/>
      <c r="N13" s="187" t="s">
        <v>136</v>
      </c>
      <c r="O13" s="194">
        <v>41375</v>
      </c>
      <c r="P13" s="195"/>
      <c r="Q13" s="196"/>
      <c r="R13" s="191" t="s">
        <v>135</v>
      </c>
      <c r="S13" s="197">
        <v>41405</v>
      </c>
      <c r="T13" s="198"/>
      <c r="U13" s="196"/>
      <c r="V13" s="187" t="s">
        <v>131</v>
      </c>
      <c r="W13" s="194">
        <v>41436</v>
      </c>
      <c r="X13" s="195"/>
      <c r="Y13" s="196"/>
      <c r="Z13" s="187" t="s">
        <v>136</v>
      </c>
      <c r="AA13" s="194">
        <v>41466</v>
      </c>
      <c r="AB13" s="195"/>
      <c r="AC13" s="196"/>
      <c r="AD13" s="187" t="s">
        <v>137</v>
      </c>
      <c r="AE13" s="194">
        <v>41497</v>
      </c>
      <c r="AF13" s="195"/>
      <c r="AG13" s="196"/>
      <c r="AH13" s="187" t="s">
        <v>134</v>
      </c>
      <c r="AI13" s="194">
        <v>41528</v>
      </c>
      <c r="AJ13" s="195"/>
      <c r="AK13" s="196"/>
      <c r="AL13" s="191" t="s">
        <v>132</v>
      </c>
      <c r="AM13" s="197">
        <v>41558</v>
      </c>
      <c r="AN13" s="198"/>
      <c r="AO13" s="196"/>
      <c r="AP13" s="187" t="s">
        <v>133</v>
      </c>
      <c r="AQ13" s="194">
        <v>41589</v>
      </c>
      <c r="AR13" s="195"/>
      <c r="AS13" s="196"/>
      <c r="AT13" s="187" t="s">
        <v>134</v>
      </c>
      <c r="AU13" s="194">
        <v>41619</v>
      </c>
      <c r="AV13" s="195"/>
      <c r="AW13" s="181"/>
    </row>
    <row r="14" spans="2:64" x14ac:dyDescent="0.25">
      <c r="B14" s="191" t="s">
        <v>135</v>
      </c>
      <c r="C14" s="197">
        <v>41286</v>
      </c>
      <c r="D14" s="198"/>
      <c r="E14" s="196"/>
      <c r="F14" s="187" t="s">
        <v>131</v>
      </c>
      <c r="G14" s="194">
        <v>41317</v>
      </c>
      <c r="H14" s="195"/>
      <c r="I14" s="196"/>
      <c r="J14" s="187" t="s">
        <v>131</v>
      </c>
      <c r="K14" s="194">
        <v>41345</v>
      </c>
      <c r="L14" s="195"/>
      <c r="M14" s="196"/>
      <c r="N14" s="191" t="s">
        <v>132</v>
      </c>
      <c r="O14" s="197">
        <v>41376</v>
      </c>
      <c r="P14" s="198"/>
      <c r="Q14" s="196"/>
      <c r="R14" s="187" t="s">
        <v>137</v>
      </c>
      <c r="S14" s="194">
        <v>41406</v>
      </c>
      <c r="T14" s="195"/>
      <c r="U14" s="196"/>
      <c r="V14" s="187" t="s">
        <v>134</v>
      </c>
      <c r="W14" s="194">
        <v>41437</v>
      </c>
      <c r="X14" s="195"/>
      <c r="Y14" s="196"/>
      <c r="Z14" s="191" t="s">
        <v>132</v>
      </c>
      <c r="AA14" s="197">
        <v>41467</v>
      </c>
      <c r="AB14" s="198"/>
      <c r="AC14" s="196"/>
      <c r="AD14" s="187" t="s">
        <v>133</v>
      </c>
      <c r="AE14" s="194">
        <v>41498</v>
      </c>
      <c r="AF14" s="195"/>
      <c r="AG14" s="196"/>
      <c r="AH14" s="187" t="s">
        <v>136</v>
      </c>
      <c r="AI14" s="194">
        <v>41529</v>
      </c>
      <c r="AJ14" s="195"/>
      <c r="AK14" s="196"/>
      <c r="AL14" s="191" t="s">
        <v>135</v>
      </c>
      <c r="AM14" s="197">
        <v>41559</v>
      </c>
      <c r="AN14" s="198"/>
      <c r="AO14" s="196"/>
      <c r="AP14" s="187" t="s">
        <v>131</v>
      </c>
      <c r="AQ14" s="194">
        <v>41590</v>
      </c>
      <c r="AR14" s="195"/>
      <c r="AS14" s="196"/>
      <c r="AT14" s="187" t="s">
        <v>136</v>
      </c>
      <c r="AU14" s="194">
        <v>41620</v>
      </c>
      <c r="AV14" s="195"/>
      <c r="AW14" s="181"/>
    </row>
    <row r="15" spans="2:64" x14ac:dyDescent="0.25">
      <c r="B15" s="187" t="s">
        <v>137</v>
      </c>
      <c r="C15" s="194">
        <v>41287</v>
      </c>
      <c r="D15" s="195"/>
      <c r="E15" s="196"/>
      <c r="F15" s="187" t="s">
        <v>134</v>
      </c>
      <c r="G15" s="194">
        <v>41318</v>
      </c>
      <c r="H15" s="195"/>
      <c r="I15" s="196"/>
      <c r="J15" s="187" t="s">
        <v>134</v>
      </c>
      <c r="K15" s="194">
        <v>41346</v>
      </c>
      <c r="L15" s="195"/>
      <c r="M15" s="196"/>
      <c r="N15" s="191" t="s">
        <v>135</v>
      </c>
      <c r="O15" s="197">
        <v>41377</v>
      </c>
      <c r="P15" s="198"/>
      <c r="Q15" s="196"/>
      <c r="R15" s="187" t="s">
        <v>133</v>
      </c>
      <c r="S15" s="194">
        <v>41407</v>
      </c>
      <c r="T15" s="195"/>
      <c r="U15" s="196"/>
      <c r="V15" s="187" t="s">
        <v>136</v>
      </c>
      <c r="W15" s="194">
        <v>41438</v>
      </c>
      <c r="X15" s="195"/>
      <c r="Y15" s="196"/>
      <c r="Z15" s="191" t="s">
        <v>135</v>
      </c>
      <c r="AA15" s="197">
        <v>41468</v>
      </c>
      <c r="AB15" s="198"/>
      <c r="AC15" s="196"/>
      <c r="AD15" s="187" t="s">
        <v>131</v>
      </c>
      <c r="AE15" s="194">
        <v>41499</v>
      </c>
      <c r="AF15" s="195"/>
      <c r="AG15" s="196"/>
      <c r="AH15" s="191" t="s">
        <v>132</v>
      </c>
      <c r="AI15" s="197">
        <v>41530</v>
      </c>
      <c r="AJ15" s="198"/>
      <c r="AK15" s="196"/>
      <c r="AL15" s="187" t="s">
        <v>137</v>
      </c>
      <c r="AM15" s="194">
        <v>41560</v>
      </c>
      <c r="AN15" s="195"/>
      <c r="AO15" s="196"/>
      <c r="AP15" s="187" t="s">
        <v>134</v>
      </c>
      <c r="AQ15" s="194">
        <v>41591</v>
      </c>
      <c r="AR15" s="195"/>
      <c r="AS15" s="196"/>
      <c r="AT15" s="191" t="s">
        <v>132</v>
      </c>
      <c r="AU15" s="197">
        <v>41621</v>
      </c>
      <c r="AV15" s="198"/>
      <c r="AW15" s="181"/>
    </row>
    <row r="16" spans="2:64" x14ac:dyDescent="0.25">
      <c r="B16" s="187" t="s">
        <v>133</v>
      </c>
      <c r="C16" s="194">
        <v>41288</v>
      </c>
      <c r="D16" s="195"/>
      <c r="E16" s="196"/>
      <c r="F16" s="187" t="s">
        <v>136</v>
      </c>
      <c r="G16" s="194">
        <v>41319</v>
      </c>
      <c r="H16" s="195"/>
      <c r="I16" s="196"/>
      <c r="J16" s="187" t="s">
        <v>136</v>
      </c>
      <c r="K16" s="194">
        <v>41347</v>
      </c>
      <c r="L16" s="195"/>
      <c r="M16" s="196"/>
      <c r="N16" s="187" t="s">
        <v>137</v>
      </c>
      <c r="O16" s="194">
        <v>41378</v>
      </c>
      <c r="P16" s="195"/>
      <c r="Q16" s="196"/>
      <c r="R16" s="187" t="s">
        <v>131</v>
      </c>
      <c r="S16" s="194">
        <v>41408</v>
      </c>
      <c r="T16" s="195"/>
      <c r="U16" s="196"/>
      <c r="V16" s="191" t="s">
        <v>132</v>
      </c>
      <c r="W16" s="197">
        <v>41439</v>
      </c>
      <c r="X16" s="198"/>
      <c r="Y16" s="196"/>
      <c r="Z16" s="187" t="s">
        <v>137</v>
      </c>
      <c r="AA16" s="194">
        <v>41469</v>
      </c>
      <c r="AB16" s="195"/>
      <c r="AC16" s="196"/>
      <c r="AD16" s="187" t="s">
        <v>134</v>
      </c>
      <c r="AE16" s="194">
        <v>41500</v>
      </c>
      <c r="AF16" s="195"/>
      <c r="AG16" s="196"/>
      <c r="AH16" s="191" t="s">
        <v>135</v>
      </c>
      <c r="AI16" s="197">
        <v>41531</v>
      </c>
      <c r="AJ16" s="198"/>
      <c r="AK16" s="196"/>
      <c r="AL16" s="187" t="s">
        <v>133</v>
      </c>
      <c r="AM16" s="194">
        <v>41561</v>
      </c>
      <c r="AN16" s="195"/>
      <c r="AO16" s="196"/>
      <c r="AP16" s="187" t="s">
        <v>136</v>
      </c>
      <c r="AQ16" s="194">
        <v>41592</v>
      </c>
      <c r="AR16" s="195"/>
      <c r="AS16" s="196"/>
      <c r="AT16" s="191" t="s">
        <v>135</v>
      </c>
      <c r="AU16" s="197">
        <v>41622</v>
      </c>
      <c r="AV16" s="198"/>
      <c r="AW16" s="181"/>
    </row>
    <row r="17" spans="2:49" x14ac:dyDescent="0.25">
      <c r="B17" s="187" t="s">
        <v>131</v>
      </c>
      <c r="C17" s="194">
        <v>41289</v>
      </c>
      <c r="D17" s="195"/>
      <c r="E17" s="196"/>
      <c r="F17" s="191" t="s">
        <v>132</v>
      </c>
      <c r="G17" s="197">
        <v>41320</v>
      </c>
      <c r="H17" s="198"/>
      <c r="I17" s="196"/>
      <c r="J17" s="191" t="s">
        <v>132</v>
      </c>
      <c r="K17" s="197">
        <v>41348</v>
      </c>
      <c r="L17" s="198"/>
      <c r="M17" s="196"/>
      <c r="N17" s="187" t="s">
        <v>133</v>
      </c>
      <c r="O17" s="194">
        <v>41379</v>
      </c>
      <c r="P17" s="195"/>
      <c r="Q17" s="196"/>
      <c r="R17" s="187" t="s">
        <v>134</v>
      </c>
      <c r="S17" s="194">
        <v>41409</v>
      </c>
      <c r="T17" s="195"/>
      <c r="U17" s="196"/>
      <c r="V17" s="191" t="s">
        <v>135</v>
      </c>
      <c r="W17" s="197">
        <v>41440</v>
      </c>
      <c r="X17" s="198"/>
      <c r="Y17" s="196"/>
      <c r="Z17" s="187" t="s">
        <v>133</v>
      </c>
      <c r="AA17" s="194">
        <v>41470</v>
      </c>
      <c r="AB17" s="195"/>
      <c r="AC17" s="196"/>
      <c r="AD17" s="187" t="s">
        <v>136</v>
      </c>
      <c r="AE17" s="194">
        <v>41501</v>
      </c>
      <c r="AF17" s="195"/>
      <c r="AG17" s="196"/>
      <c r="AH17" s="187" t="s">
        <v>137</v>
      </c>
      <c r="AI17" s="194">
        <v>41532</v>
      </c>
      <c r="AJ17" s="195"/>
      <c r="AK17" s="196"/>
      <c r="AL17" s="187" t="s">
        <v>131</v>
      </c>
      <c r="AM17" s="194">
        <v>41562</v>
      </c>
      <c r="AN17" s="195"/>
      <c r="AO17" s="196"/>
      <c r="AP17" s="191" t="s">
        <v>132</v>
      </c>
      <c r="AQ17" s="197">
        <v>41593</v>
      </c>
      <c r="AR17" s="198"/>
      <c r="AS17" s="196"/>
      <c r="AT17" s="187" t="s">
        <v>137</v>
      </c>
      <c r="AU17" s="194">
        <v>41623</v>
      </c>
      <c r="AV17" s="195"/>
      <c r="AW17" s="181"/>
    </row>
    <row r="18" spans="2:49" x14ac:dyDescent="0.25">
      <c r="B18" s="187" t="s">
        <v>134</v>
      </c>
      <c r="C18" s="194">
        <v>41290</v>
      </c>
      <c r="D18" s="195"/>
      <c r="E18" s="196"/>
      <c r="F18" s="191" t="s">
        <v>135</v>
      </c>
      <c r="G18" s="197">
        <v>41321</v>
      </c>
      <c r="H18" s="198"/>
      <c r="I18" s="196"/>
      <c r="J18" s="191" t="s">
        <v>135</v>
      </c>
      <c r="K18" s="197">
        <v>41349</v>
      </c>
      <c r="L18" s="198"/>
      <c r="M18" s="196"/>
      <c r="N18" s="187" t="s">
        <v>131</v>
      </c>
      <c r="O18" s="194">
        <v>41380</v>
      </c>
      <c r="P18" s="195"/>
      <c r="Q18" s="196"/>
      <c r="R18" s="187" t="s">
        <v>136</v>
      </c>
      <c r="S18" s="194">
        <v>41410</v>
      </c>
      <c r="T18" s="195"/>
      <c r="U18" s="196"/>
      <c r="V18" s="187" t="s">
        <v>137</v>
      </c>
      <c r="W18" s="194">
        <v>41441</v>
      </c>
      <c r="X18" s="195"/>
      <c r="Y18" s="196"/>
      <c r="Z18" s="187" t="s">
        <v>131</v>
      </c>
      <c r="AA18" s="194">
        <v>41471</v>
      </c>
      <c r="AB18" s="195"/>
      <c r="AC18" s="196"/>
      <c r="AD18" s="191" t="s">
        <v>132</v>
      </c>
      <c r="AE18" s="197">
        <v>41502</v>
      </c>
      <c r="AF18" s="198"/>
      <c r="AG18" s="196"/>
      <c r="AH18" s="187" t="s">
        <v>133</v>
      </c>
      <c r="AI18" s="194">
        <v>41533</v>
      </c>
      <c r="AJ18" s="195"/>
      <c r="AK18" s="196"/>
      <c r="AL18" s="187" t="s">
        <v>134</v>
      </c>
      <c r="AM18" s="194">
        <v>41563</v>
      </c>
      <c r="AN18" s="195"/>
      <c r="AO18" s="196"/>
      <c r="AP18" s="191" t="s">
        <v>135</v>
      </c>
      <c r="AQ18" s="197">
        <v>41594</v>
      </c>
      <c r="AR18" s="198"/>
      <c r="AS18" s="196"/>
      <c r="AT18" s="187" t="s">
        <v>133</v>
      </c>
      <c r="AU18" s="194">
        <v>41624</v>
      </c>
      <c r="AV18" s="195"/>
      <c r="AW18" s="181"/>
    </row>
    <row r="19" spans="2:49" x14ac:dyDescent="0.25">
      <c r="B19" s="187" t="s">
        <v>136</v>
      </c>
      <c r="C19" s="194">
        <v>41291</v>
      </c>
      <c r="D19" s="195"/>
      <c r="E19" s="196"/>
      <c r="F19" s="187" t="s">
        <v>137</v>
      </c>
      <c r="G19" s="194">
        <v>41322</v>
      </c>
      <c r="H19" s="195"/>
      <c r="I19" s="196"/>
      <c r="J19" s="187" t="s">
        <v>137</v>
      </c>
      <c r="K19" s="194">
        <v>41350</v>
      </c>
      <c r="L19" s="195"/>
      <c r="M19" s="196"/>
      <c r="N19" s="187" t="s">
        <v>134</v>
      </c>
      <c r="O19" s="194">
        <v>41381</v>
      </c>
      <c r="P19" s="195"/>
      <c r="Q19" s="196"/>
      <c r="R19" s="191" t="s">
        <v>132</v>
      </c>
      <c r="S19" s="197">
        <v>41411</v>
      </c>
      <c r="T19" s="198"/>
      <c r="U19" s="196"/>
      <c r="V19" s="187" t="s">
        <v>133</v>
      </c>
      <c r="W19" s="194">
        <v>41442</v>
      </c>
      <c r="X19" s="195"/>
      <c r="Y19" s="196"/>
      <c r="Z19" s="187" t="s">
        <v>134</v>
      </c>
      <c r="AA19" s="194">
        <v>41472</v>
      </c>
      <c r="AB19" s="195"/>
      <c r="AC19" s="196"/>
      <c r="AD19" s="191" t="s">
        <v>135</v>
      </c>
      <c r="AE19" s="197">
        <v>41503</v>
      </c>
      <c r="AF19" s="198"/>
      <c r="AG19" s="196"/>
      <c r="AH19" s="187" t="s">
        <v>131</v>
      </c>
      <c r="AI19" s="194">
        <v>41534</v>
      </c>
      <c r="AJ19" s="195"/>
      <c r="AK19" s="196"/>
      <c r="AL19" s="187" t="s">
        <v>136</v>
      </c>
      <c r="AM19" s="194">
        <v>41564</v>
      </c>
      <c r="AN19" s="195"/>
      <c r="AO19" s="196"/>
      <c r="AP19" s="187" t="s">
        <v>137</v>
      </c>
      <c r="AQ19" s="194">
        <v>41595</v>
      </c>
      <c r="AR19" s="195"/>
      <c r="AS19" s="196"/>
      <c r="AT19" s="187" t="s">
        <v>131</v>
      </c>
      <c r="AU19" s="194">
        <v>41625</v>
      </c>
      <c r="AV19" s="195"/>
      <c r="AW19" s="181"/>
    </row>
    <row r="20" spans="2:49" x14ac:dyDescent="0.25">
      <c r="B20" s="191" t="s">
        <v>132</v>
      </c>
      <c r="C20" s="197">
        <v>41292</v>
      </c>
      <c r="D20" s="198"/>
      <c r="E20" s="196"/>
      <c r="F20" s="187" t="s">
        <v>133</v>
      </c>
      <c r="G20" s="194">
        <v>41323</v>
      </c>
      <c r="H20" s="195"/>
      <c r="I20" s="196"/>
      <c r="J20" s="187" t="s">
        <v>133</v>
      </c>
      <c r="K20" s="194">
        <v>41351</v>
      </c>
      <c r="L20" s="195"/>
      <c r="M20" s="196"/>
      <c r="N20" s="187" t="s">
        <v>136</v>
      </c>
      <c r="O20" s="194">
        <v>41382</v>
      </c>
      <c r="P20" s="195"/>
      <c r="Q20" s="196"/>
      <c r="R20" s="191" t="s">
        <v>135</v>
      </c>
      <c r="S20" s="197">
        <v>41412</v>
      </c>
      <c r="T20" s="198"/>
      <c r="U20" s="196"/>
      <c r="V20" s="187" t="s">
        <v>131</v>
      </c>
      <c r="W20" s="194">
        <v>41443</v>
      </c>
      <c r="X20" s="195"/>
      <c r="Y20" s="196"/>
      <c r="Z20" s="187" t="s">
        <v>136</v>
      </c>
      <c r="AA20" s="194">
        <v>41473</v>
      </c>
      <c r="AB20" s="195"/>
      <c r="AC20" s="196"/>
      <c r="AD20" s="187" t="s">
        <v>137</v>
      </c>
      <c r="AE20" s="194">
        <v>41504</v>
      </c>
      <c r="AF20" s="195"/>
      <c r="AG20" s="196"/>
      <c r="AH20" s="187" t="s">
        <v>134</v>
      </c>
      <c r="AI20" s="194">
        <v>41535</v>
      </c>
      <c r="AJ20" s="195"/>
      <c r="AK20" s="196"/>
      <c r="AL20" s="191" t="s">
        <v>132</v>
      </c>
      <c r="AM20" s="197">
        <v>41565</v>
      </c>
      <c r="AN20" s="198"/>
      <c r="AO20" s="196"/>
      <c r="AP20" s="187" t="s">
        <v>133</v>
      </c>
      <c r="AQ20" s="194">
        <v>41596</v>
      </c>
      <c r="AR20" s="195"/>
      <c r="AS20" s="196"/>
      <c r="AT20" s="187" t="s">
        <v>134</v>
      </c>
      <c r="AU20" s="194">
        <v>41626</v>
      </c>
      <c r="AV20" s="195"/>
      <c r="AW20" s="181"/>
    </row>
    <row r="21" spans="2:49" x14ac:dyDescent="0.25">
      <c r="B21" s="191" t="s">
        <v>135</v>
      </c>
      <c r="C21" s="197">
        <v>41293</v>
      </c>
      <c r="D21" s="198"/>
      <c r="E21" s="196"/>
      <c r="F21" s="187" t="s">
        <v>131</v>
      </c>
      <c r="G21" s="194">
        <v>41324</v>
      </c>
      <c r="H21" s="195"/>
      <c r="I21" s="196"/>
      <c r="J21" s="187" t="s">
        <v>131</v>
      </c>
      <c r="K21" s="194">
        <v>41352</v>
      </c>
      <c r="L21" s="195"/>
      <c r="M21" s="196"/>
      <c r="N21" s="191" t="s">
        <v>132</v>
      </c>
      <c r="O21" s="197">
        <v>41383</v>
      </c>
      <c r="P21" s="198"/>
      <c r="Q21" s="196"/>
      <c r="R21" s="187" t="s">
        <v>137</v>
      </c>
      <c r="S21" s="194">
        <v>41413</v>
      </c>
      <c r="T21" s="195"/>
      <c r="U21" s="196"/>
      <c r="V21" s="187" t="s">
        <v>134</v>
      </c>
      <c r="W21" s="194">
        <v>41444</v>
      </c>
      <c r="X21" s="195"/>
      <c r="Y21" s="196"/>
      <c r="Z21" s="191" t="s">
        <v>132</v>
      </c>
      <c r="AA21" s="197">
        <v>41474</v>
      </c>
      <c r="AB21" s="198"/>
      <c r="AC21" s="196"/>
      <c r="AD21" s="187" t="s">
        <v>133</v>
      </c>
      <c r="AE21" s="194">
        <v>41505</v>
      </c>
      <c r="AF21" s="195"/>
      <c r="AG21" s="196"/>
      <c r="AH21" s="187" t="s">
        <v>136</v>
      </c>
      <c r="AI21" s="194">
        <v>41536</v>
      </c>
      <c r="AJ21" s="195"/>
      <c r="AK21" s="196"/>
      <c r="AL21" s="191" t="s">
        <v>135</v>
      </c>
      <c r="AM21" s="197">
        <v>41566</v>
      </c>
      <c r="AN21" s="198"/>
      <c r="AO21" s="196"/>
      <c r="AP21" s="187" t="s">
        <v>131</v>
      </c>
      <c r="AQ21" s="194">
        <v>41597</v>
      </c>
      <c r="AR21" s="195"/>
      <c r="AS21" s="196"/>
      <c r="AT21" s="187" t="s">
        <v>136</v>
      </c>
      <c r="AU21" s="194">
        <v>41627</v>
      </c>
      <c r="AV21" s="195"/>
      <c r="AW21" s="181"/>
    </row>
    <row r="22" spans="2:49" x14ac:dyDescent="0.25">
      <c r="B22" s="187" t="s">
        <v>137</v>
      </c>
      <c r="C22" s="194">
        <v>41294</v>
      </c>
      <c r="D22" s="195"/>
      <c r="E22" s="196"/>
      <c r="F22" s="187" t="s">
        <v>134</v>
      </c>
      <c r="G22" s="194">
        <v>41325</v>
      </c>
      <c r="H22" s="195"/>
      <c r="I22" s="196"/>
      <c r="J22" s="187" t="s">
        <v>134</v>
      </c>
      <c r="K22" s="194">
        <v>41353</v>
      </c>
      <c r="L22" s="195"/>
      <c r="M22" s="196"/>
      <c r="N22" s="191" t="s">
        <v>135</v>
      </c>
      <c r="O22" s="197">
        <v>41384</v>
      </c>
      <c r="P22" s="198"/>
      <c r="Q22" s="196"/>
      <c r="R22" s="187" t="s">
        <v>133</v>
      </c>
      <c r="S22" s="194">
        <v>41414</v>
      </c>
      <c r="T22" s="195"/>
      <c r="U22" s="196"/>
      <c r="V22" s="187" t="s">
        <v>136</v>
      </c>
      <c r="W22" s="194">
        <v>41445</v>
      </c>
      <c r="X22" s="195"/>
      <c r="Y22" s="196"/>
      <c r="Z22" s="191" t="s">
        <v>135</v>
      </c>
      <c r="AA22" s="197">
        <v>41475</v>
      </c>
      <c r="AB22" s="198"/>
      <c r="AC22" s="196"/>
      <c r="AD22" s="187" t="s">
        <v>131</v>
      </c>
      <c r="AE22" s="194">
        <v>41506</v>
      </c>
      <c r="AF22" s="195"/>
      <c r="AG22" s="196"/>
      <c r="AH22" s="191" t="s">
        <v>132</v>
      </c>
      <c r="AI22" s="197">
        <v>41537</v>
      </c>
      <c r="AJ22" s="198"/>
      <c r="AK22" s="196"/>
      <c r="AL22" s="187" t="s">
        <v>137</v>
      </c>
      <c r="AM22" s="194">
        <v>41567</v>
      </c>
      <c r="AN22" s="195"/>
      <c r="AO22" s="196"/>
      <c r="AP22" s="187" t="s">
        <v>134</v>
      </c>
      <c r="AQ22" s="194">
        <v>41598</v>
      </c>
      <c r="AR22" s="195"/>
      <c r="AS22" s="196"/>
      <c r="AT22" s="191" t="s">
        <v>132</v>
      </c>
      <c r="AU22" s="197">
        <v>41628</v>
      </c>
      <c r="AV22" s="198"/>
      <c r="AW22" s="181"/>
    </row>
    <row r="23" spans="2:49" x14ac:dyDescent="0.25">
      <c r="B23" s="187" t="s">
        <v>133</v>
      </c>
      <c r="C23" s="194">
        <v>41295</v>
      </c>
      <c r="D23" s="195"/>
      <c r="E23" s="196"/>
      <c r="F23" s="187" t="s">
        <v>136</v>
      </c>
      <c r="G23" s="194">
        <v>41326</v>
      </c>
      <c r="H23" s="195"/>
      <c r="I23" s="196"/>
      <c r="J23" s="187" t="s">
        <v>136</v>
      </c>
      <c r="K23" s="194">
        <v>41354</v>
      </c>
      <c r="L23" s="195"/>
      <c r="M23" s="196"/>
      <c r="N23" s="187" t="s">
        <v>137</v>
      </c>
      <c r="O23" s="194">
        <v>41385</v>
      </c>
      <c r="P23" s="195"/>
      <c r="Q23" s="196"/>
      <c r="R23" s="187" t="s">
        <v>131</v>
      </c>
      <c r="S23" s="194">
        <v>41415</v>
      </c>
      <c r="T23" s="195"/>
      <c r="U23" s="196"/>
      <c r="V23" s="191" t="s">
        <v>132</v>
      </c>
      <c r="W23" s="197">
        <v>41446</v>
      </c>
      <c r="X23" s="198"/>
      <c r="Y23" s="196"/>
      <c r="Z23" s="187" t="s">
        <v>137</v>
      </c>
      <c r="AA23" s="194">
        <v>41476</v>
      </c>
      <c r="AB23" s="195"/>
      <c r="AC23" s="196"/>
      <c r="AD23" s="187" t="s">
        <v>134</v>
      </c>
      <c r="AE23" s="194">
        <v>41507</v>
      </c>
      <c r="AF23" s="195"/>
      <c r="AG23" s="196"/>
      <c r="AH23" s="191" t="s">
        <v>135</v>
      </c>
      <c r="AI23" s="197">
        <v>41538</v>
      </c>
      <c r="AJ23" s="198"/>
      <c r="AK23" s="196"/>
      <c r="AL23" s="187" t="s">
        <v>133</v>
      </c>
      <c r="AM23" s="194">
        <v>41568</v>
      </c>
      <c r="AN23" s="195"/>
      <c r="AO23" s="196"/>
      <c r="AP23" s="187" t="s">
        <v>136</v>
      </c>
      <c r="AQ23" s="194">
        <v>41599</v>
      </c>
      <c r="AR23" s="195"/>
      <c r="AS23" s="196"/>
      <c r="AT23" s="191" t="s">
        <v>135</v>
      </c>
      <c r="AU23" s="197">
        <v>41629</v>
      </c>
      <c r="AV23" s="198"/>
      <c r="AW23" s="181"/>
    </row>
    <row r="24" spans="2:49" x14ac:dyDescent="0.25">
      <c r="B24" s="187" t="s">
        <v>131</v>
      </c>
      <c r="C24" s="194">
        <v>41296</v>
      </c>
      <c r="D24" s="195"/>
      <c r="E24" s="196"/>
      <c r="F24" s="191" t="s">
        <v>132</v>
      </c>
      <c r="G24" s="197">
        <v>41327</v>
      </c>
      <c r="H24" s="198"/>
      <c r="I24" s="196"/>
      <c r="J24" s="191" t="s">
        <v>132</v>
      </c>
      <c r="K24" s="197">
        <v>41355</v>
      </c>
      <c r="L24" s="198"/>
      <c r="M24" s="196"/>
      <c r="N24" s="187" t="s">
        <v>133</v>
      </c>
      <c r="O24" s="194">
        <v>41386</v>
      </c>
      <c r="P24" s="195"/>
      <c r="Q24" s="196"/>
      <c r="R24" s="187" t="s">
        <v>134</v>
      </c>
      <c r="S24" s="194">
        <v>41416</v>
      </c>
      <c r="T24" s="195"/>
      <c r="U24" s="196"/>
      <c r="V24" s="191" t="s">
        <v>135</v>
      </c>
      <c r="W24" s="197">
        <v>41447</v>
      </c>
      <c r="X24" s="198"/>
      <c r="Y24" s="196"/>
      <c r="Z24" s="187" t="s">
        <v>133</v>
      </c>
      <c r="AA24" s="194">
        <v>41477</v>
      </c>
      <c r="AB24" s="195"/>
      <c r="AC24" s="196"/>
      <c r="AD24" s="187" t="s">
        <v>136</v>
      </c>
      <c r="AE24" s="194">
        <v>41508</v>
      </c>
      <c r="AF24" s="195"/>
      <c r="AG24" s="196"/>
      <c r="AH24" s="187" t="s">
        <v>137</v>
      </c>
      <c r="AI24" s="194">
        <v>41539</v>
      </c>
      <c r="AJ24" s="195"/>
      <c r="AK24" s="196"/>
      <c r="AL24" s="187" t="s">
        <v>131</v>
      </c>
      <c r="AM24" s="194">
        <v>41569</v>
      </c>
      <c r="AN24" s="195"/>
      <c r="AO24" s="196"/>
      <c r="AP24" s="191" t="s">
        <v>132</v>
      </c>
      <c r="AQ24" s="197">
        <v>41600</v>
      </c>
      <c r="AR24" s="198"/>
      <c r="AS24" s="196"/>
      <c r="AT24" s="187" t="s">
        <v>137</v>
      </c>
      <c r="AU24" s="194">
        <v>41630</v>
      </c>
      <c r="AV24" s="195"/>
      <c r="AW24" s="181"/>
    </row>
    <row r="25" spans="2:49" x14ac:dyDescent="0.25">
      <c r="B25" s="187" t="s">
        <v>134</v>
      </c>
      <c r="C25" s="194">
        <v>41297</v>
      </c>
      <c r="D25" s="195"/>
      <c r="E25" s="196"/>
      <c r="F25" s="191" t="s">
        <v>135</v>
      </c>
      <c r="G25" s="197">
        <v>41328</v>
      </c>
      <c r="H25" s="198"/>
      <c r="I25" s="196"/>
      <c r="J25" s="191" t="s">
        <v>135</v>
      </c>
      <c r="K25" s="197">
        <v>41356</v>
      </c>
      <c r="L25" s="198"/>
      <c r="M25" s="196"/>
      <c r="N25" s="187" t="s">
        <v>131</v>
      </c>
      <c r="O25" s="194">
        <v>41387</v>
      </c>
      <c r="P25" s="195"/>
      <c r="Q25" s="196"/>
      <c r="R25" s="187" t="s">
        <v>136</v>
      </c>
      <c r="S25" s="194">
        <v>41417</v>
      </c>
      <c r="T25" s="195"/>
      <c r="U25" s="196"/>
      <c r="V25" s="187" t="s">
        <v>137</v>
      </c>
      <c r="W25" s="194">
        <v>41448</v>
      </c>
      <c r="X25" s="195"/>
      <c r="Y25" s="196"/>
      <c r="Z25" s="187" t="s">
        <v>131</v>
      </c>
      <c r="AA25" s="194">
        <v>41478</v>
      </c>
      <c r="AB25" s="195"/>
      <c r="AC25" s="196"/>
      <c r="AD25" s="191" t="s">
        <v>132</v>
      </c>
      <c r="AE25" s="197">
        <v>41509</v>
      </c>
      <c r="AF25" s="198"/>
      <c r="AG25" s="196"/>
      <c r="AH25" s="187" t="s">
        <v>133</v>
      </c>
      <c r="AI25" s="194">
        <v>41540</v>
      </c>
      <c r="AJ25" s="195"/>
      <c r="AK25" s="196"/>
      <c r="AL25" s="187" t="s">
        <v>134</v>
      </c>
      <c r="AM25" s="194">
        <v>41570</v>
      </c>
      <c r="AN25" s="195"/>
      <c r="AO25" s="196"/>
      <c r="AP25" s="191" t="s">
        <v>135</v>
      </c>
      <c r="AQ25" s="197">
        <v>41601</v>
      </c>
      <c r="AR25" s="198"/>
      <c r="AS25" s="196"/>
      <c r="AT25" s="187" t="s">
        <v>133</v>
      </c>
      <c r="AU25" s="194">
        <v>41631</v>
      </c>
      <c r="AV25" s="195"/>
      <c r="AW25" s="181"/>
    </row>
    <row r="26" spans="2:49" x14ac:dyDescent="0.25">
      <c r="B26" s="187" t="s">
        <v>136</v>
      </c>
      <c r="C26" s="194">
        <v>41298</v>
      </c>
      <c r="D26" s="195"/>
      <c r="E26" s="196"/>
      <c r="F26" s="187" t="s">
        <v>137</v>
      </c>
      <c r="G26" s="194">
        <v>41329</v>
      </c>
      <c r="H26" s="195"/>
      <c r="I26" s="196"/>
      <c r="J26" s="187" t="s">
        <v>137</v>
      </c>
      <c r="K26" s="194">
        <v>41357</v>
      </c>
      <c r="L26" s="195"/>
      <c r="M26" s="196"/>
      <c r="N26" s="187" t="s">
        <v>134</v>
      </c>
      <c r="O26" s="194">
        <v>41388</v>
      </c>
      <c r="P26" s="195"/>
      <c r="Q26" s="196"/>
      <c r="R26" s="191" t="s">
        <v>132</v>
      </c>
      <c r="S26" s="197">
        <v>41418</v>
      </c>
      <c r="T26" s="198"/>
      <c r="U26" s="196"/>
      <c r="V26" s="187" t="s">
        <v>133</v>
      </c>
      <c r="W26" s="194">
        <v>41449</v>
      </c>
      <c r="X26" s="195"/>
      <c r="Y26" s="196"/>
      <c r="Z26" s="187" t="s">
        <v>134</v>
      </c>
      <c r="AA26" s="194">
        <v>41479</v>
      </c>
      <c r="AB26" s="195"/>
      <c r="AC26" s="196"/>
      <c r="AD26" s="191" t="s">
        <v>135</v>
      </c>
      <c r="AE26" s="197">
        <v>41510</v>
      </c>
      <c r="AF26" s="198"/>
      <c r="AG26" s="196"/>
      <c r="AH26" s="187" t="s">
        <v>131</v>
      </c>
      <c r="AI26" s="194">
        <v>41541</v>
      </c>
      <c r="AJ26" s="195"/>
      <c r="AK26" s="196"/>
      <c r="AL26" s="187" t="s">
        <v>136</v>
      </c>
      <c r="AM26" s="194">
        <v>41571</v>
      </c>
      <c r="AN26" s="195"/>
      <c r="AO26" s="196"/>
      <c r="AP26" s="187" t="s">
        <v>137</v>
      </c>
      <c r="AQ26" s="194">
        <v>41602</v>
      </c>
      <c r="AR26" s="195"/>
      <c r="AS26" s="196"/>
      <c r="AT26" s="187" t="s">
        <v>131</v>
      </c>
      <c r="AU26" s="194">
        <v>41632</v>
      </c>
      <c r="AV26" s="195"/>
      <c r="AW26" s="181"/>
    </row>
    <row r="27" spans="2:49" x14ac:dyDescent="0.25">
      <c r="B27" s="191" t="s">
        <v>132</v>
      </c>
      <c r="C27" s="197">
        <v>41299</v>
      </c>
      <c r="D27" s="198"/>
      <c r="E27" s="196"/>
      <c r="F27" s="187" t="s">
        <v>133</v>
      </c>
      <c r="G27" s="194">
        <v>41330</v>
      </c>
      <c r="H27" s="195"/>
      <c r="I27" s="196"/>
      <c r="J27" s="187" t="s">
        <v>133</v>
      </c>
      <c r="K27" s="194">
        <v>41358</v>
      </c>
      <c r="L27" s="195"/>
      <c r="M27" s="196"/>
      <c r="N27" s="187" t="s">
        <v>136</v>
      </c>
      <c r="O27" s="194">
        <v>41389</v>
      </c>
      <c r="P27" s="195"/>
      <c r="Q27" s="196"/>
      <c r="R27" s="191" t="s">
        <v>135</v>
      </c>
      <c r="S27" s="197">
        <v>41419</v>
      </c>
      <c r="T27" s="198"/>
      <c r="U27" s="196"/>
      <c r="V27" s="187" t="s">
        <v>131</v>
      </c>
      <c r="W27" s="194">
        <v>41450</v>
      </c>
      <c r="X27" s="195"/>
      <c r="Y27" s="196"/>
      <c r="Z27" s="187" t="s">
        <v>136</v>
      </c>
      <c r="AA27" s="194">
        <v>41480</v>
      </c>
      <c r="AB27" s="195"/>
      <c r="AC27" s="196"/>
      <c r="AD27" s="187" t="s">
        <v>137</v>
      </c>
      <c r="AE27" s="194">
        <v>41511</v>
      </c>
      <c r="AF27" s="195"/>
      <c r="AG27" s="196"/>
      <c r="AH27" s="187" t="s">
        <v>134</v>
      </c>
      <c r="AI27" s="194">
        <v>41542</v>
      </c>
      <c r="AJ27" s="195"/>
      <c r="AK27" s="196"/>
      <c r="AL27" s="191" t="s">
        <v>132</v>
      </c>
      <c r="AM27" s="197">
        <v>41572</v>
      </c>
      <c r="AN27" s="198"/>
      <c r="AO27" s="196"/>
      <c r="AP27" s="187" t="s">
        <v>133</v>
      </c>
      <c r="AQ27" s="194">
        <v>41603</v>
      </c>
      <c r="AR27" s="195"/>
      <c r="AS27" s="196"/>
      <c r="AT27" s="187" t="s">
        <v>134</v>
      </c>
      <c r="AU27" s="194">
        <v>41633</v>
      </c>
      <c r="AV27" s="195"/>
      <c r="AW27" s="181"/>
    </row>
    <row r="28" spans="2:49" x14ac:dyDescent="0.25">
      <c r="B28" s="191" t="s">
        <v>135</v>
      </c>
      <c r="C28" s="197">
        <v>41300</v>
      </c>
      <c r="D28" s="198"/>
      <c r="E28" s="196"/>
      <c r="F28" s="187" t="s">
        <v>131</v>
      </c>
      <c r="G28" s="194">
        <v>41331</v>
      </c>
      <c r="H28" s="195"/>
      <c r="I28" s="196"/>
      <c r="J28" s="187" t="s">
        <v>131</v>
      </c>
      <c r="K28" s="194">
        <v>41359</v>
      </c>
      <c r="L28" s="195"/>
      <c r="M28" s="196"/>
      <c r="N28" s="191" t="s">
        <v>132</v>
      </c>
      <c r="O28" s="197">
        <v>41390</v>
      </c>
      <c r="P28" s="198"/>
      <c r="Q28" s="196"/>
      <c r="R28" s="187" t="s">
        <v>137</v>
      </c>
      <c r="S28" s="194">
        <v>41420</v>
      </c>
      <c r="T28" s="195"/>
      <c r="U28" s="196"/>
      <c r="V28" s="187" t="s">
        <v>134</v>
      </c>
      <c r="W28" s="194">
        <v>41451</v>
      </c>
      <c r="X28" s="195"/>
      <c r="Y28" s="196"/>
      <c r="Z28" s="191" t="s">
        <v>132</v>
      </c>
      <c r="AA28" s="197">
        <v>41481</v>
      </c>
      <c r="AB28" s="198"/>
      <c r="AC28" s="196"/>
      <c r="AD28" s="187" t="s">
        <v>133</v>
      </c>
      <c r="AE28" s="194">
        <v>41512</v>
      </c>
      <c r="AF28" s="195"/>
      <c r="AG28" s="196"/>
      <c r="AH28" s="187" t="s">
        <v>136</v>
      </c>
      <c r="AI28" s="194">
        <v>41543</v>
      </c>
      <c r="AJ28" s="195"/>
      <c r="AK28" s="196"/>
      <c r="AL28" s="191" t="s">
        <v>135</v>
      </c>
      <c r="AM28" s="197">
        <v>41573</v>
      </c>
      <c r="AN28" s="198"/>
      <c r="AO28" s="196"/>
      <c r="AP28" s="187" t="s">
        <v>131</v>
      </c>
      <c r="AQ28" s="194">
        <v>41604</v>
      </c>
      <c r="AR28" s="195"/>
      <c r="AS28" s="196"/>
      <c r="AT28" s="187" t="s">
        <v>136</v>
      </c>
      <c r="AU28" s="194">
        <v>41634</v>
      </c>
      <c r="AV28" s="195"/>
      <c r="AW28" s="181"/>
    </row>
    <row r="29" spans="2:49" x14ac:dyDescent="0.25">
      <c r="B29" s="187" t="s">
        <v>137</v>
      </c>
      <c r="C29" s="194">
        <v>41301</v>
      </c>
      <c r="D29" s="195"/>
      <c r="E29" s="196"/>
      <c r="F29" s="187" t="s">
        <v>134</v>
      </c>
      <c r="G29" s="194">
        <v>41332</v>
      </c>
      <c r="H29" s="195"/>
      <c r="I29" s="196"/>
      <c r="J29" s="187" t="s">
        <v>134</v>
      </c>
      <c r="K29" s="194">
        <v>41360</v>
      </c>
      <c r="L29" s="195"/>
      <c r="M29" s="196"/>
      <c r="N29" s="191" t="s">
        <v>135</v>
      </c>
      <c r="O29" s="197">
        <v>41391</v>
      </c>
      <c r="P29" s="198"/>
      <c r="Q29" s="196"/>
      <c r="R29" s="187" t="s">
        <v>133</v>
      </c>
      <c r="S29" s="194">
        <v>41421</v>
      </c>
      <c r="T29" s="195"/>
      <c r="U29" s="196"/>
      <c r="V29" s="187" t="s">
        <v>136</v>
      </c>
      <c r="W29" s="194">
        <v>41452</v>
      </c>
      <c r="X29" s="195"/>
      <c r="Y29" s="196"/>
      <c r="Z29" s="191" t="s">
        <v>135</v>
      </c>
      <c r="AA29" s="197">
        <v>41482</v>
      </c>
      <c r="AB29" s="198"/>
      <c r="AC29" s="196"/>
      <c r="AD29" s="187" t="s">
        <v>131</v>
      </c>
      <c r="AE29" s="194">
        <v>41513</v>
      </c>
      <c r="AF29" s="195"/>
      <c r="AG29" s="196"/>
      <c r="AH29" s="191" t="s">
        <v>132</v>
      </c>
      <c r="AI29" s="197">
        <v>41544</v>
      </c>
      <c r="AJ29" s="198"/>
      <c r="AK29" s="196"/>
      <c r="AL29" s="187" t="s">
        <v>137</v>
      </c>
      <c r="AM29" s="194">
        <v>41574</v>
      </c>
      <c r="AN29" s="195"/>
      <c r="AO29" s="196"/>
      <c r="AP29" s="187" t="s">
        <v>134</v>
      </c>
      <c r="AQ29" s="194">
        <v>41605</v>
      </c>
      <c r="AR29" s="195"/>
      <c r="AS29" s="196"/>
      <c r="AT29" s="191" t="s">
        <v>132</v>
      </c>
      <c r="AU29" s="197">
        <v>41635</v>
      </c>
      <c r="AV29" s="198"/>
      <c r="AW29" s="181"/>
    </row>
    <row r="30" spans="2:49" x14ac:dyDescent="0.25">
      <c r="B30" s="187" t="s">
        <v>133</v>
      </c>
      <c r="C30" s="194">
        <v>41302</v>
      </c>
      <c r="D30" s="195"/>
      <c r="E30" s="196"/>
      <c r="F30" s="187" t="s">
        <v>136</v>
      </c>
      <c r="G30" s="194">
        <v>41333</v>
      </c>
      <c r="H30" s="195"/>
      <c r="I30" s="196"/>
      <c r="J30" s="187" t="s">
        <v>136</v>
      </c>
      <c r="K30" s="194">
        <v>41361</v>
      </c>
      <c r="L30" s="195"/>
      <c r="M30" s="196"/>
      <c r="N30" s="187" t="s">
        <v>137</v>
      </c>
      <c r="O30" s="194">
        <v>41392</v>
      </c>
      <c r="P30" s="195"/>
      <c r="Q30" s="196"/>
      <c r="R30" s="187" t="s">
        <v>131</v>
      </c>
      <c r="S30" s="194">
        <v>41422</v>
      </c>
      <c r="T30" s="195"/>
      <c r="U30" s="196"/>
      <c r="V30" s="191" t="s">
        <v>132</v>
      </c>
      <c r="W30" s="197">
        <v>41453</v>
      </c>
      <c r="X30" s="198"/>
      <c r="Y30" s="196"/>
      <c r="Z30" s="187" t="s">
        <v>137</v>
      </c>
      <c r="AA30" s="194">
        <v>41483</v>
      </c>
      <c r="AB30" s="195"/>
      <c r="AC30" s="196"/>
      <c r="AD30" s="187" t="s">
        <v>134</v>
      </c>
      <c r="AE30" s="194">
        <v>41514</v>
      </c>
      <c r="AF30" s="195"/>
      <c r="AG30" s="196"/>
      <c r="AH30" s="191" t="s">
        <v>135</v>
      </c>
      <c r="AI30" s="197">
        <v>41545</v>
      </c>
      <c r="AJ30" s="198"/>
      <c r="AK30" s="196"/>
      <c r="AL30" s="187" t="s">
        <v>133</v>
      </c>
      <c r="AM30" s="194">
        <v>41575</v>
      </c>
      <c r="AN30" s="195"/>
      <c r="AO30" s="196"/>
      <c r="AP30" s="187" t="s">
        <v>136</v>
      </c>
      <c r="AQ30" s="194">
        <v>41606</v>
      </c>
      <c r="AR30" s="195"/>
      <c r="AS30" s="196"/>
      <c r="AT30" s="191" t="s">
        <v>135</v>
      </c>
      <c r="AU30" s="197">
        <v>41636</v>
      </c>
      <c r="AV30" s="198"/>
      <c r="AW30" s="181"/>
    </row>
    <row r="31" spans="2:49" x14ac:dyDescent="0.25">
      <c r="B31" s="187" t="s">
        <v>131</v>
      </c>
      <c r="C31" s="194">
        <v>41303</v>
      </c>
      <c r="D31" s="195"/>
      <c r="E31" s="196"/>
      <c r="F31" s="199"/>
      <c r="G31" s="200"/>
      <c r="H31" s="201"/>
      <c r="I31" s="196"/>
      <c r="J31" s="191" t="s">
        <v>132</v>
      </c>
      <c r="K31" s="197">
        <v>41362</v>
      </c>
      <c r="L31" s="198"/>
      <c r="M31" s="196"/>
      <c r="N31" s="187" t="s">
        <v>133</v>
      </c>
      <c r="O31" s="194">
        <v>41393</v>
      </c>
      <c r="P31" s="195"/>
      <c r="Q31" s="196"/>
      <c r="R31" s="187" t="s">
        <v>134</v>
      </c>
      <c r="S31" s="194">
        <v>41423</v>
      </c>
      <c r="T31" s="195"/>
      <c r="U31" s="196"/>
      <c r="V31" s="191" t="s">
        <v>135</v>
      </c>
      <c r="W31" s="197">
        <v>41454</v>
      </c>
      <c r="X31" s="198"/>
      <c r="Y31" s="196"/>
      <c r="Z31" s="187" t="s">
        <v>133</v>
      </c>
      <c r="AA31" s="194">
        <v>41484</v>
      </c>
      <c r="AB31" s="195"/>
      <c r="AC31" s="196"/>
      <c r="AD31" s="187" t="s">
        <v>136</v>
      </c>
      <c r="AE31" s="194">
        <v>41515</v>
      </c>
      <c r="AF31" s="195"/>
      <c r="AG31" s="196"/>
      <c r="AH31" s="187" t="s">
        <v>137</v>
      </c>
      <c r="AI31" s="194">
        <v>41546</v>
      </c>
      <c r="AJ31" s="195"/>
      <c r="AK31" s="196"/>
      <c r="AL31" s="187" t="s">
        <v>131</v>
      </c>
      <c r="AM31" s="194">
        <v>41576</v>
      </c>
      <c r="AN31" s="195"/>
      <c r="AO31" s="196"/>
      <c r="AP31" s="191" t="s">
        <v>132</v>
      </c>
      <c r="AQ31" s="197">
        <v>41607</v>
      </c>
      <c r="AR31" s="198"/>
      <c r="AS31" s="196"/>
      <c r="AT31" s="187" t="s">
        <v>137</v>
      </c>
      <c r="AU31" s="194">
        <v>41637</v>
      </c>
      <c r="AV31" s="195"/>
      <c r="AW31" s="181"/>
    </row>
    <row r="32" spans="2:49" x14ac:dyDescent="0.25">
      <c r="B32" s="202" t="s">
        <v>134</v>
      </c>
      <c r="C32" s="194">
        <v>41304</v>
      </c>
      <c r="D32" s="195"/>
      <c r="E32" s="196"/>
      <c r="F32" s="203"/>
      <c r="G32" s="204"/>
      <c r="H32" s="205"/>
      <c r="I32" s="196"/>
      <c r="J32" s="206" t="s">
        <v>135</v>
      </c>
      <c r="K32" s="197">
        <v>41363</v>
      </c>
      <c r="L32" s="198"/>
      <c r="M32" s="196"/>
      <c r="N32" s="187" t="s">
        <v>131</v>
      </c>
      <c r="O32" s="194">
        <v>41394</v>
      </c>
      <c r="P32" s="195"/>
      <c r="Q32" s="196"/>
      <c r="R32" s="202" t="s">
        <v>136</v>
      </c>
      <c r="S32" s="194">
        <v>41424</v>
      </c>
      <c r="T32" s="195"/>
      <c r="U32" s="196"/>
      <c r="V32" s="187" t="s">
        <v>137</v>
      </c>
      <c r="W32" s="194">
        <v>41455</v>
      </c>
      <c r="X32" s="195"/>
      <c r="Y32" s="196"/>
      <c r="Z32" s="202" t="s">
        <v>131</v>
      </c>
      <c r="AA32" s="194">
        <v>41485</v>
      </c>
      <c r="AB32" s="195"/>
      <c r="AC32" s="196"/>
      <c r="AD32" s="206" t="s">
        <v>132</v>
      </c>
      <c r="AE32" s="197">
        <v>41516</v>
      </c>
      <c r="AF32" s="198"/>
      <c r="AG32" s="196"/>
      <c r="AH32" s="187" t="s">
        <v>133</v>
      </c>
      <c r="AI32" s="194">
        <v>41547</v>
      </c>
      <c r="AJ32" s="195"/>
      <c r="AK32" s="196"/>
      <c r="AL32" s="202" t="s">
        <v>134</v>
      </c>
      <c r="AM32" s="194">
        <v>41577</v>
      </c>
      <c r="AN32" s="195"/>
      <c r="AO32" s="196"/>
      <c r="AP32" s="191" t="s">
        <v>135</v>
      </c>
      <c r="AQ32" s="197">
        <v>41608</v>
      </c>
      <c r="AR32" s="198"/>
      <c r="AS32" s="196"/>
      <c r="AT32" s="202" t="s">
        <v>133</v>
      </c>
      <c r="AU32" s="194">
        <v>41638</v>
      </c>
      <c r="AV32" s="195"/>
      <c r="AW32" s="181"/>
    </row>
    <row r="33" spans="2:49" x14ac:dyDescent="0.25">
      <c r="B33" s="187" t="s">
        <v>136</v>
      </c>
      <c r="C33" s="196">
        <v>41305</v>
      </c>
      <c r="D33" s="207"/>
      <c r="E33" s="196"/>
      <c r="F33" s="203"/>
      <c r="G33" s="204"/>
      <c r="H33" s="205"/>
      <c r="I33" s="196"/>
      <c r="J33" s="187" t="s">
        <v>137</v>
      </c>
      <c r="K33" s="196">
        <v>41364</v>
      </c>
      <c r="L33" s="207"/>
      <c r="M33" s="196"/>
      <c r="N33" s="203"/>
      <c r="O33" s="204"/>
      <c r="P33" s="205"/>
      <c r="Q33" s="196"/>
      <c r="R33" s="191" t="s">
        <v>132</v>
      </c>
      <c r="S33" s="208">
        <v>41425</v>
      </c>
      <c r="T33" s="209"/>
      <c r="U33" s="196"/>
      <c r="V33" s="203"/>
      <c r="W33" s="204"/>
      <c r="X33" s="205"/>
      <c r="Y33" s="196"/>
      <c r="Z33" s="187" t="s">
        <v>134</v>
      </c>
      <c r="AA33" s="196">
        <v>41486</v>
      </c>
      <c r="AB33" s="207"/>
      <c r="AC33" s="196"/>
      <c r="AD33" s="191" t="s">
        <v>135</v>
      </c>
      <c r="AE33" s="208">
        <v>41517</v>
      </c>
      <c r="AF33" s="209"/>
      <c r="AG33" s="196"/>
      <c r="AH33" s="203"/>
      <c r="AI33" s="204"/>
      <c r="AJ33" s="205"/>
      <c r="AK33" s="196"/>
      <c r="AL33" s="187" t="s">
        <v>136</v>
      </c>
      <c r="AM33" s="196">
        <v>41578</v>
      </c>
      <c r="AN33" s="207"/>
      <c r="AO33" s="196"/>
      <c r="AP33" s="203"/>
      <c r="AQ33" s="204"/>
      <c r="AR33" s="205"/>
      <c r="AS33" s="196"/>
      <c r="AT33" s="187" t="s">
        <v>131</v>
      </c>
      <c r="AU33" s="196">
        <v>41639</v>
      </c>
      <c r="AV33" s="207"/>
      <c r="AW33" s="181"/>
    </row>
    <row r="34" spans="2:49" x14ac:dyDescent="0.25">
      <c r="AW34" s="181"/>
    </row>
    <row r="35" spans="2:49" x14ac:dyDescent="0.25">
      <c r="AW35" s="181"/>
    </row>
    <row r="36" spans="2:49" x14ac:dyDescent="0.25">
      <c r="AW36" s="181"/>
    </row>
    <row r="37" spans="2:49" x14ac:dyDescent="0.25">
      <c r="AW37" s="181"/>
    </row>
    <row r="38" spans="2:49" x14ac:dyDescent="0.25">
      <c r="AW38" s="181"/>
    </row>
    <row r="39" spans="2:49" x14ac:dyDescent="0.25">
      <c r="AW39" s="181"/>
    </row>
    <row r="40" spans="2:49" x14ac:dyDescent="0.25">
      <c r="AW40" s="181"/>
    </row>
  </sheetData>
  <mergeCells count="12">
    <mergeCell ref="AT2:AV2"/>
    <mergeCell ref="B2:D2"/>
    <mergeCell ref="F2:H2"/>
    <mergeCell ref="J2:L2"/>
    <mergeCell ref="N2:P2"/>
    <mergeCell ref="R2:T2"/>
    <mergeCell ref="V2:X2"/>
    <mergeCell ref="Z2:AB2"/>
    <mergeCell ref="AD2:AF2"/>
    <mergeCell ref="AH2:AJ2"/>
    <mergeCell ref="AL2:AN2"/>
    <mergeCell ref="AP2:AR2"/>
  </mergeCells>
  <hyperlinks>
    <hyperlink ref="H11" location="'04fevr '!A1" display="Séance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FFFF00"/>
  </sheetPr>
  <dimension ref="A1:B50"/>
  <sheetViews>
    <sheetView topLeftCell="A43" workbookViewId="0">
      <selection activeCell="D22" sqref="D22"/>
    </sheetView>
  </sheetViews>
  <sheetFormatPr baseColWidth="10" defaultRowHeight="15" x14ac:dyDescent="0.25"/>
  <cols>
    <col min="1" max="1" width="38.5703125" bestFit="1" customWidth="1"/>
  </cols>
  <sheetData>
    <row r="1" spans="1:2" ht="15.75" thickBot="1" x14ac:dyDescent="0.3">
      <c r="A1" s="165" t="s">
        <v>97</v>
      </c>
      <c r="B1" s="165" t="s">
        <v>62</v>
      </c>
    </row>
    <row r="2" spans="1:2" ht="19.5" thickTop="1" thickBot="1" x14ac:dyDescent="0.4">
      <c r="A2" s="166" t="s">
        <v>71</v>
      </c>
      <c r="B2" s="6">
        <f>IF(ISERROR(SMALL((B14,B26,B38),1)),"-",SMALL((B14,B26,B38),1))</f>
        <v>9</v>
      </c>
    </row>
    <row r="3" spans="1:2" ht="19.5" thickTop="1" thickBot="1" x14ac:dyDescent="0.4">
      <c r="A3" s="166" t="s">
        <v>72</v>
      </c>
      <c r="B3" s="6">
        <f>(IF(ISERROR(SMALL((B27,B15,B39),1)),"-",SMALL((B27,B15,B39),1)))</f>
        <v>21</v>
      </c>
    </row>
    <row r="4" spans="1:2" ht="19.5" thickTop="1" thickBot="1" x14ac:dyDescent="0.4">
      <c r="A4" s="166" t="s">
        <v>73</v>
      </c>
      <c r="B4" s="6">
        <f>IF(ISERROR(SMALL((B16,B28,B40),1)),"-",SMALL((B16,B28,B40),1))</f>
        <v>20</v>
      </c>
    </row>
    <row r="5" spans="1:2" ht="19.5" thickTop="1" thickBot="1" x14ac:dyDescent="0.4">
      <c r="A5" s="166" t="s">
        <v>74</v>
      </c>
      <c r="B5" s="6">
        <f>IF(ISERROR(SMALL((B17,B29,B41),1)),"-",SMALL((B17,B29,B41),1))</f>
        <v>9</v>
      </c>
    </row>
    <row r="6" spans="1:2" ht="19.5" thickTop="1" thickBot="1" x14ac:dyDescent="0.4">
      <c r="A6" s="166" t="s">
        <v>75</v>
      </c>
      <c r="B6" s="6">
        <f>IF(ISERROR(SMALL((B18,B30,B42),1)),"-",SMALL((B18,B30,B42),1))</f>
        <v>10</v>
      </c>
    </row>
    <row r="7" spans="1:2" ht="19.5" thickTop="1" thickBot="1" x14ac:dyDescent="0.4">
      <c r="A7" s="166" t="s">
        <v>76</v>
      </c>
      <c r="B7" s="6">
        <f>IF(ISERROR(SMALL((B22,B34,B46),1)),"-",SMALL((B22,B34,B46),1))</f>
        <v>20</v>
      </c>
    </row>
    <row r="8" spans="1:2" ht="19.5" thickTop="1" thickBot="1" x14ac:dyDescent="0.4">
      <c r="A8" s="166" t="s">
        <v>77</v>
      </c>
      <c r="B8" s="6">
        <f>IF(ISERROR(SMALL((B23,B35,B47),1)),"-",SMALL((B23,B35,B47),1))</f>
        <v>9</v>
      </c>
    </row>
    <row r="9" spans="1:2" ht="19.5" thickTop="1" thickBot="1" x14ac:dyDescent="0.4">
      <c r="A9" s="166" t="s">
        <v>78</v>
      </c>
      <c r="B9" s="6">
        <f>IF(ISERROR(SMALL((B24,B36,B48),1)),"-",SMALL((B24,B36,B48),1))</f>
        <v>10</v>
      </c>
    </row>
    <row r="10" spans="1:2" ht="19.5" thickTop="1" thickBot="1" x14ac:dyDescent="0.4">
      <c r="A10" s="166" t="s">
        <v>79</v>
      </c>
      <c r="B10" s="6">
        <f>IF(ISERROR(SMALL((B19,B31,B43),1)),"-",SMALL((B19,B31,B43),1))</f>
        <v>21</v>
      </c>
    </row>
    <row r="11" spans="1:2" ht="19.5" thickTop="1" thickBot="1" x14ac:dyDescent="0.4">
      <c r="A11" s="166" t="s">
        <v>80</v>
      </c>
      <c r="B11" s="6" t="str">
        <f>IF(ISERROR(SMALL((B20,B32,B44),1)),"-",SMALL((B20,B32,B44),1))</f>
        <v>-</v>
      </c>
    </row>
    <row r="12" spans="1:2" ht="19.5" thickTop="1" thickBot="1" x14ac:dyDescent="0.4">
      <c r="A12" s="166" t="s">
        <v>81</v>
      </c>
      <c r="B12" s="6" t="str">
        <f>IF(ISERROR(SMALL((B21,B33,B45),1)),"-",SMALL((B21,B33,B45),1))</f>
        <v>-</v>
      </c>
    </row>
    <row r="13" spans="1:2" ht="19.5" thickTop="1" thickBot="1" x14ac:dyDescent="0.4">
      <c r="A13" s="166" t="s">
        <v>65</v>
      </c>
      <c r="B13" s="6">
        <f>IF(ISERROR(SMALL(B19:B24,1)),"-",SMALL(B19:B24,1))</f>
        <v>9</v>
      </c>
    </row>
    <row r="14" spans="1:2" ht="19.5" thickTop="1" thickBot="1" x14ac:dyDescent="0.4">
      <c r="A14" s="166" t="s">
        <v>66</v>
      </c>
      <c r="B14" s="6">
        <f>IF(ISERROR(SMALL((B22,B23,B24),1)),"-",SMALL((B22,B23,B24),1))</f>
        <v>9</v>
      </c>
    </row>
    <row r="15" spans="1:2" ht="19.5" thickTop="1" thickBot="1" x14ac:dyDescent="0.4">
      <c r="A15" s="166" t="s">
        <v>67</v>
      </c>
      <c r="B15" s="6" t="str">
        <f>IF(ISERROR(SMALL((B19,B20,B21),1)),"-",SMALL((B19,B20,B21),1))</f>
        <v>-</v>
      </c>
    </row>
    <row r="16" spans="1:2" ht="19.5" thickTop="1" thickBot="1" x14ac:dyDescent="0.4">
      <c r="A16" s="166" t="s">
        <v>68</v>
      </c>
      <c r="B16" s="6">
        <f>IF(ISERROR(SMALL((B19,B22),1)),"-",SMALL((B19,B22),1))</f>
        <v>20</v>
      </c>
    </row>
    <row r="17" spans="1:2" ht="19.5" thickTop="1" thickBot="1" x14ac:dyDescent="0.4">
      <c r="A17" s="166" t="s">
        <v>69</v>
      </c>
      <c r="B17" s="6">
        <f>IF(ISERROR(SMALL((B20,B23),1)),"-",SMALL((B20,B23),1))</f>
        <v>9</v>
      </c>
    </row>
    <row r="18" spans="1:2" ht="18.75" thickTop="1" x14ac:dyDescent="0.35">
      <c r="A18" s="166" t="s">
        <v>70</v>
      </c>
      <c r="B18" s="6">
        <f>IF(ISERROR(SMALL((B21,B24),1)),"-",SMALL((B21,B24),1))</f>
        <v>10</v>
      </c>
    </row>
    <row r="19" spans="1:2" ht="17.25" thickBot="1" x14ac:dyDescent="0.35">
      <c r="A19" s="166" t="s">
        <v>44</v>
      </c>
      <c r="B19" s="8" t="str">
        <f>IF(ISERROR(MATCH(1,Tableau35307[Colonne1],0)),"-",MATCH(1,Tableau35307[Colonne1],0))</f>
        <v>-</v>
      </c>
    </row>
    <row r="20" spans="1:2" ht="19.5" thickTop="1" thickBot="1" x14ac:dyDescent="0.4">
      <c r="A20" s="166" t="s">
        <v>45</v>
      </c>
      <c r="B20" s="9" t="str">
        <f>IF(ISERROR(MATCH(1,Tableau35307[Colonne2],0)),"-",MATCH(1,Tableau35307[Colonne2],0))</f>
        <v>-</v>
      </c>
    </row>
    <row r="21" spans="1:2" ht="19.5" thickTop="1" thickBot="1" x14ac:dyDescent="0.4">
      <c r="A21" s="166" t="s">
        <v>46</v>
      </c>
      <c r="B21" s="9" t="str">
        <f>IF(ISERROR(MATCH(1,Tableau35307[perf DEMAT],0)),"-",MATCH(1,Tableau35307[perf DEMAT],0))</f>
        <v>-</v>
      </c>
    </row>
    <row r="22" spans="1:2" ht="18.75" thickTop="1" x14ac:dyDescent="0.35">
      <c r="A22" s="166" t="s">
        <v>47</v>
      </c>
      <c r="B22" s="9">
        <f>IF(ISERROR(MATCH(1,Tableau35307[perf DeTAV],0)),"-",MATCH(1,Tableau35307[perf DeTAV],0))</f>
        <v>20</v>
      </c>
    </row>
    <row r="23" spans="1:2" ht="16.5" x14ac:dyDescent="0.3">
      <c r="A23" s="166" t="s">
        <v>48</v>
      </c>
      <c r="B23" s="8">
        <f>IF(ISERROR(MATCH(1,Tableau35307[Colonne3],0)),"-",MATCH(1,Tableau35307[Colonne3],0))</f>
        <v>9</v>
      </c>
    </row>
    <row r="24" spans="1:2" ht="17.25" thickBot="1" x14ac:dyDescent="0.35">
      <c r="A24" s="166" t="s">
        <v>49</v>
      </c>
      <c r="B24" s="8">
        <f>IF(ISERROR(MATCH(1,Tableau35307[perf DeTAT],0)),"-",MATCH(1,Tableau35307[perf DeTAT],0))</f>
        <v>10</v>
      </c>
    </row>
    <row r="25" spans="1:2" ht="19.5" thickTop="1" thickBot="1" x14ac:dyDescent="0.4">
      <c r="A25" s="166" t="s">
        <v>82</v>
      </c>
      <c r="B25" s="6">
        <f>IF(ISERROR(SMALL((B31:B36),1)),"-",SMALL((B31:B36),1))</f>
        <v>21</v>
      </c>
    </row>
    <row r="26" spans="1:2" ht="19.5" thickTop="1" thickBot="1" x14ac:dyDescent="0.4">
      <c r="A26" s="166" t="s">
        <v>83</v>
      </c>
      <c r="B26" s="6" t="str">
        <f>IF(ISERROR(SMALL(B34:B36,1)),"-",SMALL(B34:B36,1))</f>
        <v>-</v>
      </c>
    </row>
    <row r="27" spans="1:2" ht="19.5" thickTop="1" thickBot="1" x14ac:dyDescent="0.4">
      <c r="A27" s="166" t="s">
        <v>84</v>
      </c>
      <c r="B27" s="6">
        <f>IF(ISERROR(SMALL(B31:B33,1)),"-",SMALL(B31:B33,1))</f>
        <v>21</v>
      </c>
    </row>
    <row r="28" spans="1:2" ht="19.5" thickTop="1" thickBot="1" x14ac:dyDescent="0.4">
      <c r="A28" s="166" t="s">
        <v>85</v>
      </c>
      <c r="B28" s="6">
        <f>IF(ISERROR(SMALL((B31,B34),1)),"-",SMALL((B31,B34),1))</f>
        <v>21</v>
      </c>
    </row>
    <row r="29" spans="1:2" ht="19.5" thickTop="1" thickBot="1" x14ac:dyDescent="0.4">
      <c r="A29" s="166" t="s">
        <v>86</v>
      </c>
      <c r="B29" s="6" t="str">
        <f>IF(ISERROR(SMALL((B32,B35),1)),"-",SMALL((B32,B35),1))</f>
        <v>-</v>
      </c>
    </row>
    <row r="30" spans="1:2" ht="18.75" thickTop="1" x14ac:dyDescent="0.35">
      <c r="A30" s="166" t="s">
        <v>87</v>
      </c>
      <c r="B30" s="6" t="str">
        <f>IF(ISERROR(SMALL((B33,B45),1)),"-",SMALL((B33,B45),1))</f>
        <v>-</v>
      </c>
    </row>
    <row r="31" spans="1:2" ht="16.5" x14ac:dyDescent="0.3">
      <c r="A31" s="166" t="s">
        <v>50</v>
      </c>
      <c r="B31" s="10">
        <f>IF(ISERROR(MATCH(1,Tableau3530333[.],0)),"-",MATCH(1,Tableau3530333[.],0))</f>
        <v>21</v>
      </c>
    </row>
    <row r="32" spans="1:2" ht="16.5" x14ac:dyDescent="0.3">
      <c r="A32" s="166" t="s">
        <v>51</v>
      </c>
      <c r="B32" s="10" t="str">
        <f>IF(ISERROR(MATCH(1,Tableau3530333[perf DaMET],0)),"-",MATCH(1,Tableau3530333[perf DaMET],0))</f>
        <v>-</v>
      </c>
    </row>
    <row r="33" spans="1:2" ht="16.5" x14ac:dyDescent="0.3">
      <c r="A33" s="166" t="s">
        <v>52</v>
      </c>
      <c r="B33" s="10" t="str">
        <f>IF(ISERROR(MATCH(1,Tableau3530333[,],0)),"-",MATCH(1,Tableau3530333[,],0))</f>
        <v>-</v>
      </c>
    </row>
    <row r="34" spans="1:2" ht="16.5" x14ac:dyDescent="0.3">
      <c r="A34" s="166" t="s">
        <v>53</v>
      </c>
      <c r="B34" s="10" t="str">
        <f>IF(ISERROR(MATCH(1,Tableau3530333[perf DaTAV],0)),"-",MATCH(1,Tableau3530333[perf DaTAV],0))</f>
        <v>-</v>
      </c>
    </row>
    <row r="35" spans="1:2" ht="16.5" x14ac:dyDescent="0.3">
      <c r="A35" s="166" t="s">
        <v>54</v>
      </c>
      <c r="B35" s="10" t="str">
        <f>IF(ISERROR(MATCH(1,Tableau3530333[perf DaTET],0)),"-",MATCH(1,Tableau3530333[perf DaTET],0))</f>
        <v>-</v>
      </c>
    </row>
    <row r="36" spans="1:2" ht="17.25" thickBot="1" x14ac:dyDescent="0.35">
      <c r="A36" s="166" t="s">
        <v>55</v>
      </c>
      <c r="B36" s="10" t="str">
        <f>IF(ISERROR(MATCH(1,Tableau3530333[Colonne1],0)),"-",MATCH(1,Tableau3530333[Colonne1],0))</f>
        <v>-</v>
      </c>
    </row>
    <row r="37" spans="1:2" ht="19.5" thickTop="1" thickBot="1" x14ac:dyDescent="0.4">
      <c r="A37" s="166" t="s">
        <v>88</v>
      </c>
      <c r="B37" s="6" t="str">
        <f>IF(ISERROR(SMALL(B43:B48,1)),"-",SMALL(B43:B48,1))</f>
        <v>-</v>
      </c>
    </row>
    <row r="38" spans="1:2" ht="19.5" thickTop="1" thickBot="1" x14ac:dyDescent="0.4">
      <c r="A38" s="166" t="s">
        <v>89</v>
      </c>
      <c r="B38" s="6" t="str">
        <f>IF(ISERROR(SMALL(B46:B48,1)),"-",SMALL(B46:B48,1))</f>
        <v>-</v>
      </c>
    </row>
    <row r="39" spans="1:2" ht="19.5" thickTop="1" thickBot="1" x14ac:dyDescent="0.4">
      <c r="A39" s="166" t="s">
        <v>90</v>
      </c>
      <c r="B39" s="6" t="str">
        <f>IF(ISERROR(SMALL(B43:B45,1)),"-",SMALL(B43:B45,1))</f>
        <v>-</v>
      </c>
    </row>
    <row r="40" spans="1:2" ht="19.5" thickTop="1" thickBot="1" x14ac:dyDescent="0.4">
      <c r="A40" s="166" t="s">
        <v>91</v>
      </c>
      <c r="B40" s="6" t="str">
        <f>IF(ISERROR(SMALL((B43,B46),1)),"-",SMALL((B43,B46),1))</f>
        <v>-</v>
      </c>
    </row>
    <row r="41" spans="1:2" ht="19.5" thickTop="1" thickBot="1" x14ac:dyDescent="0.4">
      <c r="A41" s="166" t="s">
        <v>92</v>
      </c>
      <c r="B41" s="6" t="str">
        <f>IF(ISERROR(SMALL((B44,B47),1)),"-",SMALL((B44,B47),1))</f>
        <v>-</v>
      </c>
    </row>
    <row r="42" spans="1:2" ht="18.75" thickTop="1" x14ac:dyDescent="0.35">
      <c r="A42" s="166" t="s">
        <v>93</v>
      </c>
      <c r="B42" s="6" t="str">
        <f>IF(ISERROR(SMALL((B45,B48),1)),"-",SMALL((B45,B48),1))</f>
        <v>-</v>
      </c>
    </row>
    <row r="43" spans="1:2" ht="16.5" x14ac:dyDescent="0.3">
      <c r="A43" s="166" t="s">
        <v>56</v>
      </c>
      <c r="B43" s="8" t="str">
        <f>IF(ISERROR(MATCH(1,Tableau3530344[perf MdMAV],0)),"-",MATCH(1,Tableau3530344[perf MdMAV],0))</f>
        <v>-</v>
      </c>
    </row>
    <row r="44" spans="1:2" ht="16.5" x14ac:dyDescent="0.3">
      <c r="A44" s="166" t="s">
        <v>57</v>
      </c>
      <c r="B44" s="8" t="str">
        <f>IF(ISERROR(MATCH(1,Tableau3530344[perf MdMET],0)),"-",MATCH(1,Tableau3530344[perf MdMET],0))</f>
        <v>-</v>
      </c>
    </row>
    <row r="45" spans="1:2" ht="16.5" x14ac:dyDescent="0.3">
      <c r="A45" s="166" t="s">
        <v>58</v>
      </c>
      <c r="B45" s="8" t="str">
        <f>IF(ISERROR(MATCH(1,Tableau3530344[perf MdMAT],0)),"-",MATCH(1,Tableau3530344[perf MdMAT],0))</f>
        <v>-</v>
      </c>
    </row>
    <row r="46" spans="1:2" ht="16.5" x14ac:dyDescent="0.3">
      <c r="A46" s="166" t="s">
        <v>59</v>
      </c>
      <c r="B46" s="8" t="str">
        <f>IF(ISERROR(MATCH(1,Tableau3530344[perf MdTAV],0)),"-",MATCH(1,Tableau3530344[perf MdTAV],0))</f>
        <v>-</v>
      </c>
    </row>
    <row r="47" spans="1:2" ht="16.5" x14ac:dyDescent="0.3">
      <c r="A47" s="166" t="s">
        <v>60</v>
      </c>
      <c r="B47" s="8" t="str">
        <f>IF(ISERROR(MATCH(1,Tableau3530344[perf MdTET],0)),"-",MATCH(1,Tableau3530344[perf MdTET],0))</f>
        <v>-</v>
      </c>
    </row>
    <row r="48" spans="1:2" ht="16.5" x14ac:dyDescent="0.3">
      <c r="A48" s="166" t="s">
        <v>61</v>
      </c>
      <c r="B48" s="8" t="str">
        <f>IF(ISERROR(MATCH(1,Tableau3530344[perf MdTAT],0)),"-",MATCH(1,Tableau3530344[perf MdTAT],0))</f>
        <v>-</v>
      </c>
    </row>
    <row r="49" spans="1:2" x14ac:dyDescent="0.25">
      <c r="A49" s="167" t="s">
        <v>63</v>
      </c>
      <c r="B49" s="12" t="e">
        <f>SUM(#REF!,#REF!,#REF!,#REF!,#REF!,#REF!,#REF!,#REF!,#REF!,#REF!,#REF!,#REF!,#REF!,#REF!,#REF!,#REF!,#REF!,#REF!)</f>
        <v>#REF!</v>
      </c>
    </row>
    <row r="50" spans="1:2" x14ac:dyDescent="0.25">
      <c r="A50" s="167" t="s">
        <v>98</v>
      </c>
      <c r="B50">
        <f>SUM(J3:J28)</f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D52"/>
  <sheetViews>
    <sheetView showGridLines="0" topLeftCell="D1" zoomScale="70" zoomScaleNormal="70" workbookViewId="0">
      <selection activeCell="AC70" sqref="AC70"/>
    </sheetView>
  </sheetViews>
  <sheetFormatPr baseColWidth="10" defaultRowHeight="15" x14ac:dyDescent="0.25"/>
  <cols>
    <col min="1" max="1" width="11.42578125" hidden="1" customWidth="1"/>
    <col min="2" max="3" width="11.5703125" hidden="1" customWidth="1"/>
    <col min="4" max="4" width="13.42578125" bestFit="1" customWidth="1"/>
    <col min="5" max="5" width="10.28515625" customWidth="1"/>
    <col min="6" max="6" width="0.42578125" hidden="1" customWidth="1"/>
    <col min="7" max="7" width="12.140625" customWidth="1"/>
    <col min="8" max="8" width="12.140625" hidden="1" customWidth="1"/>
    <col min="9" max="9" width="13" customWidth="1"/>
    <col min="10" max="10" width="12.85546875" hidden="1" customWidth="1"/>
    <col min="11" max="11" width="12.85546875" bestFit="1" customWidth="1"/>
    <col min="12" max="12" width="12.85546875" hidden="1" customWidth="1"/>
    <col min="13" max="13" width="11.5703125" customWidth="1"/>
    <col min="14" max="14" width="0.140625" hidden="1" customWidth="1"/>
    <col min="15" max="15" width="12.7109375" customWidth="1"/>
    <col min="16" max="16" width="20.5703125" hidden="1" customWidth="1"/>
    <col min="17" max="17" width="12.5703125" hidden="1" customWidth="1"/>
    <col min="18" max="18" width="12.85546875" bestFit="1" customWidth="1"/>
    <col min="19" max="19" width="12.85546875" customWidth="1"/>
    <col min="20" max="20" width="0.140625" hidden="1" customWidth="1"/>
    <col min="21" max="21" width="12.7109375" customWidth="1"/>
    <col min="22" max="22" width="12.85546875" hidden="1" customWidth="1"/>
    <col min="23" max="23" width="12.85546875" bestFit="1" customWidth="1"/>
    <col min="24" max="24" width="0.140625" hidden="1" customWidth="1"/>
    <col min="25" max="25" width="12.7109375" customWidth="1"/>
    <col min="26" max="26" width="12.85546875" hidden="1" customWidth="1"/>
    <col min="27" max="27" width="12.85546875" customWidth="1"/>
    <col min="28" max="28" width="12.85546875" hidden="1" customWidth="1"/>
    <col min="29" max="29" width="12.85546875" bestFit="1" customWidth="1"/>
    <col min="30" max="30" width="0.140625" hidden="1" customWidth="1"/>
    <col min="31" max="31" width="11.42578125" hidden="1" customWidth="1"/>
    <col min="32" max="32" width="14.42578125" bestFit="1" customWidth="1"/>
    <col min="33" max="33" width="12.85546875" customWidth="1"/>
    <col min="34" max="34" width="12.85546875" hidden="1" customWidth="1"/>
    <col min="35" max="35" width="12.85546875" customWidth="1"/>
    <col min="36" max="36" width="12.85546875" hidden="1" customWidth="1"/>
    <col min="37" max="37" width="12.42578125" customWidth="1"/>
    <col min="38" max="38" width="12.85546875" hidden="1" customWidth="1"/>
    <col min="39" max="39" width="11.7109375" customWidth="1"/>
    <col min="40" max="40" width="20.28515625" hidden="1" customWidth="1"/>
    <col min="41" max="41" width="12.28515625" customWidth="1"/>
    <col min="42" max="42" width="20.28515625" hidden="1" customWidth="1"/>
    <col min="43" max="43" width="12.28515625" customWidth="1"/>
    <col min="44" max="44" width="20.28515625" hidden="1" customWidth="1"/>
    <col min="46" max="46" width="28.85546875" customWidth="1"/>
    <col min="47" max="47" width="38.5703125" bestFit="1" customWidth="1"/>
    <col min="48" max="48" width="11.5703125" customWidth="1"/>
    <col min="53" max="53" width="20.5703125" customWidth="1"/>
    <col min="54" max="54" width="13.85546875" customWidth="1"/>
    <col min="55" max="56" width="14.28515625" customWidth="1"/>
  </cols>
  <sheetData>
    <row r="1" spans="1:56" s="17" customFormat="1" ht="234" customHeight="1" x14ac:dyDescent="0.25">
      <c r="A1" s="24" t="s">
        <v>9</v>
      </c>
      <c r="B1" s="25" t="s">
        <v>10</v>
      </c>
      <c r="C1" s="25" t="s">
        <v>11</v>
      </c>
      <c r="D1" s="22" t="s">
        <v>12</v>
      </c>
      <c r="E1" s="136" t="s">
        <v>14</v>
      </c>
      <c r="F1" s="132" t="s">
        <v>62</v>
      </c>
      <c r="G1" s="137" t="s">
        <v>35</v>
      </c>
      <c r="H1" s="133" t="s">
        <v>64</v>
      </c>
      <c r="I1" s="138" t="s">
        <v>36</v>
      </c>
      <c r="J1" s="132" t="s">
        <v>101</v>
      </c>
      <c r="K1" s="153" t="s">
        <v>16</v>
      </c>
      <c r="L1" s="132" t="s">
        <v>102</v>
      </c>
      <c r="M1" s="152" t="s">
        <v>37</v>
      </c>
      <c r="N1" s="132" t="s">
        <v>96</v>
      </c>
      <c r="O1" s="151" t="s">
        <v>115</v>
      </c>
      <c r="P1" s="25" t="s">
        <v>103</v>
      </c>
      <c r="Q1" s="16"/>
      <c r="R1" s="22" t="s">
        <v>12</v>
      </c>
      <c r="S1" s="139" t="s">
        <v>38</v>
      </c>
      <c r="T1" s="134" t="s">
        <v>113</v>
      </c>
      <c r="U1" s="140" t="s">
        <v>39</v>
      </c>
      <c r="V1" s="134" t="s">
        <v>104</v>
      </c>
      <c r="W1" s="141" t="s">
        <v>40</v>
      </c>
      <c r="X1" s="134" t="s">
        <v>114</v>
      </c>
      <c r="Y1" s="142" t="s">
        <v>41</v>
      </c>
      <c r="Z1" s="134" t="s">
        <v>112</v>
      </c>
      <c r="AA1" s="143" t="s">
        <v>42</v>
      </c>
      <c r="AB1" s="134" t="s">
        <v>105</v>
      </c>
      <c r="AC1" s="144" t="s">
        <v>43</v>
      </c>
      <c r="AD1" s="15" t="s">
        <v>62</v>
      </c>
      <c r="AF1" s="22" t="s">
        <v>12</v>
      </c>
      <c r="AG1" s="145" t="s">
        <v>31</v>
      </c>
      <c r="AH1" s="134" t="s">
        <v>111</v>
      </c>
      <c r="AI1" s="146" t="s">
        <v>100</v>
      </c>
      <c r="AJ1" s="134" t="s">
        <v>106</v>
      </c>
      <c r="AK1" s="147" t="s">
        <v>99</v>
      </c>
      <c r="AL1" s="134" t="s">
        <v>107</v>
      </c>
      <c r="AM1" s="148" t="s">
        <v>32</v>
      </c>
      <c r="AN1" s="134" t="s">
        <v>108</v>
      </c>
      <c r="AO1" s="149" t="s">
        <v>33</v>
      </c>
      <c r="AP1" s="135" t="s">
        <v>109</v>
      </c>
      <c r="AQ1" s="150" t="s">
        <v>34</v>
      </c>
      <c r="AR1" s="15" t="s">
        <v>110</v>
      </c>
    </row>
    <row r="2" spans="1:56" ht="24.75" x14ac:dyDescent="0.5">
      <c r="A2" s="26">
        <v>41672</v>
      </c>
      <c r="B2" s="27"/>
      <c r="C2" s="27"/>
      <c r="D2" s="32" t="s">
        <v>17</v>
      </c>
      <c r="E2" s="240"/>
      <c r="F2" s="241">
        <f>COUNTIF(Tableau35307[[#This Row],[cotation]:[Dévers en moulinette à vue]],Tableau35307[[#This Row],[Dévers en moulinette à vue]])</f>
        <v>0</v>
      </c>
      <c r="G2" s="242"/>
      <c r="H2" s="243"/>
      <c r="I2" s="244"/>
      <c r="J2" s="241">
        <f t="shared" ref="J2:J27" si="0">COUNTIF(I2,I2)</f>
        <v>0</v>
      </c>
      <c r="K2" s="245"/>
      <c r="L2" s="241">
        <f t="shared" ref="L2:L27" si="1">COUNTIF(K2,K2)</f>
        <v>0</v>
      </c>
      <c r="M2" s="239"/>
      <c r="N2" s="246">
        <f t="shared" ref="N2:N27" si="2">COUNTIF(M2,M2)</f>
        <v>0</v>
      </c>
      <c r="O2" s="247"/>
      <c r="P2" s="248">
        <f>COUNTIF(Tableau35307[[#This Row],[Dévers en tête après travail]],Tableau35307[[#This Row],[Dévers en tête après travail]])</f>
        <v>0</v>
      </c>
      <c r="Q2" s="249"/>
      <c r="R2" s="32" t="s">
        <v>17</v>
      </c>
      <c r="S2" s="250"/>
      <c r="T2" s="251">
        <f>COUNTIF(Tableau3530333[[#This Row],[cotation]:[Dalle en moulinettte à vue]],Tableau3530333[[#This Row],[Dalle en moulinettte à vue]])</f>
        <v>0</v>
      </c>
      <c r="U2" s="252"/>
      <c r="V2" s="251">
        <f>COUNTIF(U2,Tableau3530333[[#This Row],[Dalle en moulinette en travail]])</f>
        <v>0</v>
      </c>
      <c r="W2" s="253"/>
      <c r="X2" s="251"/>
      <c r="Y2" s="254"/>
      <c r="Z2" s="251">
        <f t="shared" ref="Z2:Z27" si="3">COUNTIF(Y2,Y2)</f>
        <v>0</v>
      </c>
      <c r="AA2" s="255"/>
      <c r="AB2" s="256">
        <f t="shared" ref="AB2:AB27" si="4">COUNTIF(AA2,AA2)</f>
        <v>0</v>
      </c>
      <c r="AC2" s="257"/>
      <c r="AD2" s="258">
        <f>COUNTIF(Tableau3530333[[#This Row],[Dalle en tête après travail]],Tableau3530333[[#This Row],[Dalle en tête après travail]])</f>
        <v>0</v>
      </c>
      <c r="AE2" s="259"/>
      <c r="AF2" s="18" t="s">
        <v>17</v>
      </c>
      <c r="AG2" s="260"/>
      <c r="AH2" s="261">
        <f>COUNTIF(Tableau3530344[[#This Row],[cotation]:[Mur droit en moulinette à vue]],Tableau3530344[[#This Row],[Mur droit en moulinette à vue]])</f>
        <v>0</v>
      </c>
      <c r="AI2" s="262"/>
      <c r="AJ2" s="261">
        <f>COUNTIF(AI2,Tableau3530344[[#This Row],[Mur droit en moul. en travail]])</f>
        <v>0</v>
      </c>
      <c r="AK2" s="263"/>
      <c r="AL2" s="261">
        <f t="shared" ref="AL2:AL27" si="5">COUNTIF(AK2,AK2)</f>
        <v>0</v>
      </c>
      <c r="AM2" s="264"/>
      <c r="AN2" s="261">
        <f t="shared" ref="AN2:AN27" si="6">COUNTIF(AM2,AM2)</f>
        <v>0</v>
      </c>
      <c r="AO2" s="265"/>
      <c r="AP2" s="266">
        <f t="shared" ref="AP2:AP27" si="7">COUNTIF(AO2,AO2)</f>
        <v>0</v>
      </c>
      <c r="AQ2" s="267"/>
      <c r="AR2" s="5">
        <f>COUNTIF(Tableau3530344[[#This Row],[Mur droit en tête après travail]],Tableau3530344[[#This Row],[Mur droit en tête après travail]])</f>
        <v>0</v>
      </c>
    </row>
    <row r="3" spans="1:56" ht="25.5" thickBot="1" x14ac:dyDescent="0.55000000000000004">
      <c r="A3" s="29"/>
      <c r="B3" s="29"/>
      <c r="C3" s="29"/>
      <c r="D3" s="33" t="s">
        <v>18</v>
      </c>
      <c r="E3" s="268"/>
      <c r="F3" s="241">
        <f>COUNTIF(Tableau35307[[#This Row],[cotation]:[Dévers en moulinette à vue]],Tableau35307[[#This Row],[Dévers en moulinette à vue]])</f>
        <v>0</v>
      </c>
      <c r="G3" s="269"/>
      <c r="H3" s="243"/>
      <c r="I3" s="270"/>
      <c r="J3" s="243">
        <f t="shared" si="0"/>
        <v>0</v>
      </c>
      <c r="K3" s="271"/>
      <c r="L3" s="243">
        <f t="shared" si="1"/>
        <v>0</v>
      </c>
      <c r="M3" s="213"/>
      <c r="N3" s="272">
        <f t="shared" si="2"/>
        <v>0</v>
      </c>
      <c r="O3" s="273"/>
      <c r="P3" s="248">
        <f>COUNTIF(Tableau35307[[#This Row],[Dévers en tête après travail]],Tableau35307[[#This Row],[Dévers en tête après travail]])</f>
        <v>0</v>
      </c>
      <c r="Q3" s="249"/>
      <c r="R3" s="33" t="s">
        <v>18</v>
      </c>
      <c r="S3" s="274"/>
      <c r="T3" s="251">
        <f>COUNTIF(Tableau3530333[[#This Row],[cotation]:[Dalle en moulinettte à vue]],Tableau3530333[[#This Row],[Dalle en moulinettte à vue]])</f>
        <v>0</v>
      </c>
      <c r="U3" s="275"/>
      <c r="V3" s="276">
        <f>COUNTIF(U3,Tableau3530333[[#This Row],[Dalle en moulinette en travail]])</f>
        <v>0</v>
      </c>
      <c r="W3" s="277"/>
      <c r="X3" s="276">
        <f t="shared" ref="X3:X27" si="8">COUNTIF(W3,W3)</f>
        <v>0</v>
      </c>
      <c r="Y3" s="278"/>
      <c r="Z3" s="276">
        <f t="shared" si="3"/>
        <v>0</v>
      </c>
      <c r="AA3" s="279"/>
      <c r="AB3" s="280">
        <f t="shared" si="4"/>
        <v>0</v>
      </c>
      <c r="AC3" s="281"/>
      <c r="AD3" s="258">
        <f>COUNTIF(Tableau3530333[[#This Row],[Dalle en tête après travail]],Tableau3530333[[#This Row],[Dalle en tête après travail]])</f>
        <v>0</v>
      </c>
      <c r="AE3" s="259"/>
      <c r="AF3" s="19" t="s">
        <v>18</v>
      </c>
      <c r="AG3" s="282"/>
      <c r="AH3" s="261">
        <f>COUNTIF(Tableau3530344[[#This Row],[cotation]:[Mur droit en moulinette à vue]],Tableau3530344[[#This Row],[Mur droit en moulinette à vue]])</f>
        <v>0</v>
      </c>
      <c r="AI3" s="283"/>
      <c r="AJ3" s="284">
        <f>COUNTIF(AI3,Tableau3530344[[#This Row],[Mur droit en moul. en travail]])</f>
        <v>0</v>
      </c>
      <c r="AK3" s="285"/>
      <c r="AL3" s="284">
        <f t="shared" si="5"/>
        <v>0</v>
      </c>
      <c r="AM3" s="286"/>
      <c r="AN3" s="284">
        <f t="shared" si="6"/>
        <v>0</v>
      </c>
      <c r="AO3" s="287"/>
      <c r="AP3" s="288">
        <f t="shared" si="7"/>
        <v>0</v>
      </c>
      <c r="AQ3" s="289"/>
      <c r="AR3" s="5">
        <f>COUNTIF(Tableau3530344[[#This Row],[Mur droit en tête après travail]],Tableau3530344[[#This Row],[Mur droit en tête après travail]])</f>
        <v>0</v>
      </c>
      <c r="AU3" s="165" t="s">
        <v>97</v>
      </c>
      <c r="AV3" s="165" t="s">
        <v>62</v>
      </c>
    </row>
    <row r="4" spans="1:56" ht="26.25" thickTop="1" thickBot="1" x14ac:dyDescent="0.55000000000000004">
      <c r="A4" s="27"/>
      <c r="B4" s="27"/>
      <c r="C4" s="27"/>
      <c r="D4" s="32" t="s">
        <v>19</v>
      </c>
      <c r="E4" s="240"/>
      <c r="F4" s="241">
        <f>COUNTIF(Tableau35307[[#This Row],[cotation]:[Dévers en moulinette à vue]],Tableau35307[[#This Row],[Dévers en moulinette à vue]])</f>
        <v>0</v>
      </c>
      <c r="G4" s="290"/>
      <c r="H4" s="243"/>
      <c r="I4" s="244"/>
      <c r="J4" s="241">
        <f t="shared" si="0"/>
        <v>0</v>
      </c>
      <c r="K4" s="245"/>
      <c r="L4" s="241">
        <f t="shared" si="1"/>
        <v>0</v>
      </c>
      <c r="M4" s="239"/>
      <c r="N4" s="246">
        <f t="shared" si="2"/>
        <v>0</v>
      </c>
      <c r="O4" s="247"/>
      <c r="P4" s="248">
        <f>COUNTIF(Tableau35307[[#This Row],[Dévers en tête après travail]],Tableau35307[[#This Row],[Dévers en tête après travail]])</f>
        <v>0</v>
      </c>
      <c r="Q4" s="249"/>
      <c r="R4" s="32" t="s">
        <v>19</v>
      </c>
      <c r="S4" s="250"/>
      <c r="T4" s="251">
        <f>COUNTIF(Tableau3530333[[#This Row],[cotation]:[Dalle en moulinettte à vue]],Tableau3530333[[#This Row],[Dalle en moulinettte à vue]])</f>
        <v>0</v>
      </c>
      <c r="U4" s="252"/>
      <c r="V4" s="251">
        <f>COUNTIF(U4,Tableau3530333[[#This Row],[Dalle en moulinette en travail]])</f>
        <v>0</v>
      </c>
      <c r="W4" s="253"/>
      <c r="X4" s="251">
        <f t="shared" si="8"/>
        <v>0</v>
      </c>
      <c r="Y4" s="254"/>
      <c r="Z4" s="251">
        <f t="shared" si="3"/>
        <v>0</v>
      </c>
      <c r="AA4" s="255"/>
      <c r="AB4" s="256">
        <f t="shared" si="4"/>
        <v>0</v>
      </c>
      <c r="AC4" s="257"/>
      <c r="AD4" s="258">
        <f>COUNTIF(Tableau3530333[[#This Row],[Dalle en tête après travail]],Tableau3530333[[#This Row],[Dalle en tête après travail]])</f>
        <v>0</v>
      </c>
      <c r="AE4" s="259"/>
      <c r="AF4" s="18" t="s">
        <v>19</v>
      </c>
      <c r="AG4" s="260"/>
      <c r="AH4" s="261">
        <f>COUNTIF(Tableau3530344[[#This Row],[cotation]:[Mur droit en moulinette à vue]],Tableau3530344[[#This Row],[Mur droit en moulinette à vue]])</f>
        <v>0</v>
      </c>
      <c r="AI4" s="262"/>
      <c r="AJ4" s="261">
        <f>COUNTIF(AI4,Tableau3530344[[#This Row],[Mur droit en moul. en travail]])</f>
        <v>0</v>
      </c>
      <c r="AK4" s="263"/>
      <c r="AL4" s="261">
        <f t="shared" si="5"/>
        <v>0</v>
      </c>
      <c r="AM4" s="264"/>
      <c r="AN4" s="261">
        <f t="shared" si="6"/>
        <v>0</v>
      </c>
      <c r="AO4" s="265"/>
      <c r="AP4" s="266">
        <f t="shared" si="7"/>
        <v>0</v>
      </c>
      <c r="AQ4" s="267"/>
      <c r="AR4" s="5">
        <f>COUNTIF(Tableau3530344[[#This Row],[Mur droit en tête après travail]],Tableau3530344[[#This Row],[Mur droit en tête après travail]])</f>
        <v>0</v>
      </c>
      <c r="AU4" s="165" t="s">
        <v>71</v>
      </c>
      <c r="AV4" s="6">
        <f>IF(ISERROR(SMALL((AV16,AV28,AV40),1)),"-",SMALL((AV16,AV28,AV40),1))</f>
        <v>9</v>
      </c>
      <c r="BA4" s="165" t="s">
        <v>94</v>
      </c>
      <c r="BB4" s="165" t="s">
        <v>62</v>
      </c>
      <c r="BC4" s="165" t="s">
        <v>64</v>
      </c>
      <c r="BD4" t="s">
        <v>96</v>
      </c>
    </row>
    <row r="5" spans="1:56" ht="26.25" thickTop="1" thickBot="1" x14ac:dyDescent="0.55000000000000004">
      <c r="A5" s="30"/>
      <c r="B5" s="29"/>
      <c r="C5" s="29"/>
      <c r="D5" s="33" t="s">
        <v>20</v>
      </c>
      <c r="E5" s="268"/>
      <c r="F5" s="241">
        <f>COUNTIF(Tableau35307[[#This Row],[cotation]:[Dévers en moulinette à vue]],Tableau35307[[#This Row],[Dévers en moulinette à vue]])</f>
        <v>0</v>
      </c>
      <c r="G5" s="269"/>
      <c r="H5" s="243"/>
      <c r="I5" s="270"/>
      <c r="J5" s="243">
        <f t="shared" si="0"/>
        <v>0</v>
      </c>
      <c r="K5" s="271"/>
      <c r="L5" s="243">
        <f t="shared" si="1"/>
        <v>0</v>
      </c>
      <c r="M5" s="213"/>
      <c r="N5" s="272">
        <f t="shared" si="2"/>
        <v>0</v>
      </c>
      <c r="O5" s="273"/>
      <c r="P5" s="248">
        <f>COUNTIF(Tableau35307[[#This Row],[Dévers en tête après travail]],Tableau35307[[#This Row],[Dévers en tête après travail]])</f>
        <v>0</v>
      </c>
      <c r="Q5" s="249"/>
      <c r="R5" s="33" t="s">
        <v>20</v>
      </c>
      <c r="S5" s="274"/>
      <c r="T5" s="251">
        <f>COUNTIF(Tableau3530333[[#This Row],[cotation]:[Dalle en moulinettte à vue]],Tableau3530333[[#This Row],[Dalle en moulinettte à vue]])</f>
        <v>0</v>
      </c>
      <c r="U5" s="275"/>
      <c r="V5" s="276">
        <f>COUNTIF(U5,Tableau3530333[[#This Row],[Dalle en moulinette en travail]])</f>
        <v>0</v>
      </c>
      <c r="W5" s="277"/>
      <c r="X5" s="276">
        <f t="shared" si="8"/>
        <v>0</v>
      </c>
      <c r="Y5" s="278"/>
      <c r="Z5" s="276">
        <f t="shared" si="3"/>
        <v>0</v>
      </c>
      <c r="AA5" s="279"/>
      <c r="AB5" s="280">
        <f t="shared" si="4"/>
        <v>0</v>
      </c>
      <c r="AC5" s="281"/>
      <c r="AD5" s="258">
        <f>COUNTIF(Tableau3530333[[#This Row],[Dalle en tête après travail]],Tableau3530333[[#This Row],[Dalle en tête après travail]])</f>
        <v>0</v>
      </c>
      <c r="AE5" s="259"/>
      <c r="AF5" s="19" t="s">
        <v>20</v>
      </c>
      <c r="AG5" s="282"/>
      <c r="AH5" s="261">
        <f>COUNTIF(Tableau3530344[[#This Row],[cotation]:[Mur droit en moulinette à vue]],Tableau3530344[[#This Row],[Mur droit en moulinette à vue]])</f>
        <v>0</v>
      </c>
      <c r="AI5" s="283"/>
      <c r="AJ5" s="284">
        <f>COUNTIF(AI5,Tableau3530344[[#This Row],[Mur droit en moul. en travail]])</f>
        <v>0</v>
      </c>
      <c r="AK5" s="285"/>
      <c r="AL5" s="284">
        <f t="shared" si="5"/>
        <v>0</v>
      </c>
      <c r="AM5" s="286"/>
      <c r="AN5" s="284">
        <f t="shared" si="6"/>
        <v>0</v>
      </c>
      <c r="AO5" s="287"/>
      <c r="AP5" s="288">
        <f t="shared" si="7"/>
        <v>0</v>
      </c>
      <c r="AQ5" s="289"/>
      <c r="AR5" s="5">
        <f>COUNTIF(Tableau3530344[[#This Row],[Mur droit en tête après travail]],Tableau3530344[[#This Row],[Mur droit en tête après travail]])</f>
        <v>0</v>
      </c>
      <c r="AU5" s="165" t="s">
        <v>72</v>
      </c>
      <c r="AV5" s="6">
        <f>(IF(ISERROR(SMALL((AV29,AV17,AV41),1)),"-",SMALL((AV29,AV17,AV41),1)))</f>
        <v>21</v>
      </c>
      <c r="BA5">
        <v>4</v>
      </c>
      <c r="BB5">
        <v>1</v>
      </c>
      <c r="BC5">
        <f>SUM(E27,I27,K27,G27,M27,O27,S27,U27,W27,Y27,AA27,AC27,AG27,AI27,AK27,AM27,AO27,AQ27)</f>
        <v>0</v>
      </c>
      <c r="BD5">
        <f>PRODUCT(BB5:BC5)</f>
        <v>0</v>
      </c>
    </row>
    <row r="6" spans="1:56" ht="26.25" thickTop="1" thickBot="1" x14ac:dyDescent="0.55000000000000004">
      <c r="A6" s="27"/>
      <c r="B6" s="27"/>
      <c r="C6" s="27"/>
      <c r="D6" s="32" t="s">
        <v>15</v>
      </c>
      <c r="E6" s="240"/>
      <c r="F6" s="241">
        <f>COUNTIF(Tableau35307[[#This Row],[cotation]:[Dévers en moulinette à vue]],Tableau35307[[#This Row],[Dévers en moulinette à vue]])</f>
        <v>0</v>
      </c>
      <c r="G6" s="290"/>
      <c r="H6" s="243"/>
      <c r="I6" s="244"/>
      <c r="J6" s="241">
        <f t="shared" si="0"/>
        <v>0</v>
      </c>
      <c r="K6" s="271"/>
      <c r="L6" s="243">
        <f t="shared" si="1"/>
        <v>0</v>
      </c>
      <c r="M6" s="239"/>
      <c r="N6" s="246">
        <f t="shared" si="2"/>
        <v>0</v>
      </c>
      <c r="O6" s="247"/>
      <c r="P6" s="248">
        <f>COUNTIF(Tableau35307[[#This Row],[Dévers en tête après travail]],Tableau35307[[#This Row],[Dévers en tête après travail]])</f>
        <v>0</v>
      </c>
      <c r="Q6" s="249"/>
      <c r="R6" s="32" t="s">
        <v>15</v>
      </c>
      <c r="S6" s="250"/>
      <c r="T6" s="251">
        <f>COUNTIF(Tableau3530333[[#This Row],[cotation]:[Dalle en moulinettte à vue]],Tableau3530333[[#This Row],[Dalle en moulinettte à vue]])</f>
        <v>0</v>
      </c>
      <c r="U6" s="252"/>
      <c r="V6" s="251">
        <f>COUNTIF(U6,Tableau3530333[[#This Row],[Dalle en moulinette en travail]])</f>
        <v>0</v>
      </c>
      <c r="W6" s="253"/>
      <c r="X6" s="251">
        <f t="shared" si="8"/>
        <v>0</v>
      </c>
      <c r="Y6" s="278"/>
      <c r="Z6" s="276">
        <f t="shared" si="3"/>
        <v>0</v>
      </c>
      <c r="AA6" s="255"/>
      <c r="AB6" s="256">
        <f t="shared" si="4"/>
        <v>0</v>
      </c>
      <c r="AC6" s="257"/>
      <c r="AD6" s="258">
        <f>COUNTIF(Tableau3530333[[#This Row],[Dalle en tête après travail]],Tableau3530333[[#This Row],[Dalle en tête après travail]])</f>
        <v>0</v>
      </c>
      <c r="AE6" s="259"/>
      <c r="AF6" s="18" t="s">
        <v>15</v>
      </c>
      <c r="AG6" s="260"/>
      <c r="AH6" s="261">
        <f>COUNTIF(Tableau3530344[[#This Row],[cotation]:[Mur droit en moulinette à vue]],Tableau3530344[[#This Row],[Mur droit en moulinette à vue]])</f>
        <v>0</v>
      </c>
      <c r="AI6" s="262"/>
      <c r="AJ6" s="261">
        <f>COUNTIF(AI6,Tableau3530344[[#This Row],[Mur droit en moul. en travail]])</f>
        <v>0</v>
      </c>
      <c r="AK6" s="263"/>
      <c r="AL6" s="261">
        <f t="shared" si="5"/>
        <v>0</v>
      </c>
      <c r="AM6" s="286"/>
      <c r="AN6" s="284">
        <f t="shared" si="6"/>
        <v>0</v>
      </c>
      <c r="AO6" s="265"/>
      <c r="AP6" s="266">
        <f t="shared" si="7"/>
        <v>0</v>
      </c>
      <c r="AQ6" s="267"/>
      <c r="AR6" s="5">
        <f>COUNTIF(Tableau3530344[[#This Row],[Mur droit en tête après travail]],Tableau3530344[[#This Row],[Mur droit en tête après travail]])</f>
        <v>0</v>
      </c>
      <c r="AU6" s="165" t="s">
        <v>73</v>
      </c>
      <c r="AV6" s="6">
        <f>IF(ISERROR(SMALL((AV18,AV30,AV42),1)),"-",SMALL((AV18,AV30,AV42),1))</f>
        <v>20</v>
      </c>
      <c r="BA6" t="s">
        <v>0</v>
      </c>
      <c r="BB6">
        <f>PRODUCT(BB5,1.4)</f>
        <v>1.4</v>
      </c>
      <c r="BC6">
        <f>SUM(E26,I26,K26,G26,M26,O26,S26,U26,W26,Y26,AA26,AC26,AG26,AI26,AK26,AM26,AO26,AQ26)</f>
        <v>0</v>
      </c>
      <c r="BD6">
        <f t="shared" ref="BD6:BD30" si="9">PRODUCT(BB6:BC6)</f>
        <v>0</v>
      </c>
    </row>
    <row r="7" spans="1:56" ht="26.25" thickTop="1" thickBot="1" x14ac:dyDescent="0.55000000000000004">
      <c r="A7" s="29"/>
      <c r="B7" s="29"/>
      <c r="C7" s="29"/>
      <c r="D7" s="33" t="s">
        <v>21</v>
      </c>
      <c r="E7" s="268"/>
      <c r="F7" s="241">
        <f>COUNTIF(Tableau35307[[#This Row],[cotation]:[Dévers en moulinette à vue]],Tableau35307[[#This Row],[Dévers en moulinette à vue]])</f>
        <v>0</v>
      </c>
      <c r="G7" s="269"/>
      <c r="H7" s="243"/>
      <c r="I7" s="270"/>
      <c r="J7" s="243">
        <f t="shared" si="0"/>
        <v>0</v>
      </c>
      <c r="K7" s="271"/>
      <c r="L7" s="243">
        <f t="shared" si="1"/>
        <v>0</v>
      </c>
      <c r="M7" s="213"/>
      <c r="N7" s="272">
        <f t="shared" si="2"/>
        <v>0</v>
      </c>
      <c r="O7" s="273"/>
      <c r="P7" s="248">
        <f>COUNTIF(Tableau35307[[#This Row],[Dévers en tête après travail]],Tableau35307[[#This Row],[Dévers en tête après travail]])</f>
        <v>0</v>
      </c>
      <c r="Q7" s="249"/>
      <c r="R7" s="33" t="s">
        <v>21</v>
      </c>
      <c r="S7" s="274"/>
      <c r="T7" s="251">
        <f>COUNTIF(Tableau3530333[[#This Row],[cotation]:[Dalle en moulinettte à vue]],Tableau3530333[[#This Row],[Dalle en moulinettte à vue]])</f>
        <v>0</v>
      </c>
      <c r="U7" s="275"/>
      <c r="V7" s="276">
        <f>COUNTIF(U7,Tableau3530333[[#This Row],[Dalle en moulinette en travail]])</f>
        <v>0</v>
      </c>
      <c r="W7" s="277"/>
      <c r="X7" s="276">
        <f t="shared" si="8"/>
        <v>0</v>
      </c>
      <c r="Y7" s="278"/>
      <c r="Z7" s="276">
        <f t="shared" si="3"/>
        <v>0</v>
      </c>
      <c r="AA7" s="279"/>
      <c r="AB7" s="280">
        <f t="shared" si="4"/>
        <v>0</v>
      </c>
      <c r="AC7" s="281"/>
      <c r="AD7" s="258">
        <f>COUNTIF(Tableau3530333[[#This Row],[Dalle en tête après travail]],Tableau3530333[[#This Row],[Dalle en tête après travail]])</f>
        <v>0</v>
      </c>
      <c r="AE7" s="259"/>
      <c r="AF7" s="19" t="s">
        <v>21</v>
      </c>
      <c r="AG7" s="282"/>
      <c r="AH7" s="261">
        <f>COUNTIF(Tableau3530344[[#This Row],[cotation]:[Mur droit en moulinette à vue]],Tableau3530344[[#This Row],[Mur droit en moulinette à vue]])</f>
        <v>0</v>
      </c>
      <c r="AI7" s="283"/>
      <c r="AJ7" s="284">
        <f>COUNTIF(AI7,Tableau3530344[[#This Row],[Mur droit en moul. en travail]])</f>
        <v>0</v>
      </c>
      <c r="AK7" s="285"/>
      <c r="AL7" s="284">
        <f t="shared" si="5"/>
        <v>0</v>
      </c>
      <c r="AM7" s="286"/>
      <c r="AN7" s="284">
        <f t="shared" si="6"/>
        <v>0</v>
      </c>
      <c r="AO7" s="287"/>
      <c r="AP7" s="288">
        <f t="shared" si="7"/>
        <v>0</v>
      </c>
      <c r="AQ7" s="289"/>
      <c r="AR7" s="5">
        <f>COUNTIF(Tableau3530344[[#This Row],[Mur droit en tête après travail]],Tableau3530344[[#This Row],[Mur droit en tête après travail]])</f>
        <v>0</v>
      </c>
      <c r="AU7" s="165" t="s">
        <v>74</v>
      </c>
      <c r="AV7" s="6">
        <f>IF(ISERROR(SMALL((AV19,AV31,AV43),1)),"-",SMALL((AV19,AV31,AV43),1))</f>
        <v>9</v>
      </c>
      <c r="BA7" t="s">
        <v>30</v>
      </c>
      <c r="BB7">
        <f t="shared" ref="BB7:BB30" si="10">PRODUCT(BB6,1.4)</f>
        <v>1.9599999999999997</v>
      </c>
      <c r="BC7">
        <f>SUM(E25,I25,K25,G25,M25,O25,S25,U25,W25,Y25,AA25,AC25,AG25,AI25,AK25,AM25,AO25,AQ25)</f>
        <v>0</v>
      </c>
      <c r="BD7">
        <f t="shared" si="9"/>
        <v>0</v>
      </c>
    </row>
    <row r="8" spans="1:56" ht="26.25" thickTop="1" thickBot="1" x14ac:dyDescent="0.55000000000000004">
      <c r="A8" s="31"/>
      <c r="B8" s="31"/>
      <c r="C8" s="31"/>
      <c r="D8" s="33" t="s">
        <v>13</v>
      </c>
      <c r="E8" s="268"/>
      <c r="F8" s="243">
        <f>COUNTIF(Tableau35307[[#This Row],[cotation]:[Dévers en moulinette à vue]],Tableau35307[[#This Row],[Dévers en moulinette à vue]])</f>
        <v>0</v>
      </c>
      <c r="G8" s="269"/>
      <c r="H8" s="243"/>
      <c r="I8" s="270"/>
      <c r="J8" s="243">
        <f>COUNTIF(I8,I8)</f>
        <v>0</v>
      </c>
      <c r="K8" s="271"/>
      <c r="L8" s="243">
        <f>COUNTIF(K8,K8)</f>
        <v>0</v>
      </c>
      <c r="M8" s="213"/>
      <c r="N8" s="272">
        <f>COUNTIF(M8,M8)</f>
        <v>0</v>
      </c>
      <c r="O8" s="273"/>
      <c r="P8" s="248">
        <f>COUNTIF(Tableau35307[[#This Row],[Dévers en tête après travail]],Tableau35307[[#This Row],[Dévers en tête après travail]])</f>
        <v>0</v>
      </c>
      <c r="Q8" s="249"/>
      <c r="R8" s="33" t="s">
        <v>13</v>
      </c>
      <c r="S8" s="274"/>
      <c r="T8" s="276">
        <f>COUNTIF(Tableau3530333[[#This Row],[cotation]:[Dalle en moulinettte à vue]],Tableau3530333[[#This Row],[Dalle en moulinettte à vue]])</f>
        <v>0</v>
      </c>
      <c r="U8" s="275"/>
      <c r="V8" s="276">
        <f>COUNTIF(U8,Tableau3530333[[#This Row],[Dalle en moulinette en travail]])</f>
        <v>0</v>
      </c>
      <c r="W8" s="277"/>
      <c r="X8" s="276">
        <f>COUNTIF(W8,W8)</f>
        <v>0</v>
      </c>
      <c r="Y8" s="278"/>
      <c r="Z8" s="276">
        <f>COUNTIF(Y8,Y8)</f>
        <v>0</v>
      </c>
      <c r="AA8" s="279"/>
      <c r="AB8" s="280">
        <f>COUNTIF(AA8,AA8)</f>
        <v>0</v>
      </c>
      <c r="AC8" s="281"/>
      <c r="AD8" s="258">
        <f>COUNTIF(Tableau3530333[[#This Row],[Dalle en tête après travail]],Tableau3530333[[#This Row],[Dalle en tête après travail]])</f>
        <v>0</v>
      </c>
      <c r="AE8" s="259"/>
      <c r="AF8" s="19" t="s">
        <v>13</v>
      </c>
      <c r="AG8" s="282"/>
      <c r="AH8" s="284">
        <f>COUNTIF(Tableau3530344[[#This Row],[cotation]:[Mur droit en moulinette à vue]],Tableau3530344[[#This Row],[Mur droit en moulinette à vue]])</f>
        <v>0</v>
      </c>
      <c r="AI8" s="283"/>
      <c r="AJ8" s="284">
        <f>COUNTIF(AI8,Tableau3530344[[#This Row],[Mur droit en moul. en travail]])</f>
        <v>0</v>
      </c>
      <c r="AK8" s="285"/>
      <c r="AL8" s="284">
        <f>COUNTIF(AK8,AK8)</f>
        <v>0</v>
      </c>
      <c r="AM8" s="286"/>
      <c r="AN8" s="284">
        <f>COUNTIF(AM8,AM8)</f>
        <v>0</v>
      </c>
      <c r="AO8" s="287"/>
      <c r="AP8" s="288">
        <f t="shared" si="7"/>
        <v>0</v>
      </c>
      <c r="AQ8" s="289"/>
      <c r="AR8" s="5">
        <f>COUNTIF(Tableau3530344[[#This Row],[Mur droit en tête après travail]],Tableau3530344[[#This Row],[Mur droit en tête après travail]])</f>
        <v>0</v>
      </c>
      <c r="AU8" s="165" t="s">
        <v>75</v>
      </c>
      <c r="AV8" s="6">
        <f>IF(ISERROR(SMALL((AV20,AV32,AV44),1)),"-",SMALL((AV20,AV32,AV44),1))</f>
        <v>10</v>
      </c>
      <c r="BA8" t="s">
        <v>1</v>
      </c>
      <c r="BB8">
        <f t="shared" si="10"/>
        <v>2.7439999999999993</v>
      </c>
      <c r="BC8">
        <f>SUM(E24,I24,K24,G24,M24,O24,S24,U24,W24,Y24,AA24,AC24,AG24,AI24,AK24,AM24,AO24,AQ24)</f>
        <v>0</v>
      </c>
      <c r="BD8">
        <f t="shared" si="9"/>
        <v>0</v>
      </c>
    </row>
    <row r="9" spans="1:56" ht="26.25" thickTop="1" thickBot="1" x14ac:dyDescent="0.55000000000000004">
      <c r="A9" s="27"/>
      <c r="B9" s="27"/>
      <c r="C9" s="27"/>
      <c r="D9" s="32" t="s">
        <v>22</v>
      </c>
      <c r="E9" s="240"/>
      <c r="F9" s="241">
        <f>COUNTIF(Tableau35307[[#This Row],[cotation]:[Dévers en moulinette à vue]],Tableau35307[[#This Row],[Dévers en moulinette à vue]])</f>
        <v>0</v>
      </c>
      <c r="G9" s="290"/>
      <c r="H9" s="243"/>
      <c r="I9" s="244"/>
      <c r="J9" s="241">
        <f t="shared" si="0"/>
        <v>0</v>
      </c>
      <c r="K9" s="271"/>
      <c r="L9" s="243">
        <f t="shared" si="1"/>
        <v>0</v>
      </c>
      <c r="M9" s="239"/>
      <c r="N9" s="246">
        <f t="shared" si="2"/>
        <v>0</v>
      </c>
      <c r="O9" s="247"/>
      <c r="P9" s="248">
        <f>COUNTIF(Tableau35307[[#This Row],[Dévers en tête après travail]],Tableau35307[[#This Row],[Dévers en tête après travail]])</f>
        <v>0</v>
      </c>
      <c r="Q9" s="249"/>
      <c r="R9" s="32" t="s">
        <v>22</v>
      </c>
      <c r="S9" s="250"/>
      <c r="T9" s="251">
        <f>COUNTIF(Tableau3530333[[#This Row],[cotation]:[Dalle en moulinettte à vue]],Tableau3530333[[#This Row],[Dalle en moulinettte à vue]])</f>
        <v>0</v>
      </c>
      <c r="U9" s="252"/>
      <c r="V9" s="251">
        <f>COUNTIF(U9,Tableau3530333[[#This Row],[Dalle en moulinette en travail]])</f>
        <v>0</v>
      </c>
      <c r="W9" s="253"/>
      <c r="X9" s="251">
        <f t="shared" si="8"/>
        <v>0</v>
      </c>
      <c r="Y9" s="278"/>
      <c r="Z9" s="276">
        <f t="shared" si="3"/>
        <v>0</v>
      </c>
      <c r="AA9" s="255"/>
      <c r="AB9" s="256">
        <f t="shared" si="4"/>
        <v>0</v>
      </c>
      <c r="AC9" s="257"/>
      <c r="AD9" s="258">
        <f>COUNTIF(Tableau3530333[[#This Row],[Dalle en tête après travail]],Tableau3530333[[#This Row],[Dalle en tête après travail]])</f>
        <v>0</v>
      </c>
      <c r="AE9" s="259"/>
      <c r="AF9" s="18" t="s">
        <v>22</v>
      </c>
      <c r="AG9" s="260"/>
      <c r="AH9" s="261">
        <f>COUNTIF(Tableau3530344[[#This Row],[cotation]:[Mur droit en moulinette à vue]],Tableau3530344[[#This Row],[Mur droit en moulinette à vue]])</f>
        <v>0</v>
      </c>
      <c r="AI9" s="262"/>
      <c r="AJ9" s="261">
        <f>COUNTIF(AI9,Tableau3530344[[#This Row],[Mur droit en moul. en travail]])</f>
        <v>0</v>
      </c>
      <c r="AK9" s="263"/>
      <c r="AL9" s="261">
        <f t="shared" si="5"/>
        <v>0</v>
      </c>
      <c r="AM9" s="286"/>
      <c r="AN9" s="284">
        <f t="shared" si="6"/>
        <v>0</v>
      </c>
      <c r="AO9" s="265"/>
      <c r="AP9" s="266">
        <f t="shared" si="7"/>
        <v>0</v>
      </c>
      <c r="AQ9" s="267"/>
      <c r="AR9" s="5">
        <f>COUNTIF(Tableau3530344[[#This Row],[Mur droit en tête après travail]],Tableau3530344[[#This Row],[Mur droit en tête après travail]])</f>
        <v>0</v>
      </c>
      <c r="AU9" s="165" t="s">
        <v>76</v>
      </c>
      <c r="AV9" s="6">
        <f>IF(ISERROR(SMALL((AV24,AV36,AV48),1)),"-",SMALL((AV24,AV36,AV48),1))</f>
        <v>20</v>
      </c>
      <c r="BA9" t="s">
        <v>29</v>
      </c>
      <c r="BB9">
        <f t="shared" si="10"/>
        <v>3.8415999999999988</v>
      </c>
      <c r="BC9">
        <f>SUM(E23,G23,I23,K23,M23,O23,S23,U23,W23,Y23,AA23,AC23,AG23,AI23,AK23,AM23,AO23,AQ23)</f>
        <v>0</v>
      </c>
      <c r="BD9">
        <f t="shared" si="9"/>
        <v>0</v>
      </c>
    </row>
    <row r="10" spans="1:56" ht="26.25" thickTop="1" thickBot="1" x14ac:dyDescent="0.55000000000000004">
      <c r="A10" s="29"/>
      <c r="B10" s="29"/>
      <c r="C10" s="29"/>
      <c r="D10" s="33" t="s">
        <v>8</v>
      </c>
      <c r="E10" s="268"/>
      <c r="F10" s="241">
        <f>COUNTIF(Tableau35307[[#This Row],[cotation]:[Dévers en moulinette à vue]],Tableau35307[[#This Row],[Dévers en moulinette à vue]])</f>
        <v>0</v>
      </c>
      <c r="G10" s="269"/>
      <c r="H10" s="243"/>
      <c r="I10" s="270"/>
      <c r="J10" s="243">
        <f t="shared" si="0"/>
        <v>0</v>
      </c>
      <c r="K10" s="271"/>
      <c r="L10" s="243">
        <f t="shared" si="1"/>
        <v>0</v>
      </c>
      <c r="M10" s="213">
        <v>1</v>
      </c>
      <c r="N10" s="272">
        <f t="shared" si="2"/>
        <v>1</v>
      </c>
      <c r="O10" s="273"/>
      <c r="P10" s="248">
        <f>COUNTIF(Tableau35307[[#This Row],[Dévers en tête après travail]],Tableau35307[[#This Row],[Dévers en tête après travail]])</f>
        <v>0</v>
      </c>
      <c r="Q10" s="249"/>
      <c r="R10" s="33" t="s">
        <v>8</v>
      </c>
      <c r="S10" s="274"/>
      <c r="T10" s="251">
        <f>COUNTIF(Tableau3530333[[#This Row],[cotation]:[Dalle en moulinettte à vue]],Tableau3530333[[#This Row],[Dalle en moulinettte à vue]])</f>
        <v>0</v>
      </c>
      <c r="U10" s="275"/>
      <c r="V10" s="276">
        <f>COUNTIF(U10,Tableau3530333[[#This Row],[Dalle en moulinette en travail]])</f>
        <v>0</v>
      </c>
      <c r="W10" s="277"/>
      <c r="X10" s="276">
        <f t="shared" si="8"/>
        <v>0</v>
      </c>
      <c r="Y10" s="278"/>
      <c r="Z10" s="276">
        <f t="shared" si="3"/>
        <v>0</v>
      </c>
      <c r="AA10" s="279"/>
      <c r="AB10" s="280">
        <f t="shared" si="4"/>
        <v>0</v>
      </c>
      <c r="AC10" s="281"/>
      <c r="AD10" s="258">
        <f>COUNTIF(Tableau3530333[[#This Row],[Dalle en tête après travail]],Tableau3530333[[#This Row],[Dalle en tête après travail]])</f>
        <v>0</v>
      </c>
      <c r="AE10" s="259"/>
      <c r="AF10" s="19" t="s">
        <v>8</v>
      </c>
      <c r="AG10" s="282"/>
      <c r="AH10" s="261">
        <f>COUNTIF(Tableau3530344[[#This Row],[cotation]:[Mur droit en moulinette à vue]],Tableau3530344[[#This Row],[Mur droit en moulinette à vue]])</f>
        <v>0</v>
      </c>
      <c r="AI10" s="283"/>
      <c r="AJ10" s="284">
        <f>COUNTIF(AI10,Tableau3530344[[#This Row],[Mur droit en moul. en travail]])</f>
        <v>0</v>
      </c>
      <c r="AK10" s="285"/>
      <c r="AL10" s="284">
        <f t="shared" si="5"/>
        <v>0</v>
      </c>
      <c r="AM10" s="286"/>
      <c r="AN10" s="284">
        <f t="shared" si="6"/>
        <v>0</v>
      </c>
      <c r="AO10" s="287"/>
      <c r="AP10" s="288">
        <f t="shared" si="7"/>
        <v>0</v>
      </c>
      <c r="AQ10" s="289"/>
      <c r="AR10" s="5">
        <f>COUNTIF(Tableau3530344[[#This Row],[Mur droit en tête après travail]],Tableau3530344[[#This Row],[Mur droit en tête après travail]])</f>
        <v>0</v>
      </c>
      <c r="AU10" s="165" t="s">
        <v>77</v>
      </c>
      <c r="AV10" s="6">
        <f>IF(ISERROR(SMALL((AV25,AV37,AV49),1)),"-",SMALL((AV25,AV37,AV49),1))</f>
        <v>9</v>
      </c>
      <c r="BA10" t="s">
        <v>2</v>
      </c>
      <c r="BB10">
        <f t="shared" si="10"/>
        <v>5.3782399999999981</v>
      </c>
      <c r="BC10">
        <f>SUM(E22,G22,I22,K22,M22,O22,S22,U22+W22,Y22,AA22,AC22,AG22,AI22,AK22,AM22,AO22,AQ22)</f>
        <v>5</v>
      </c>
      <c r="BD10">
        <f t="shared" si="9"/>
        <v>26.891199999999991</v>
      </c>
    </row>
    <row r="11" spans="1:56" ht="26.25" thickTop="1" thickBot="1" x14ac:dyDescent="0.55000000000000004">
      <c r="A11" s="27"/>
      <c r="B11" s="27"/>
      <c r="C11" s="27"/>
      <c r="D11" s="32" t="s">
        <v>23</v>
      </c>
      <c r="E11" s="240"/>
      <c r="F11" s="241">
        <f>COUNTIF(Tableau35307[[#This Row],[cotation]:[Dévers en moulinette à vue]],Tableau35307[[#This Row],[Dévers en moulinette à vue]])</f>
        <v>0</v>
      </c>
      <c r="G11" s="290"/>
      <c r="H11" s="243"/>
      <c r="I11" s="244"/>
      <c r="J11" s="241">
        <f t="shared" si="0"/>
        <v>0</v>
      </c>
      <c r="K11" s="271"/>
      <c r="L11" s="243">
        <f t="shared" si="1"/>
        <v>0</v>
      </c>
      <c r="M11" s="239">
        <v>1</v>
      </c>
      <c r="N11" s="246">
        <f t="shared" si="2"/>
        <v>1</v>
      </c>
      <c r="O11" s="247">
        <v>1</v>
      </c>
      <c r="P11" s="248">
        <f>COUNTIF(Tableau35307[[#This Row],[Dévers en tête après travail]],Tableau35307[[#This Row],[Dévers en tête après travail]])</f>
        <v>1</v>
      </c>
      <c r="Q11" s="249"/>
      <c r="R11" s="32" t="s">
        <v>23</v>
      </c>
      <c r="S11" s="250"/>
      <c r="T11" s="251">
        <f>COUNTIF(Tableau3530333[[#This Row],[cotation]:[Dalle en moulinettte à vue]],Tableau3530333[[#This Row],[Dalle en moulinettte à vue]])</f>
        <v>0</v>
      </c>
      <c r="U11" s="252"/>
      <c r="V11" s="251">
        <f>COUNTIF(U11,Tableau3530333[[#This Row],[Dalle en moulinette en travail]])</f>
        <v>0</v>
      </c>
      <c r="W11" s="253"/>
      <c r="X11" s="251">
        <f t="shared" si="8"/>
        <v>0</v>
      </c>
      <c r="Y11" s="278"/>
      <c r="Z11" s="276">
        <f t="shared" si="3"/>
        <v>0</v>
      </c>
      <c r="AA11" s="255"/>
      <c r="AB11" s="256">
        <f t="shared" si="4"/>
        <v>0</v>
      </c>
      <c r="AC11" s="257"/>
      <c r="AD11" s="258">
        <f>COUNTIF(Tableau3530333[[#This Row],[Dalle en tête après travail]],Tableau3530333[[#This Row],[Dalle en tête après travail]])</f>
        <v>0</v>
      </c>
      <c r="AE11" s="259"/>
      <c r="AF11" s="18" t="s">
        <v>23</v>
      </c>
      <c r="AG11" s="260"/>
      <c r="AH11" s="261">
        <f>COUNTIF(Tableau3530344[[#This Row],[cotation]:[Mur droit en moulinette à vue]],Tableau3530344[[#This Row],[Mur droit en moulinette à vue]])</f>
        <v>0</v>
      </c>
      <c r="AI11" s="262"/>
      <c r="AJ11" s="261">
        <f>COUNTIF(AI11,Tableau3530344[[#This Row],[Mur droit en moul. en travail]])</f>
        <v>0</v>
      </c>
      <c r="AK11" s="263"/>
      <c r="AL11" s="261">
        <f t="shared" si="5"/>
        <v>0</v>
      </c>
      <c r="AM11" s="286"/>
      <c r="AN11" s="284">
        <f t="shared" si="6"/>
        <v>0</v>
      </c>
      <c r="AO11" s="265"/>
      <c r="AP11" s="266">
        <f t="shared" si="7"/>
        <v>0</v>
      </c>
      <c r="AQ11" s="267"/>
      <c r="AR11" s="5">
        <f>COUNTIF(Tableau3530344[[#This Row],[Mur droit en tête après travail]],Tableau3530344[[#This Row],[Mur droit en tête après travail]])</f>
        <v>0</v>
      </c>
      <c r="AU11" s="165" t="s">
        <v>78</v>
      </c>
      <c r="AV11" s="6">
        <f>IF(ISERROR(SMALL((AV26,AV38,AV50),1)),"-",SMALL((AV26,AV38,AV50),1))</f>
        <v>10</v>
      </c>
      <c r="BA11" t="s">
        <v>28</v>
      </c>
      <c r="BB11">
        <f t="shared" si="10"/>
        <v>7.5295359999999967</v>
      </c>
      <c r="BC11">
        <f>SUM(E21,G21,I21,K21,M21,O21,S21,U21,W21,Y21,AA21,AC21,AG21,AI21,AK21,AM21,AO21,AQ21)</f>
        <v>3</v>
      </c>
      <c r="BD11">
        <f t="shared" si="9"/>
        <v>22.58860799999999</v>
      </c>
    </row>
    <row r="12" spans="1:56" ht="26.25" thickTop="1" thickBot="1" x14ac:dyDescent="0.55000000000000004">
      <c r="A12" s="10"/>
      <c r="B12" s="10"/>
      <c r="C12" s="10"/>
      <c r="D12" s="34" t="s">
        <v>7</v>
      </c>
      <c r="E12" s="291"/>
      <c r="F12" s="241">
        <f>COUNTIF(Tableau35307[[#This Row],[cotation]:[Dévers en moulinette à vue]],Tableau35307[[#This Row],[Dévers en moulinette à vue]])</f>
        <v>0</v>
      </c>
      <c r="G12" s="269"/>
      <c r="H12" s="243"/>
      <c r="I12" s="292"/>
      <c r="J12" s="293">
        <f t="shared" si="0"/>
        <v>0</v>
      </c>
      <c r="K12" s="294"/>
      <c r="L12" s="293">
        <f t="shared" si="1"/>
        <v>0</v>
      </c>
      <c r="M12" s="295"/>
      <c r="N12" s="296">
        <f t="shared" si="2"/>
        <v>0</v>
      </c>
      <c r="O12" s="297"/>
      <c r="P12" s="248">
        <f>COUNTIF(Tableau35307[[#This Row],[Dévers en tête après travail]],Tableau35307[[#This Row],[Dévers en tête après travail]])</f>
        <v>0</v>
      </c>
      <c r="Q12" s="249"/>
      <c r="R12" s="34" t="s">
        <v>7</v>
      </c>
      <c r="S12" s="298"/>
      <c r="T12" s="251">
        <f>COUNTIF(Tableau3530333[[#This Row],[cotation]:[Dalle en moulinettte à vue]],Tableau3530333[[#This Row],[Dalle en moulinettte à vue]])</f>
        <v>0</v>
      </c>
      <c r="U12" s="299"/>
      <c r="V12" s="300">
        <f>COUNTIF(U12,Tableau3530333[[#This Row],[Dalle en moulinette en travail]])</f>
        <v>0</v>
      </c>
      <c r="W12" s="301"/>
      <c r="X12" s="300">
        <f t="shared" si="8"/>
        <v>0</v>
      </c>
      <c r="Y12" s="302"/>
      <c r="Z12" s="300">
        <f t="shared" si="3"/>
        <v>0</v>
      </c>
      <c r="AA12" s="303"/>
      <c r="AB12" s="304">
        <f t="shared" si="4"/>
        <v>0</v>
      </c>
      <c r="AC12" s="305"/>
      <c r="AD12" s="258">
        <f>COUNTIF(Tableau3530333[[#This Row],[Dalle en tête après travail]],Tableau3530333[[#This Row],[Dalle en tête après travail]])</f>
        <v>0</v>
      </c>
      <c r="AE12" s="259"/>
      <c r="AF12" s="20" t="s">
        <v>7</v>
      </c>
      <c r="AG12" s="306"/>
      <c r="AH12" s="261">
        <f>COUNTIF(Tableau3530344[[#This Row],[cotation]:[Mur droit en moulinette à vue]],Tableau3530344[[#This Row],[Mur droit en moulinette à vue]])</f>
        <v>0</v>
      </c>
      <c r="AI12" s="307"/>
      <c r="AJ12" s="308">
        <f>COUNTIF(AI12,Tableau3530344[[#This Row],[Mur droit en moul. en travail]])</f>
        <v>0</v>
      </c>
      <c r="AK12" s="309"/>
      <c r="AL12" s="308">
        <f t="shared" si="5"/>
        <v>0</v>
      </c>
      <c r="AM12" s="310"/>
      <c r="AN12" s="308">
        <f t="shared" si="6"/>
        <v>0</v>
      </c>
      <c r="AO12" s="311"/>
      <c r="AP12" s="312">
        <f t="shared" si="7"/>
        <v>0</v>
      </c>
      <c r="AQ12" s="313"/>
      <c r="AR12" s="5">
        <f>COUNTIF(Tableau3530344[[#This Row],[Mur droit en tête après travail]],Tableau3530344[[#This Row],[Mur droit en tête après travail]])</f>
        <v>0</v>
      </c>
      <c r="AU12" s="165" t="s">
        <v>79</v>
      </c>
      <c r="AV12" s="6">
        <f>IF(ISERROR(SMALL((AV21,AV33,AV45),1)),"-",SMALL((AV21,AV33,AV45),1))</f>
        <v>21</v>
      </c>
      <c r="BA12" t="s">
        <v>3</v>
      </c>
      <c r="BB12">
        <f t="shared" si="10"/>
        <v>10.541350399999995</v>
      </c>
      <c r="BC12">
        <f>SUM(E20,G20,I20,K20,M20,O20,S20,U20,W20,Y20,AA20,AC20,AG20,AI20,AK20,AM20,AO20,AQ20)</f>
        <v>0</v>
      </c>
      <c r="BD12">
        <f t="shared" si="9"/>
        <v>0</v>
      </c>
    </row>
    <row r="13" spans="1:56" ht="26.25" thickTop="1" thickBot="1" x14ac:dyDescent="0.55000000000000004">
      <c r="A13" s="31"/>
      <c r="B13" s="31"/>
      <c r="C13" s="31"/>
      <c r="D13" s="33" t="s">
        <v>24</v>
      </c>
      <c r="E13" s="268"/>
      <c r="F13" s="243">
        <f>COUNTIF(Tableau35307[[#This Row],[cotation]:[Dévers en moulinette à vue]],Tableau35307[[#This Row],[Dévers en moulinette à vue]])</f>
        <v>0</v>
      </c>
      <c r="G13" s="269"/>
      <c r="H13" s="243"/>
      <c r="I13" s="270"/>
      <c r="J13" s="243">
        <f t="shared" si="0"/>
        <v>0</v>
      </c>
      <c r="K13" s="271"/>
      <c r="L13" s="243">
        <f t="shared" si="1"/>
        <v>0</v>
      </c>
      <c r="M13" s="213"/>
      <c r="N13" s="272">
        <f t="shared" si="2"/>
        <v>0</v>
      </c>
      <c r="O13" s="273"/>
      <c r="P13" s="248">
        <f>COUNTIF(Tableau35307[[#This Row],[Dévers en tête après travail]],Tableau35307[[#This Row],[Dévers en tête après travail]])</f>
        <v>0</v>
      </c>
      <c r="Q13" s="249"/>
      <c r="R13" s="33" t="s">
        <v>24</v>
      </c>
      <c r="S13" s="274"/>
      <c r="T13" s="276">
        <f>COUNTIF(Tableau3530333[[#This Row],[cotation]:[Dalle en moulinettte à vue]],Tableau3530333[[#This Row],[Dalle en moulinettte à vue]])</f>
        <v>0</v>
      </c>
      <c r="U13" s="275"/>
      <c r="V13" s="276">
        <f>COUNTIF(U13,Tableau3530333[[#This Row],[Dalle en moulinette en travail]])</f>
        <v>0</v>
      </c>
      <c r="W13" s="277"/>
      <c r="X13" s="276">
        <f t="shared" si="8"/>
        <v>0</v>
      </c>
      <c r="Y13" s="278"/>
      <c r="Z13" s="276">
        <f t="shared" si="3"/>
        <v>0</v>
      </c>
      <c r="AA13" s="279"/>
      <c r="AB13" s="280">
        <f t="shared" si="4"/>
        <v>0</v>
      </c>
      <c r="AC13" s="281"/>
      <c r="AD13" s="258">
        <f>COUNTIF(Tableau3530333[[#This Row],[Dalle en tête après travail]],Tableau3530333[[#This Row],[Dalle en tête après travail]])</f>
        <v>0</v>
      </c>
      <c r="AE13" s="259"/>
      <c r="AF13" s="19" t="s">
        <v>24</v>
      </c>
      <c r="AG13" s="282"/>
      <c r="AH13" s="284">
        <f>COUNTIF(Tableau3530344[[#This Row],[cotation]:[Mur droit en moulinette à vue]],Tableau3530344[[#This Row],[Mur droit en moulinette à vue]])</f>
        <v>0</v>
      </c>
      <c r="AI13" s="283"/>
      <c r="AJ13" s="284">
        <f>COUNTIF(AI13,Tableau3530344[[#This Row],[Mur droit en moul. en travail]])</f>
        <v>0</v>
      </c>
      <c r="AK13" s="285"/>
      <c r="AL13" s="284">
        <f t="shared" si="5"/>
        <v>0</v>
      </c>
      <c r="AM13" s="286"/>
      <c r="AN13" s="284">
        <f t="shared" si="6"/>
        <v>0</v>
      </c>
      <c r="AO13" s="287"/>
      <c r="AP13" s="288">
        <f t="shared" si="7"/>
        <v>0</v>
      </c>
      <c r="AQ13" s="289"/>
      <c r="AR13" s="5">
        <f>COUNTIF(Tableau3530344[[#This Row],[Mur droit en tête après travail]],Tableau3530344[[#This Row],[Mur droit en tête après travail]])</f>
        <v>0</v>
      </c>
      <c r="AU13" s="165" t="s">
        <v>80</v>
      </c>
      <c r="AV13" s="6" t="str">
        <f>IF(ISERROR(SMALL((AV22,AV34,AV46),1)),"-",SMALL((AV22,AV34,AV46),1))</f>
        <v>-</v>
      </c>
      <c r="BA13" t="s">
        <v>27</v>
      </c>
      <c r="BB13">
        <f t="shared" si="10"/>
        <v>14.757890559999993</v>
      </c>
      <c r="BC13">
        <f>SUM(E19,G19,I19,K19,M19,O19,S19,U19,W19,Y19,AA19,AC19,AG19,AI19,AK19,AM19,AO19,AQ19)</f>
        <v>0</v>
      </c>
      <c r="BD13">
        <f t="shared" si="9"/>
        <v>0</v>
      </c>
    </row>
    <row r="14" spans="1:56" ht="26.25" thickTop="1" thickBot="1" x14ac:dyDescent="0.55000000000000004">
      <c r="A14" s="31"/>
      <c r="B14" s="31"/>
      <c r="C14" s="31"/>
      <c r="D14" s="33" t="s">
        <v>6</v>
      </c>
      <c r="E14" s="268"/>
      <c r="F14" s="243">
        <f>COUNTIF(Tableau35307[[#This Row],[cotation]:[Dévers en moulinette à vue]],Tableau35307[[#This Row],[Dévers en moulinette à vue]])</f>
        <v>0</v>
      </c>
      <c r="G14" s="269"/>
      <c r="H14" s="243"/>
      <c r="I14" s="270"/>
      <c r="J14" s="243">
        <f t="shared" si="0"/>
        <v>0</v>
      </c>
      <c r="K14" s="271"/>
      <c r="L14" s="243">
        <f t="shared" si="1"/>
        <v>0</v>
      </c>
      <c r="M14" s="213"/>
      <c r="N14" s="272">
        <f t="shared" si="2"/>
        <v>0</v>
      </c>
      <c r="O14" s="273">
        <v>1</v>
      </c>
      <c r="P14" s="248">
        <f>COUNTIF(Tableau35307[[#This Row],[Dévers en tête après travail]],Tableau35307[[#This Row],[Dévers en tête après travail]])</f>
        <v>1</v>
      </c>
      <c r="Q14" s="249"/>
      <c r="R14" s="33" t="s">
        <v>6</v>
      </c>
      <c r="S14" s="274"/>
      <c r="T14" s="276">
        <f>COUNTIF(Tableau3530333[[#This Row],[cotation]:[Dalle en moulinettte à vue]],Tableau3530333[[#This Row],[Dalle en moulinettte à vue]])</f>
        <v>0</v>
      </c>
      <c r="U14" s="275"/>
      <c r="V14" s="276">
        <f>COUNTIF(U14,Tableau3530333[[#This Row],[Dalle en moulinette en travail]])</f>
        <v>0</v>
      </c>
      <c r="W14" s="277"/>
      <c r="X14" s="276">
        <f t="shared" si="8"/>
        <v>0</v>
      </c>
      <c r="Y14" s="278"/>
      <c r="Z14" s="276">
        <f t="shared" si="3"/>
        <v>0</v>
      </c>
      <c r="AA14" s="279"/>
      <c r="AB14" s="280">
        <f t="shared" si="4"/>
        <v>0</v>
      </c>
      <c r="AC14" s="281"/>
      <c r="AD14" s="258">
        <f>COUNTIF(Tableau3530333[[#This Row],[Dalle en tête après travail]],Tableau3530333[[#This Row],[Dalle en tête après travail]])</f>
        <v>0</v>
      </c>
      <c r="AE14" s="259"/>
      <c r="AF14" s="19" t="s">
        <v>6</v>
      </c>
      <c r="AG14" s="282"/>
      <c r="AH14" s="284">
        <f>COUNTIF(Tableau3530344[[#This Row],[cotation]:[Mur droit en moulinette à vue]],Tableau3530344[[#This Row],[Mur droit en moulinette à vue]])</f>
        <v>0</v>
      </c>
      <c r="AI14" s="283"/>
      <c r="AJ14" s="284">
        <f>COUNTIF(AI14,Tableau3530344[[#This Row],[Mur droit en moul. en travail]])</f>
        <v>0</v>
      </c>
      <c r="AK14" s="285"/>
      <c r="AL14" s="284">
        <f t="shared" si="5"/>
        <v>0</v>
      </c>
      <c r="AM14" s="286"/>
      <c r="AN14" s="284">
        <f t="shared" si="6"/>
        <v>0</v>
      </c>
      <c r="AO14" s="287"/>
      <c r="AP14" s="288">
        <f t="shared" si="7"/>
        <v>0</v>
      </c>
      <c r="AQ14" s="289"/>
      <c r="AR14" s="5">
        <f>COUNTIF(Tableau3530344[[#This Row],[Mur droit en tête après travail]],Tableau3530344[[#This Row],[Mur droit en tête après travail]])</f>
        <v>0</v>
      </c>
      <c r="AU14" s="165" t="s">
        <v>81</v>
      </c>
      <c r="AV14" s="6" t="str">
        <f>IF(ISERROR(SMALL((AV23,AV35,AV47),1)),"-",SMALL((AV23,AV35,AV47),1))</f>
        <v>-</v>
      </c>
      <c r="BA14" t="s">
        <v>4</v>
      </c>
      <c r="BB14">
        <f t="shared" si="10"/>
        <v>20.661046783999989</v>
      </c>
      <c r="BC14">
        <f>SUM(E18,G18,I18,K18,M18,O18,S18,U18,W18,Y18,AA18,AC18,AG18,AI18,AK18,AM18,AO18,AQ18)</f>
        <v>0</v>
      </c>
      <c r="BD14">
        <f t="shared" si="9"/>
        <v>0</v>
      </c>
    </row>
    <row r="15" spans="1:56" ht="26.25" thickTop="1" thickBot="1" x14ac:dyDescent="0.55000000000000004">
      <c r="A15" s="31"/>
      <c r="B15" s="31"/>
      <c r="C15" s="31"/>
      <c r="D15" s="33" t="s">
        <v>25</v>
      </c>
      <c r="E15" s="268"/>
      <c r="F15" s="243">
        <f>COUNTIF(Tableau35307[[#This Row],[cotation]:[Dévers en moulinette à vue]],Tableau35307[[#This Row],[Dévers en moulinette à vue]])</f>
        <v>0</v>
      </c>
      <c r="G15" s="269"/>
      <c r="H15" s="243"/>
      <c r="I15" s="270"/>
      <c r="J15" s="243">
        <f t="shared" si="0"/>
        <v>0</v>
      </c>
      <c r="K15" s="271"/>
      <c r="L15" s="243">
        <f t="shared" si="1"/>
        <v>0</v>
      </c>
      <c r="M15" s="213"/>
      <c r="N15" s="272">
        <f t="shared" si="2"/>
        <v>0</v>
      </c>
      <c r="O15" s="273"/>
      <c r="P15" s="248">
        <f>COUNTIF(Tableau35307[[#This Row],[Dévers en tête après travail]],Tableau35307[[#This Row],[Dévers en tête après travail]])</f>
        <v>0</v>
      </c>
      <c r="Q15" s="249"/>
      <c r="R15" s="33" t="s">
        <v>25</v>
      </c>
      <c r="S15" s="274"/>
      <c r="T15" s="276">
        <f>COUNTIF(Tableau3530333[[#This Row],[cotation]:[Dalle en moulinettte à vue]],Tableau3530333[[#This Row],[Dalle en moulinettte à vue]])</f>
        <v>0</v>
      </c>
      <c r="U15" s="275"/>
      <c r="V15" s="276">
        <f>COUNTIF(U15,Tableau3530333[[#This Row],[Dalle en moulinette en travail]])</f>
        <v>0</v>
      </c>
      <c r="W15" s="277"/>
      <c r="X15" s="276">
        <f t="shared" si="8"/>
        <v>0</v>
      </c>
      <c r="Y15" s="278"/>
      <c r="Z15" s="276">
        <f t="shared" si="3"/>
        <v>0</v>
      </c>
      <c r="AA15" s="279"/>
      <c r="AB15" s="280">
        <f t="shared" si="4"/>
        <v>0</v>
      </c>
      <c r="AC15" s="281"/>
      <c r="AD15" s="258">
        <f>COUNTIF(Tableau3530333[[#This Row],[Dalle en tête après travail]],Tableau3530333[[#This Row],[Dalle en tête après travail]])</f>
        <v>0</v>
      </c>
      <c r="AE15" s="259"/>
      <c r="AF15" s="19" t="s">
        <v>25</v>
      </c>
      <c r="AG15" s="282"/>
      <c r="AH15" s="284">
        <f>COUNTIF(Tableau3530344[[#This Row],[cotation]:[Mur droit en moulinette à vue]],Tableau3530344[[#This Row],[Mur droit en moulinette à vue]])</f>
        <v>0</v>
      </c>
      <c r="AI15" s="283"/>
      <c r="AJ15" s="284">
        <f>COUNTIF(AI15,Tableau3530344[[#This Row],[Mur droit en moul. en travail]])</f>
        <v>0</v>
      </c>
      <c r="AK15" s="285"/>
      <c r="AL15" s="284">
        <f t="shared" si="5"/>
        <v>0</v>
      </c>
      <c r="AM15" s="286"/>
      <c r="AN15" s="284">
        <f t="shared" si="6"/>
        <v>0</v>
      </c>
      <c r="AO15" s="287"/>
      <c r="AP15" s="288">
        <f t="shared" si="7"/>
        <v>0</v>
      </c>
      <c r="AQ15" s="289"/>
      <c r="AR15" s="5">
        <f>COUNTIF(Tableau3530344[[#This Row],[Mur droit en tête après travail]],Tableau3530344[[#This Row],[Mur droit en tête après travail]])</f>
        <v>0</v>
      </c>
      <c r="AU15" s="165" t="s">
        <v>65</v>
      </c>
      <c r="AV15" s="6">
        <f>IF(ISERROR(SMALL(AV21:AV26,1)),"-",SMALL(AV21:AV26,1))</f>
        <v>9</v>
      </c>
      <c r="BA15" t="s">
        <v>26</v>
      </c>
      <c r="BB15">
        <f t="shared" si="10"/>
        <v>28.925465497599983</v>
      </c>
      <c r="BC15">
        <f>SUM(E17,G17,I17,K17,M17,O17,S17,U17,W17,Y17,AA17,AC17,AG17,AI17,AK17,AM17,AO17,AQ17)</f>
        <v>0</v>
      </c>
      <c r="BD15">
        <f t="shared" si="9"/>
        <v>0</v>
      </c>
    </row>
    <row r="16" spans="1:56" ht="26.25" thickTop="1" thickBot="1" x14ac:dyDescent="0.55000000000000004">
      <c r="A16" s="31"/>
      <c r="B16" s="31"/>
      <c r="C16" s="31"/>
      <c r="D16" s="33" t="s">
        <v>5</v>
      </c>
      <c r="E16" s="268"/>
      <c r="F16" s="243">
        <f>COUNTIF(Tableau35307[[#This Row],[cotation]:[Dévers en moulinette à vue]],Tableau35307[[#This Row],[Dévers en moulinette à vue]])</f>
        <v>0</v>
      </c>
      <c r="G16" s="269"/>
      <c r="H16" s="243"/>
      <c r="I16" s="270"/>
      <c r="J16" s="243">
        <f t="shared" si="0"/>
        <v>0</v>
      </c>
      <c r="K16" s="271"/>
      <c r="L16" s="243">
        <f t="shared" si="1"/>
        <v>0</v>
      </c>
      <c r="M16" s="213"/>
      <c r="N16" s="272">
        <f t="shared" si="2"/>
        <v>0</v>
      </c>
      <c r="O16" s="273"/>
      <c r="P16" s="248">
        <f>COUNTIF(Tableau35307[[#This Row],[Dévers en tête après travail]],Tableau35307[[#This Row],[Dévers en tête après travail]])</f>
        <v>0</v>
      </c>
      <c r="Q16" s="249"/>
      <c r="R16" s="33" t="s">
        <v>5</v>
      </c>
      <c r="S16" s="274"/>
      <c r="T16" s="276">
        <f>COUNTIF(Tableau3530333[[#This Row],[cotation]:[Dalle en moulinettte à vue]],Tableau3530333[[#This Row],[Dalle en moulinettte à vue]])</f>
        <v>0</v>
      </c>
      <c r="U16" s="275"/>
      <c r="V16" s="276">
        <f>COUNTIF(U16,Tableau3530333[[#This Row],[Dalle en moulinette en travail]])</f>
        <v>0</v>
      </c>
      <c r="W16" s="277"/>
      <c r="X16" s="276">
        <f t="shared" si="8"/>
        <v>0</v>
      </c>
      <c r="Y16" s="278"/>
      <c r="Z16" s="276">
        <f t="shared" si="3"/>
        <v>0</v>
      </c>
      <c r="AA16" s="279"/>
      <c r="AB16" s="280">
        <f t="shared" si="4"/>
        <v>0</v>
      </c>
      <c r="AC16" s="281"/>
      <c r="AD16" s="258">
        <f>COUNTIF(Tableau3530333[[#This Row],[Dalle en tête après travail]],Tableau3530333[[#This Row],[Dalle en tête après travail]])</f>
        <v>0</v>
      </c>
      <c r="AE16" s="259"/>
      <c r="AF16" s="19" t="s">
        <v>5</v>
      </c>
      <c r="AG16" s="282"/>
      <c r="AH16" s="284">
        <f>COUNTIF(Tableau3530344[[#This Row],[cotation]:[Mur droit en moulinette à vue]],Tableau3530344[[#This Row],[Mur droit en moulinette à vue]])</f>
        <v>0</v>
      </c>
      <c r="AI16" s="283"/>
      <c r="AJ16" s="284">
        <f>COUNTIF(AI16,Tableau3530344[[#This Row],[Mur droit en moul. en travail]])</f>
        <v>0</v>
      </c>
      <c r="AK16" s="285"/>
      <c r="AL16" s="284">
        <f t="shared" si="5"/>
        <v>0</v>
      </c>
      <c r="AM16" s="286"/>
      <c r="AN16" s="284">
        <f t="shared" si="6"/>
        <v>0</v>
      </c>
      <c r="AO16" s="287"/>
      <c r="AP16" s="288">
        <f t="shared" si="7"/>
        <v>0</v>
      </c>
      <c r="AQ16" s="289"/>
      <c r="AR16" s="5">
        <f>COUNTIF(Tableau3530344[[#This Row],[Mur droit en tête après travail]],Tableau3530344[[#This Row],[Mur droit en tête après travail]])</f>
        <v>0</v>
      </c>
      <c r="AU16" s="165" t="s">
        <v>66</v>
      </c>
      <c r="AV16" s="6">
        <f>IF(ISERROR(SMALL((AV24,AV25,AV26),1)),"-",SMALL((AV24,AV25,AV26),1))</f>
        <v>9</v>
      </c>
      <c r="BA16" t="s">
        <v>5</v>
      </c>
      <c r="BB16">
        <f t="shared" si="10"/>
        <v>40.495651696639975</v>
      </c>
      <c r="BC16">
        <f>SUM(E16,G16,I16,K16,M16,O16,S16,U16,W16,Y16,AA16,AC16,AG16,AI16,AK16,AM16,AO16,AQ16)</f>
        <v>0</v>
      </c>
      <c r="BD16">
        <f t="shared" si="9"/>
        <v>0</v>
      </c>
    </row>
    <row r="17" spans="1:56" ht="26.25" thickTop="1" thickBot="1" x14ac:dyDescent="0.55000000000000004">
      <c r="A17" s="31"/>
      <c r="B17" s="31"/>
      <c r="C17" s="31"/>
      <c r="D17" s="33" t="s">
        <v>26</v>
      </c>
      <c r="E17" s="268"/>
      <c r="F17" s="243">
        <f>COUNTIF(Tableau35307[[#This Row],[cotation]:[Dévers en moulinette à vue]],Tableau35307[[#This Row],[Dévers en moulinette à vue]])</f>
        <v>0</v>
      </c>
      <c r="G17" s="269"/>
      <c r="H17" s="243"/>
      <c r="I17" s="270"/>
      <c r="J17" s="243">
        <f t="shared" si="0"/>
        <v>0</v>
      </c>
      <c r="K17" s="271"/>
      <c r="L17" s="243">
        <f t="shared" si="1"/>
        <v>0</v>
      </c>
      <c r="M17" s="213"/>
      <c r="N17" s="272">
        <f t="shared" si="2"/>
        <v>0</v>
      </c>
      <c r="O17" s="273"/>
      <c r="P17" s="248">
        <f>COUNTIF(Tableau35307[[#This Row],[Dévers en tête après travail]],Tableau35307[[#This Row],[Dévers en tête après travail]])</f>
        <v>0</v>
      </c>
      <c r="Q17" s="249"/>
      <c r="R17" s="33" t="s">
        <v>26</v>
      </c>
      <c r="S17" s="274"/>
      <c r="T17" s="276">
        <f>COUNTIF(Tableau3530333[[#This Row],[cotation]:[Dalle en moulinettte à vue]],Tableau3530333[[#This Row],[Dalle en moulinettte à vue]])</f>
        <v>0</v>
      </c>
      <c r="U17" s="275"/>
      <c r="V17" s="276">
        <f>COUNTIF(U17,Tableau3530333[[#This Row],[Dalle en moulinette en travail]])</f>
        <v>0</v>
      </c>
      <c r="W17" s="277"/>
      <c r="X17" s="276">
        <f t="shared" si="8"/>
        <v>0</v>
      </c>
      <c r="Y17" s="278"/>
      <c r="Z17" s="276">
        <f t="shared" si="3"/>
        <v>0</v>
      </c>
      <c r="AA17" s="279"/>
      <c r="AB17" s="280">
        <f t="shared" si="4"/>
        <v>0</v>
      </c>
      <c r="AC17" s="281"/>
      <c r="AD17" s="258">
        <f>COUNTIF(Tableau3530333[[#This Row],[Dalle en tête après travail]],Tableau3530333[[#This Row],[Dalle en tête après travail]])</f>
        <v>0</v>
      </c>
      <c r="AE17" s="259"/>
      <c r="AF17" s="19" t="s">
        <v>26</v>
      </c>
      <c r="AG17" s="282"/>
      <c r="AH17" s="284">
        <f>COUNTIF(Tableau3530344[[#This Row],[cotation]:[Mur droit en moulinette à vue]],Tableau3530344[[#This Row],[Mur droit en moulinette à vue]])</f>
        <v>0</v>
      </c>
      <c r="AI17" s="283"/>
      <c r="AJ17" s="284">
        <f>COUNTIF(AI17,Tableau3530344[[#This Row],[Mur droit en moul. en travail]])</f>
        <v>0</v>
      </c>
      <c r="AK17" s="285"/>
      <c r="AL17" s="284">
        <f t="shared" si="5"/>
        <v>0</v>
      </c>
      <c r="AM17" s="286"/>
      <c r="AN17" s="284">
        <f t="shared" si="6"/>
        <v>0</v>
      </c>
      <c r="AO17" s="287"/>
      <c r="AP17" s="288">
        <f t="shared" si="7"/>
        <v>0</v>
      </c>
      <c r="AQ17" s="289"/>
      <c r="AR17" s="5">
        <f>COUNTIF(Tableau3530344[[#This Row],[Mur droit en tête après travail]],Tableau3530344[[#This Row],[Mur droit en tête après travail]])</f>
        <v>0</v>
      </c>
      <c r="AU17" s="165" t="s">
        <v>67</v>
      </c>
      <c r="AV17" s="6" t="str">
        <f>IF(ISERROR(SMALL((AV21,AV22,AV23),1)),"-",SMALL((AV21,AV22,AV23),1))</f>
        <v>-</v>
      </c>
      <c r="BA17" t="s">
        <v>25</v>
      </c>
      <c r="BB17">
        <f t="shared" si="10"/>
        <v>56.693912375295959</v>
      </c>
      <c r="BC17">
        <f>SUM(E15,G15,I15,K15,M15,O15,S15,U15,W15,Y15,AA15,AC15,AG15,AI15,AK15,AM15,AO15,AQ15)</f>
        <v>0</v>
      </c>
      <c r="BD17">
        <f t="shared" si="9"/>
        <v>0</v>
      </c>
    </row>
    <row r="18" spans="1:56" ht="26.25" thickTop="1" thickBot="1" x14ac:dyDescent="0.55000000000000004">
      <c r="A18" s="31"/>
      <c r="B18" s="31"/>
      <c r="C18" s="31"/>
      <c r="D18" s="33" t="s">
        <v>4</v>
      </c>
      <c r="E18" s="268"/>
      <c r="F18" s="243">
        <f>COUNTIF(Tableau35307[[#This Row],[cotation]:[Dévers en moulinette à vue]],Tableau35307[[#This Row],[Dévers en moulinette à vue]])</f>
        <v>0</v>
      </c>
      <c r="G18" s="269"/>
      <c r="H18" s="243"/>
      <c r="I18" s="270"/>
      <c r="J18" s="243">
        <f t="shared" si="0"/>
        <v>0</v>
      </c>
      <c r="K18" s="271"/>
      <c r="L18" s="243">
        <f t="shared" si="1"/>
        <v>0</v>
      </c>
      <c r="M18" s="213"/>
      <c r="N18" s="272">
        <f t="shared" si="2"/>
        <v>0</v>
      </c>
      <c r="O18" s="273"/>
      <c r="P18" s="248">
        <f>COUNTIF(Tableau35307[[#This Row],[Dévers en tête après travail]],Tableau35307[[#This Row],[Dévers en tête après travail]])</f>
        <v>0</v>
      </c>
      <c r="Q18" s="249"/>
      <c r="R18" s="33" t="s">
        <v>4</v>
      </c>
      <c r="S18" s="274"/>
      <c r="T18" s="276">
        <f>COUNTIF(Tableau3530333[[#This Row],[cotation]:[Dalle en moulinettte à vue]],Tableau3530333[[#This Row],[Dalle en moulinettte à vue]])</f>
        <v>0</v>
      </c>
      <c r="U18" s="275"/>
      <c r="V18" s="276">
        <f>COUNTIF(U18,Tableau3530333[[#This Row],[Dalle en moulinette en travail]])</f>
        <v>0</v>
      </c>
      <c r="W18" s="277"/>
      <c r="X18" s="276">
        <f t="shared" si="8"/>
        <v>0</v>
      </c>
      <c r="Y18" s="278"/>
      <c r="Z18" s="276">
        <f t="shared" si="3"/>
        <v>0</v>
      </c>
      <c r="AA18" s="279"/>
      <c r="AB18" s="280">
        <f t="shared" si="4"/>
        <v>0</v>
      </c>
      <c r="AC18" s="281"/>
      <c r="AD18" s="258">
        <f>COUNTIF(Tableau3530333[[#This Row],[Dalle en tête après travail]],Tableau3530333[[#This Row],[Dalle en tête après travail]])</f>
        <v>0</v>
      </c>
      <c r="AE18" s="259"/>
      <c r="AF18" s="19" t="s">
        <v>4</v>
      </c>
      <c r="AG18" s="282"/>
      <c r="AH18" s="284">
        <f>COUNTIF(Tableau3530344[[#This Row],[cotation]:[Mur droit en moulinette à vue]],Tableau3530344[[#This Row],[Mur droit en moulinette à vue]])</f>
        <v>0</v>
      </c>
      <c r="AI18" s="283"/>
      <c r="AJ18" s="284">
        <f>COUNTIF(AI18,Tableau3530344[[#This Row],[Mur droit en moul. en travail]])</f>
        <v>0</v>
      </c>
      <c r="AK18" s="285"/>
      <c r="AL18" s="284">
        <f t="shared" si="5"/>
        <v>0</v>
      </c>
      <c r="AM18" s="286"/>
      <c r="AN18" s="284">
        <f t="shared" si="6"/>
        <v>0</v>
      </c>
      <c r="AO18" s="287"/>
      <c r="AP18" s="288">
        <f t="shared" si="7"/>
        <v>0</v>
      </c>
      <c r="AQ18" s="289"/>
      <c r="AR18" s="5">
        <f>COUNTIF(Tableau3530344[[#This Row],[Mur droit en tête après travail]],Tableau3530344[[#This Row],[Mur droit en tête après travail]])</f>
        <v>0</v>
      </c>
      <c r="AU18" s="165" t="s">
        <v>68</v>
      </c>
      <c r="AV18" s="6">
        <f>IF(ISERROR(SMALL((AV21,AV24),1)),"-",SMALL((AV21,AV24),1))</f>
        <v>20</v>
      </c>
      <c r="BA18" t="s">
        <v>6</v>
      </c>
      <c r="BB18">
        <f t="shared" si="10"/>
        <v>79.371477325414332</v>
      </c>
      <c r="BC18">
        <f>SUM(E14,G14,I14,K14,M14,O14,S14,U14,W14,Y14,AA14,AC14,AG14,AI14,AK14,AM14,AO14,AQ14)</f>
        <v>1</v>
      </c>
      <c r="BD18">
        <f t="shared" si="9"/>
        <v>79.371477325414332</v>
      </c>
    </row>
    <row r="19" spans="1:56" ht="26.25" thickTop="1" thickBot="1" x14ac:dyDescent="0.55000000000000004">
      <c r="A19" s="31"/>
      <c r="B19" s="31"/>
      <c r="C19" s="31"/>
      <c r="D19" s="33" t="s">
        <v>27</v>
      </c>
      <c r="E19" s="268"/>
      <c r="F19" s="243">
        <f>COUNTIF(Tableau35307[[#This Row],[cotation]:[Dévers en moulinette à vue]],Tableau35307[[#This Row],[Dévers en moulinette à vue]])</f>
        <v>0</v>
      </c>
      <c r="G19" s="269"/>
      <c r="H19" s="243"/>
      <c r="I19" s="270"/>
      <c r="J19" s="243">
        <f t="shared" si="0"/>
        <v>0</v>
      </c>
      <c r="K19" s="271"/>
      <c r="L19" s="243">
        <f t="shared" si="1"/>
        <v>0</v>
      </c>
      <c r="M19" s="213"/>
      <c r="N19" s="272">
        <f t="shared" si="2"/>
        <v>0</v>
      </c>
      <c r="O19" s="273"/>
      <c r="P19" s="248">
        <f>COUNTIF(Tableau35307[[#This Row],[Dévers en tête après travail]],Tableau35307[[#This Row],[Dévers en tête après travail]])</f>
        <v>0</v>
      </c>
      <c r="Q19" s="249"/>
      <c r="R19" s="33" t="s">
        <v>27</v>
      </c>
      <c r="S19" s="274"/>
      <c r="T19" s="276">
        <f>COUNTIF(Tableau3530333[[#This Row],[cotation]:[Dalle en moulinettte à vue]],Tableau3530333[[#This Row],[Dalle en moulinettte à vue]])</f>
        <v>0</v>
      </c>
      <c r="U19" s="275"/>
      <c r="V19" s="276">
        <f>COUNTIF(U19,Tableau3530333[[#This Row],[Dalle en moulinette en travail]])</f>
        <v>0</v>
      </c>
      <c r="W19" s="277"/>
      <c r="X19" s="276">
        <f t="shared" si="8"/>
        <v>0</v>
      </c>
      <c r="Y19" s="278"/>
      <c r="Z19" s="276">
        <f t="shared" si="3"/>
        <v>0</v>
      </c>
      <c r="AA19" s="279"/>
      <c r="AB19" s="280">
        <f t="shared" si="4"/>
        <v>0</v>
      </c>
      <c r="AC19" s="281"/>
      <c r="AD19" s="258">
        <f>COUNTIF(Tableau3530333[[#This Row],[Dalle en tête après travail]],Tableau3530333[[#This Row],[Dalle en tête après travail]])</f>
        <v>0</v>
      </c>
      <c r="AE19" s="259"/>
      <c r="AF19" s="19" t="s">
        <v>27</v>
      </c>
      <c r="AG19" s="282"/>
      <c r="AH19" s="284">
        <f>COUNTIF(Tableau3530344[[#This Row],[cotation]:[Mur droit en moulinette à vue]],Tableau3530344[[#This Row],[Mur droit en moulinette à vue]])</f>
        <v>0</v>
      </c>
      <c r="AI19" s="283"/>
      <c r="AJ19" s="284">
        <f>COUNTIF(AI19,Tableau3530344[[#This Row],[Mur droit en moul. en travail]])</f>
        <v>0</v>
      </c>
      <c r="AK19" s="285"/>
      <c r="AL19" s="284">
        <f t="shared" si="5"/>
        <v>0</v>
      </c>
      <c r="AM19" s="286"/>
      <c r="AN19" s="284">
        <f t="shared" si="6"/>
        <v>0</v>
      </c>
      <c r="AO19" s="287"/>
      <c r="AP19" s="288">
        <f t="shared" si="7"/>
        <v>0</v>
      </c>
      <c r="AQ19" s="289"/>
      <c r="AR19" s="5">
        <f>COUNTIF(Tableau3530344[[#This Row],[Mur droit en tête après travail]],Tableau3530344[[#This Row],[Mur droit en tête après travail]])</f>
        <v>0</v>
      </c>
      <c r="AU19" s="165" t="s">
        <v>69</v>
      </c>
      <c r="AV19" s="6">
        <f>IF(ISERROR(SMALL((AV22,AV25),1)),"-",SMALL((AV22,AV25),1))</f>
        <v>9</v>
      </c>
      <c r="BA19" t="s">
        <v>24</v>
      </c>
      <c r="BB19">
        <f t="shared" si="10"/>
        <v>111.12006825558007</v>
      </c>
      <c r="BC19">
        <f>SUM(E13,G13,I13,K13,M13,O13,U13,W13,Y13,AA13,AC13,S13,AG13,AI13,AK13,AM13,AO13,AQ13)</f>
        <v>0</v>
      </c>
      <c r="BD19">
        <f t="shared" si="9"/>
        <v>0</v>
      </c>
    </row>
    <row r="20" spans="1:56" ht="25.5" thickTop="1" x14ac:dyDescent="0.5">
      <c r="A20" s="31"/>
      <c r="B20" s="31"/>
      <c r="C20" s="31"/>
      <c r="D20" s="33" t="s">
        <v>3</v>
      </c>
      <c r="E20" s="268"/>
      <c r="F20" s="243">
        <f>COUNTIF(Tableau35307[[#This Row],[cotation]:[Dévers en moulinette à vue]],Tableau35307[[#This Row],[Dévers en moulinette à vue]])</f>
        <v>0</v>
      </c>
      <c r="G20" s="269"/>
      <c r="H20" s="243"/>
      <c r="I20" s="270"/>
      <c r="J20" s="243">
        <f t="shared" si="0"/>
        <v>0</v>
      </c>
      <c r="K20" s="271"/>
      <c r="L20" s="243">
        <f t="shared" si="1"/>
        <v>0</v>
      </c>
      <c r="M20" s="213"/>
      <c r="N20" s="272">
        <f t="shared" si="2"/>
        <v>0</v>
      </c>
      <c r="O20" s="273"/>
      <c r="P20" s="248">
        <f>COUNTIF(Tableau35307[[#This Row],[Dévers en tête après travail]],Tableau35307[[#This Row],[Dévers en tête après travail]])</f>
        <v>0</v>
      </c>
      <c r="Q20" s="249"/>
      <c r="R20" s="33" t="s">
        <v>3</v>
      </c>
      <c r="S20" s="274"/>
      <c r="T20" s="276">
        <f>COUNTIF(Tableau3530333[[#This Row],[cotation]:[Dalle en moulinettte à vue]],Tableau3530333[[#This Row],[Dalle en moulinettte à vue]])</f>
        <v>0</v>
      </c>
      <c r="U20" s="275"/>
      <c r="V20" s="276">
        <f>COUNTIF(U20,Tableau3530333[[#This Row],[Dalle en moulinette en travail]])</f>
        <v>0</v>
      </c>
      <c r="W20" s="277"/>
      <c r="X20" s="276">
        <f t="shared" si="8"/>
        <v>0</v>
      </c>
      <c r="Y20" s="278"/>
      <c r="Z20" s="276">
        <f t="shared" si="3"/>
        <v>0</v>
      </c>
      <c r="AA20" s="279"/>
      <c r="AB20" s="280">
        <f t="shared" si="4"/>
        <v>0</v>
      </c>
      <c r="AC20" s="281"/>
      <c r="AD20" s="258">
        <f>COUNTIF(Tableau3530333[[#This Row],[Dalle en tête après travail]],Tableau3530333[[#This Row],[Dalle en tête après travail]])</f>
        <v>0</v>
      </c>
      <c r="AE20" s="259"/>
      <c r="AF20" s="19" t="s">
        <v>3</v>
      </c>
      <c r="AG20" s="282"/>
      <c r="AH20" s="284">
        <f>COUNTIF(Tableau3530344[[#This Row],[cotation]:[Mur droit en moulinette à vue]],Tableau3530344[[#This Row],[Mur droit en moulinette à vue]])</f>
        <v>0</v>
      </c>
      <c r="AI20" s="283"/>
      <c r="AJ20" s="284">
        <f>COUNTIF(AI20,Tableau3530344[[#This Row],[Mur droit en moul. en travail]])</f>
        <v>0</v>
      </c>
      <c r="AK20" s="285"/>
      <c r="AL20" s="284">
        <f t="shared" si="5"/>
        <v>0</v>
      </c>
      <c r="AM20" s="286"/>
      <c r="AN20" s="284">
        <f t="shared" si="6"/>
        <v>0</v>
      </c>
      <c r="AO20" s="287"/>
      <c r="AP20" s="288">
        <f t="shared" si="7"/>
        <v>0</v>
      </c>
      <c r="AQ20" s="289"/>
      <c r="AR20" s="5">
        <f>COUNTIF(Tableau3530344[[#This Row],[Mur droit en tête après travail]],Tableau3530344[[#This Row],[Mur droit en tête après travail]])</f>
        <v>0</v>
      </c>
      <c r="AU20" s="165" t="s">
        <v>70</v>
      </c>
      <c r="AV20" s="6">
        <f>IF(ISERROR(SMALL((AV23,AV26),1)),"-",SMALL((AV23,AV26),1))</f>
        <v>10</v>
      </c>
      <c r="BA20" t="s">
        <v>7</v>
      </c>
      <c r="BB20">
        <f t="shared" si="10"/>
        <v>155.56809555781209</v>
      </c>
      <c r="BC20">
        <f>SUM(E12,G12,I12,K12,M12,O12,S12,U12,W12,Y12,AA12,AC12,AG12,AI12,AK12,AM12,AO12,AQ12)</f>
        <v>0</v>
      </c>
      <c r="BD20">
        <f t="shared" si="9"/>
        <v>0</v>
      </c>
    </row>
    <row r="21" spans="1:56" ht="25.5" thickBot="1" x14ac:dyDescent="0.55000000000000004">
      <c r="A21" s="31"/>
      <c r="B21" s="31"/>
      <c r="C21" s="31"/>
      <c r="D21" s="33" t="s">
        <v>28</v>
      </c>
      <c r="E21" s="268"/>
      <c r="F21" s="243">
        <f>COUNTIF(Tableau35307[[#This Row],[cotation]:[Dévers en moulinette à vue]],Tableau35307[[#This Row],[Dévers en moulinette à vue]])</f>
        <v>0</v>
      </c>
      <c r="G21" s="269"/>
      <c r="H21" s="243"/>
      <c r="I21" s="270"/>
      <c r="J21" s="243">
        <f t="shared" si="0"/>
        <v>0</v>
      </c>
      <c r="K21" s="271">
        <v>3</v>
      </c>
      <c r="L21" s="243">
        <f t="shared" si="1"/>
        <v>1</v>
      </c>
      <c r="M21" s="213"/>
      <c r="N21" s="272">
        <f t="shared" si="2"/>
        <v>0</v>
      </c>
      <c r="O21" s="273"/>
      <c r="P21" s="248">
        <f>COUNTIF(Tableau35307[[#This Row],[Dévers en tête après travail]],Tableau35307[[#This Row],[Dévers en tête après travail]])</f>
        <v>0</v>
      </c>
      <c r="Q21" s="249"/>
      <c r="R21" s="33" t="s">
        <v>28</v>
      </c>
      <c r="S21" s="274"/>
      <c r="T21" s="276">
        <f>COUNTIF(Tableau3530333[[#This Row],[cotation]:[Dalle en moulinettte à vue]],Tableau3530333[[#This Row],[Dalle en moulinettte à vue]])</f>
        <v>0</v>
      </c>
      <c r="U21" s="275"/>
      <c r="V21" s="276">
        <f>COUNTIF(U21,Tableau3530333[[#This Row],[Dalle en moulinette en travail]])</f>
        <v>0</v>
      </c>
      <c r="W21" s="277"/>
      <c r="X21" s="276">
        <f t="shared" si="8"/>
        <v>0</v>
      </c>
      <c r="Y21" s="278"/>
      <c r="Z21" s="276">
        <f t="shared" si="3"/>
        <v>0</v>
      </c>
      <c r="AA21" s="279"/>
      <c r="AB21" s="280">
        <f t="shared" si="4"/>
        <v>0</v>
      </c>
      <c r="AC21" s="281"/>
      <c r="AD21" s="258">
        <f>COUNTIF(Tableau3530333[[#This Row],[Dalle en tête après travail]],Tableau3530333[[#This Row],[Dalle en tête après travail]])</f>
        <v>0</v>
      </c>
      <c r="AE21" s="259"/>
      <c r="AF21" s="19" t="s">
        <v>28</v>
      </c>
      <c r="AG21" s="282"/>
      <c r="AH21" s="284">
        <f>COUNTIF(Tableau3530344[[#This Row],[cotation]:[Mur droit en moulinette à vue]],Tableau3530344[[#This Row],[Mur droit en moulinette à vue]])</f>
        <v>0</v>
      </c>
      <c r="AI21" s="283"/>
      <c r="AJ21" s="284">
        <f>COUNTIF(AI21,Tableau3530344[[#This Row],[Mur droit en moul. en travail]])</f>
        <v>0</v>
      </c>
      <c r="AK21" s="285"/>
      <c r="AL21" s="284">
        <f t="shared" si="5"/>
        <v>0</v>
      </c>
      <c r="AM21" s="286"/>
      <c r="AN21" s="284">
        <f t="shared" si="6"/>
        <v>0</v>
      </c>
      <c r="AO21" s="287"/>
      <c r="AP21" s="288">
        <f t="shared" si="7"/>
        <v>0</v>
      </c>
      <c r="AQ21" s="289"/>
      <c r="AR21" s="5">
        <f>COUNTIF(Tableau3530344[[#This Row],[Mur droit en tête après travail]],Tableau3530344[[#This Row],[Mur droit en tête après travail]])</f>
        <v>0</v>
      </c>
      <c r="AU21" s="165" t="s">
        <v>44</v>
      </c>
      <c r="AV21" s="8" t="str">
        <f>IF(ISERROR(MATCH(1,Tableau35307[Colonne1],0)),"-",MATCH(1,Tableau35307[Colonne1],0))</f>
        <v>-</v>
      </c>
      <c r="BA21" t="s">
        <v>23</v>
      </c>
      <c r="BB21">
        <f t="shared" si="10"/>
        <v>217.79533378093691</v>
      </c>
      <c r="BC21">
        <f>SUM(E11,G11,I11,K11,M11,O11,S11,U11,W11,Y11,AA11,AC11,AG11,AI11,AK11,AM11,AO11,AQ11)</f>
        <v>2</v>
      </c>
      <c r="BD21">
        <f t="shared" si="9"/>
        <v>435.59066756187383</v>
      </c>
    </row>
    <row r="22" spans="1:56" ht="26.25" thickTop="1" thickBot="1" x14ac:dyDescent="0.55000000000000004">
      <c r="A22" s="31"/>
      <c r="B22" s="31"/>
      <c r="C22" s="31"/>
      <c r="D22" s="33" t="s">
        <v>2</v>
      </c>
      <c r="E22" s="268"/>
      <c r="F22" s="243">
        <f>COUNTIF(Tableau35307[[#This Row],[cotation]:[Dévers en moulinette à vue]],Tableau35307[[#This Row],[Dévers en moulinette à vue]])</f>
        <v>0</v>
      </c>
      <c r="G22" s="269"/>
      <c r="H22" s="243"/>
      <c r="I22" s="270"/>
      <c r="J22" s="243">
        <f t="shared" si="0"/>
        <v>0</v>
      </c>
      <c r="K22" s="271"/>
      <c r="L22" s="243">
        <f t="shared" si="1"/>
        <v>0</v>
      </c>
      <c r="M22" s="213"/>
      <c r="N22" s="272">
        <f t="shared" si="2"/>
        <v>0</v>
      </c>
      <c r="O22" s="273"/>
      <c r="P22" s="248">
        <f>COUNTIF(Tableau35307[[#This Row],[Dévers en tête après travail]],Tableau35307[[#This Row],[Dévers en tête après travail]])</f>
        <v>0</v>
      </c>
      <c r="Q22" s="249"/>
      <c r="R22" s="33" t="s">
        <v>2</v>
      </c>
      <c r="S22" s="274">
        <v>5</v>
      </c>
      <c r="T22" s="276">
        <f>COUNTIF(Tableau3530333[[#This Row],[cotation]:[Dalle en moulinettte à vue]],Tableau3530333[[#This Row],[Dalle en moulinettte à vue]])</f>
        <v>1</v>
      </c>
      <c r="U22" s="275"/>
      <c r="V22" s="276">
        <f>COUNTIF(U22,Tableau3530333[[#This Row],[Dalle en moulinette en travail]])</f>
        <v>0</v>
      </c>
      <c r="W22" s="277"/>
      <c r="X22" s="276">
        <f t="shared" si="8"/>
        <v>0</v>
      </c>
      <c r="Y22" s="278"/>
      <c r="Z22" s="276">
        <f t="shared" si="3"/>
        <v>0</v>
      </c>
      <c r="AA22" s="279"/>
      <c r="AB22" s="280">
        <f t="shared" si="4"/>
        <v>0</v>
      </c>
      <c r="AC22" s="281"/>
      <c r="AD22" s="258">
        <f>COUNTIF(Tableau3530333[[#This Row],[Dalle en tête après travail]],Tableau3530333[[#This Row],[Dalle en tête après travail]])</f>
        <v>0</v>
      </c>
      <c r="AE22" s="259"/>
      <c r="AF22" s="19" t="s">
        <v>2</v>
      </c>
      <c r="AG22" s="282"/>
      <c r="AH22" s="284">
        <f>COUNTIF(Tableau3530344[[#This Row],[cotation]:[Mur droit en moulinette à vue]],Tableau3530344[[#This Row],[Mur droit en moulinette à vue]])</f>
        <v>0</v>
      </c>
      <c r="AI22" s="283"/>
      <c r="AJ22" s="284">
        <f>COUNTIF(AI22,Tableau3530344[[#This Row],[Mur droit en moul. en travail]])</f>
        <v>0</v>
      </c>
      <c r="AK22" s="285"/>
      <c r="AL22" s="284">
        <f t="shared" si="5"/>
        <v>0</v>
      </c>
      <c r="AM22" s="286"/>
      <c r="AN22" s="284">
        <f t="shared" si="6"/>
        <v>0</v>
      </c>
      <c r="AO22" s="287"/>
      <c r="AP22" s="288">
        <f t="shared" si="7"/>
        <v>0</v>
      </c>
      <c r="AQ22" s="289"/>
      <c r="AR22" s="5">
        <f>COUNTIF(Tableau3530344[[#This Row],[Mur droit en tête après travail]],Tableau3530344[[#This Row],[Mur droit en tête après travail]])</f>
        <v>0</v>
      </c>
      <c r="AU22" s="165" t="s">
        <v>45</v>
      </c>
      <c r="AV22" s="9" t="str">
        <f>IF(ISERROR(MATCH(1,Tableau35307[Colonne2],0)),"-",MATCH(1,Tableau35307[Colonne2],0))</f>
        <v>-</v>
      </c>
      <c r="BA22" t="s">
        <v>8</v>
      </c>
      <c r="BB22">
        <f t="shared" si="10"/>
        <v>304.91346729331167</v>
      </c>
      <c r="BC22">
        <f>SUM(E10,G10,I10,K10,M10,O10,S10,U10,W10,Y10,AA10,AC10,AG10,AI10,AK10,AM10,AO10,AQ10)</f>
        <v>1</v>
      </c>
      <c r="BD22">
        <f t="shared" si="9"/>
        <v>304.91346729331167</v>
      </c>
    </row>
    <row r="23" spans="1:56" ht="26.25" thickTop="1" thickBot="1" x14ac:dyDescent="0.55000000000000004">
      <c r="A23" s="31"/>
      <c r="B23" s="31"/>
      <c r="C23" s="31"/>
      <c r="D23" s="33" t="s">
        <v>29</v>
      </c>
      <c r="E23" s="268"/>
      <c r="F23" s="243">
        <f>COUNTIF(Tableau35307[[#This Row],[cotation]:[Dévers en moulinette à vue]],Tableau35307[[#This Row],[Dévers en moulinette à vue]])</f>
        <v>0</v>
      </c>
      <c r="G23" s="269"/>
      <c r="H23" s="243"/>
      <c r="I23" s="270"/>
      <c r="J23" s="243">
        <f t="shared" si="0"/>
        <v>0</v>
      </c>
      <c r="K23" s="271"/>
      <c r="L23" s="243">
        <f t="shared" si="1"/>
        <v>0</v>
      </c>
      <c r="M23" s="213"/>
      <c r="N23" s="272">
        <f t="shared" si="2"/>
        <v>0</v>
      </c>
      <c r="O23" s="273"/>
      <c r="P23" s="248">
        <f>COUNTIF(Tableau35307[[#This Row],[Dévers en tête après travail]],Tableau35307[[#This Row],[Dévers en tête après travail]])</f>
        <v>0</v>
      </c>
      <c r="Q23" s="249"/>
      <c r="R23" s="33" t="s">
        <v>29</v>
      </c>
      <c r="S23" s="274"/>
      <c r="T23" s="276">
        <f>COUNTIF(Tableau3530333[[#This Row],[cotation]:[Dalle en moulinettte à vue]],Tableau3530333[[#This Row],[Dalle en moulinettte à vue]])</f>
        <v>0</v>
      </c>
      <c r="U23" s="275"/>
      <c r="V23" s="276">
        <f>COUNTIF(U23,Tableau3530333[[#This Row],[Dalle en moulinette en travail]])</f>
        <v>0</v>
      </c>
      <c r="W23" s="277"/>
      <c r="X23" s="276">
        <f t="shared" si="8"/>
        <v>0</v>
      </c>
      <c r="Y23" s="278"/>
      <c r="Z23" s="276">
        <f t="shared" si="3"/>
        <v>0</v>
      </c>
      <c r="AA23" s="279"/>
      <c r="AB23" s="280">
        <f t="shared" si="4"/>
        <v>0</v>
      </c>
      <c r="AC23" s="281"/>
      <c r="AD23" s="258">
        <f>COUNTIF(Tableau3530333[[#This Row],[Dalle en tête après travail]],Tableau3530333[[#This Row],[Dalle en tête après travail]])</f>
        <v>0</v>
      </c>
      <c r="AE23" s="259"/>
      <c r="AF23" s="19" t="s">
        <v>29</v>
      </c>
      <c r="AG23" s="282"/>
      <c r="AH23" s="284">
        <f>COUNTIF(Tableau3530344[[#This Row],[cotation]:[Mur droit en moulinette à vue]],Tableau3530344[[#This Row],[Mur droit en moulinette à vue]])</f>
        <v>0</v>
      </c>
      <c r="AI23" s="283"/>
      <c r="AJ23" s="284">
        <f>COUNTIF(AI23,Tableau3530344[[#This Row],[Mur droit en moul. en travail]])</f>
        <v>0</v>
      </c>
      <c r="AK23" s="285"/>
      <c r="AL23" s="284">
        <f t="shared" si="5"/>
        <v>0</v>
      </c>
      <c r="AM23" s="286"/>
      <c r="AN23" s="284">
        <f t="shared" si="6"/>
        <v>0</v>
      </c>
      <c r="AO23" s="287"/>
      <c r="AP23" s="288">
        <f t="shared" si="7"/>
        <v>0</v>
      </c>
      <c r="AQ23" s="289"/>
      <c r="AR23" s="5">
        <f>COUNTIF(Tableau3530344[[#This Row],[Mur droit en tête après travail]],Tableau3530344[[#This Row],[Mur droit en tête après travail]])</f>
        <v>0</v>
      </c>
      <c r="AU23" s="165" t="s">
        <v>46</v>
      </c>
      <c r="AV23" s="9" t="str">
        <f>IF(ISERROR(MATCH(1,Tableau35307[perf DEMAT],0)),"-",MATCH(1,Tableau35307[perf DEMAT],0))</f>
        <v>-</v>
      </c>
      <c r="BA23" t="s">
        <v>22</v>
      </c>
      <c r="BB23">
        <f t="shared" si="10"/>
        <v>426.87885421063629</v>
      </c>
      <c r="BC23">
        <f>SUM(E9,G9,I9,K9,M9,O9,S9,U9,W9,Y9,AA9,AC9,AG9,AI9,AK9,AM9,AO9,AQ9)</f>
        <v>0</v>
      </c>
      <c r="BD23">
        <f t="shared" si="9"/>
        <v>0</v>
      </c>
    </row>
    <row r="24" spans="1:56" ht="25.5" thickTop="1" x14ac:dyDescent="0.5">
      <c r="A24" s="31"/>
      <c r="B24" s="31"/>
      <c r="C24" s="31"/>
      <c r="D24" s="33" t="s">
        <v>1</v>
      </c>
      <c r="E24" s="268"/>
      <c r="F24" s="243">
        <f>COUNTIF(Tableau35307[[#This Row],[cotation]:[Dévers en moulinette à vue]],Tableau35307[[#This Row],[Dévers en moulinette à vue]])</f>
        <v>0</v>
      </c>
      <c r="G24" s="269"/>
      <c r="H24" s="243"/>
      <c r="I24" s="270"/>
      <c r="J24" s="243">
        <f t="shared" si="0"/>
        <v>0</v>
      </c>
      <c r="K24" s="271"/>
      <c r="L24" s="243">
        <f t="shared" si="1"/>
        <v>0</v>
      </c>
      <c r="M24" s="213"/>
      <c r="N24" s="272">
        <f t="shared" si="2"/>
        <v>0</v>
      </c>
      <c r="O24" s="273"/>
      <c r="P24" s="248">
        <f>COUNTIF(Tableau35307[[#This Row],[Dévers en tête après travail]],Tableau35307[[#This Row],[Dévers en tête après travail]])</f>
        <v>0</v>
      </c>
      <c r="Q24" s="249"/>
      <c r="R24" s="33" t="s">
        <v>1</v>
      </c>
      <c r="S24" s="274"/>
      <c r="T24" s="276">
        <f>COUNTIF(Tableau3530333[[#This Row],[cotation]:[Dalle en moulinettte à vue]],Tableau3530333[[#This Row],[Dalle en moulinettte à vue]])</f>
        <v>0</v>
      </c>
      <c r="U24" s="275"/>
      <c r="V24" s="276">
        <f>COUNTIF(U24,Tableau3530333[[#This Row],[Dalle en moulinette en travail]])</f>
        <v>0</v>
      </c>
      <c r="W24" s="277"/>
      <c r="X24" s="276">
        <f t="shared" si="8"/>
        <v>0</v>
      </c>
      <c r="Y24" s="278"/>
      <c r="Z24" s="276">
        <f t="shared" si="3"/>
        <v>0</v>
      </c>
      <c r="AA24" s="279"/>
      <c r="AB24" s="280">
        <f t="shared" si="4"/>
        <v>0</v>
      </c>
      <c r="AC24" s="281"/>
      <c r="AD24" s="258">
        <f>COUNTIF(Tableau3530333[[#This Row],[Dalle en tête après travail]],Tableau3530333[[#This Row],[Dalle en tête après travail]])</f>
        <v>0</v>
      </c>
      <c r="AE24" s="259"/>
      <c r="AF24" s="19" t="s">
        <v>1</v>
      </c>
      <c r="AG24" s="282"/>
      <c r="AH24" s="284">
        <f>COUNTIF(Tableau3530344[[#This Row],[cotation]:[Mur droit en moulinette à vue]],Tableau3530344[[#This Row],[Mur droit en moulinette à vue]])</f>
        <v>0</v>
      </c>
      <c r="AI24" s="283"/>
      <c r="AJ24" s="284">
        <f>COUNTIF(AI24,Tableau3530344[[#This Row],[Mur droit en moul. en travail]])</f>
        <v>0</v>
      </c>
      <c r="AK24" s="285"/>
      <c r="AL24" s="284">
        <f t="shared" si="5"/>
        <v>0</v>
      </c>
      <c r="AM24" s="286"/>
      <c r="AN24" s="284">
        <f t="shared" si="6"/>
        <v>0</v>
      </c>
      <c r="AO24" s="287"/>
      <c r="AP24" s="288">
        <f t="shared" si="7"/>
        <v>0</v>
      </c>
      <c r="AQ24" s="289"/>
      <c r="AR24" s="5">
        <f>COUNTIF(Tableau3530344[[#This Row],[Mur droit en tête après travail]],Tableau3530344[[#This Row],[Mur droit en tête après travail]])</f>
        <v>0</v>
      </c>
      <c r="AU24" s="165" t="s">
        <v>47</v>
      </c>
      <c r="AV24" s="9">
        <f>IF(ISERROR(MATCH(1,Tableau35307[perf DeTAV],0)),"-",MATCH(1,Tableau35307[perf DeTAV],0))</f>
        <v>20</v>
      </c>
      <c r="BA24" t="s">
        <v>13</v>
      </c>
      <c r="BB24">
        <f t="shared" si="10"/>
        <v>597.63039589489074</v>
      </c>
      <c r="BC24">
        <f>SUM(E8,G8,I8,K8,M8,O8,S8,U8,W8,Y8,AA8,AC8,AG8,AI8,AK8,AM8,AO8,AQ8)</f>
        <v>0</v>
      </c>
      <c r="BD24">
        <f t="shared" si="9"/>
        <v>0</v>
      </c>
    </row>
    <row r="25" spans="1:56" ht="24.75" x14ac:dyDescent="0.5">
      <c r="A25" s="31"/>
      <c r="B25" s="31"/>
      <c r="C25" s="31"/>
      <c r="D25" s="33" t="s">
        <v>30</v>
      </c>
      <c r="E25" s="268"/>
      <c r="F25" s="243">
        <f>COUNTIF(Tableau35307[[#This Row],[cotation]:[Dévers en moulinette à vue]],Tableau35307[[#This Row],[Dévers en moulinette à vue]])</f>
        <v>0</v>
      </c>
      <c r="G25" s="269"/>
      <c r="H25" s="243"/>
      <c r="I25" s="270"/>
      <c r="J25" s="243">
        <f t="shared" si="0"/>
        <v>0</v>
      </c>
      <c r="K25" s="271"/>
      <c r="L25" s="243">
        <f t="shared" si="1"/>
        <v>0</v>
      </c>
      <c r="M25" s="213"/>
      <c r="N25" s="272">
        <f t="shared" si="2"/>
        <v>0</v>
      </c>
      <c r="O25" s="273"/>
      <c r="P25" s="248">
        <f>COUNTIF(Tableau35307[[#This Row],[Dévers en tête après travail]],Tableau35307[[#This Row],[Dévers en tête après travail]])</f>
        <v>0</v>
      </c>
      <c r="Q25" s="249"/>
      <c r="R25" s="33" t="s">
        <v>30</v>
      </c>
      <c r="S25" s="274"/>
      <c r="T25" s="276">
        <f>COUNTIF(Tableau3530333[[#This Row],[cotation]:[Dalle en moulinettte à vue]],Tableau3530333[[#This Row],[Dalle en moulinettte à vue]])</f>
        <v>0</v>
      </c>
      <c r="U25" s="275"/>
      <c r="V25" s="276">
        <f>COUNTIF(U25,Tableau3530333[[#This Row],[Dalle en moulinette en travail]])</f>
        <v>0</v>
      </c>
      <c r="W25" s="277"/>
      <c r="X25" s="276">
        <f t="shared" si="8"/>
        <v>0</v>
      </c>
      <c r="Y25" s="278"/>
      <c r="Z25" s="276">
        <f t="shared" si="3"/>
        <v>0</v>
      </c>
      <c r="AA25" s="279"/>
      <c r="AB25" s="280">
        <f t="shared" si="4"/>
        <v>0</v>
      </c>
      <c r="AC25" s="281"/>
      <c r="AD25" s="258">
        <f>COUNTIF(Tableau3530333[[#This Row],[Dalle en tête après travail]],Tableau3530333[[#This Row],[Dalle en tête après travail]])</f>
        <v>0</v>
      </c>
      <c r="AE25" s="259"/>
      <c r="AF25" s="19" t="s">
        <v>30</v>
      </c>
      <c r="AG25" s="282"/>
      <c r="AH25" s="284">
        <f>COUNTIF(Tableau3530344[[#This Row],[cotation]:[Mur droit en moulinette à vue]],Tableau3530344[[#This Row],[Mur droit en moulinette à vue]])</f>
        <v>0</v>
      </c>
      <c r="AI25" s="283"/>
      <c r="AJ25" s="284">
        <f>COUNTIF(AI25,Tableau3530344[[#This Row],[Mur droit en moul. en travail]])</f>
        <v>0</v>
      </c>
      <c r="AK25" s="285"/>
      <c r="AL25" s="284">
        <f t="shared" si="5"/>
        <v>0</v>
      </c>
      <c r="AM25" s="286"/>
      <c r="AN25" s="284">
        <f t="shared" si="6"/>
        <v>0</v>
      </c>
      <c r="AO25" s="287"/>
      <c r="AP25" s="288">
        <f t="shared" si="7"/>
        <v>0</v>
      </c>
      <c r="AQ25" s="289"/>
      <c r="AR25" s="5">
        <f>COUNTIF(Tableau3530344[[#This Row],[Mur droit en tête après travail]],Tableau3530344[[#This Row],[Mur droit en tête après travail]])</f>
        <v>0</v>
      </c>
      <c r="AU25" s="165" t="s">
        <v>48</v>
      </c>
      <c r="AV25" s="8">
        <f>IF(ISERROR(MATCH(1,Tableau35307[Colonne3],0)),"-",MATCH(1,Tableau35307[Colonne3],0))</f>
        <v>9</v>
      </c>
      <c r="BA25" t="s">
        <v>21</v>
      </c>
      <c r="BB25">
        <f t="shared" si="10"/>
        <v>836.68255425284701</v>
      </c>
      <c r="BC25">
        <f>SUM(E7,G7,I7,K7,M7,O7,S7,U7,W7,Y7,AA7,AC7,AG7,AI7,AK7,AM7,AO7,AQ7)</f>
        <v>0</v>
      </c>
      <c r="BD25">
        <f t="shared" si="9"/>
        <v>0</v>
      </c>
    </row>
    <row r="26" spans="1:56" ht="25.5" thickBot="1" x14ac:dyDescent="0.55000000000000004">
      <c r="A26" s="31"/>
      <c r="B26" s="31"/>
      <c r="C26" s="31"/>
      <c r="D26" s="33" t="s">
        <v>0</v>
      </c>
      <c r="E26" s="268"/>
      <c r="F26" s="243">
        <f>COUNTIF(Tableau35307[[#This Row],[cotation]:[Dévers en moulinette à vue]],Tableau35307[[#This Row],[Dévers en moulinette à vue]])</f>
        <v>0</v>
      </c>
      <c r="G26" s="269"/>
      <c r="H26" s="243"/>
      <c r="I26" s="270"/>
      <c r="J26" s="243">
        <f t="shared" si="0"/>
        <v>0</v>
      </c>
      <c r="K26" s="271"/>
      <c r="L26" s="243">
        <f t="shared" si="1"/>
        <v>0</v>
      </c>
      <c r="M26" s="213"/>
      <c r="N26" s="272">
        <f t="shared" si="2"/>
        <v>0</v>
      </c>
      <c r="O26" s="273"/>
      <c r="P26" s="248">
        <f>COUNTIF(Tableau35307[[#This Row],[Dévers en tête après travail]],Tableau35307[[#This Row],[Dévers en tête après travail]])</f>
        <v>0</v>
      </c>
      <c r="Q26" s="249"/>
      <c r="R26" s="33" t="s">
        <v>0</v>
      </c>
      <c r="S26" s="274"/>
      <c r="T26" s="276">
        <f>COUNTIF(Tableau3530333[[#This Row],[cotation]:[Dalle en moulinettte à vue]],Tableau3530333[[#This Row],[Dalle en moulinettte à vue]])</f>
        <v>0</v>
      </c>
      <c r="U26" s="275"/>
      <c r="V26" s="276">
        <f>COUNTIF(U26,Tableau3530333[[#This Row],[Dalle en moulinette en travail]])</f>
        <v>0</v>
      </c>
      <c r="W26" s="277"/>
      <c r="X26" s="276">
        <f t="shared" si="8"/>
        <v>0</v>
      </c>
      <c r="Y26" s="278"/>
      <c r="Z26" s="276">
        <f t="shared" si="3"/>
        <v>0</v>
      </c>
      <c r="AA26" s="279"/>
      <c r="AB26" s="280">
        <f t="shared" si="4"/>
        <v>0</v>
      </c>
      <c r="AC26" s="281"/>
      <c r="AD26" s="258">
        <f>COUNTIF(Tableau3530333[[#This Row],[Dalle en tête après travail]],Tableau3530333[[#This Row],[Dalle en tête après travail]])</f>
        <v>0</v>
      </c>
      <c r="AE26" s="259"/>
      <c r="AF26" s="19" t="s">
        <v>0</v>
      </c>
      <c r="AG26" s="282"/>
      <c r="AH26" s="284">
        <f>COUNTIF(Tableau3530344[[#This Row],[cotation]:[Mur droit en moulinette à vue]],Tableau3530344[[#This Row],[Mur droit en moulinette à vue]])</f>
        <v>0</v>
      </c>
      <c r="AI26" s="283"/>
      <c r="AJ26" s="284">
        <f>COUNTIF(AI26,Tableau3530344[[#This Row],[Mur droit en moul. en travail]])</f>
        <v>0</v>
      </c>
      <c r="AK26" s="285"/>
      <c r="AL26" s="284">
        <f t="shared" si="5"/>
        <v>0</v>
      </c>
      <c r="AM26" s="286"/>
      <c r="AN26" s="284">
        <f t="shared" si="6"/>
        <v>0</v>
      </c>
      <c r="AO26" s="287"/>
      <c r="AP26" s="288">
        <f t="shared" si="7"/>
        <v>0</v>
      </c>
      <c r="AQ26" s="289"/>
      <c r="AR26" s="5">
        <f>COUNTIF(Tableau3530344[[#This Row],[Mur droit en tête après travail]],Tableau3530344[[#This Row],[Mur droit en tête après travail]])</f>
        <v>0</v>
      </c>
      <c r="AU26" s="165" t="s">
        <v>49</v>
      </c>
      <c r="AV26" s="8">
        <f>IF(ISERROR(MATCH(1,Tableau35307[perf DeTAT],0)),"-",MATCH(1,Tableau35307[perf DeTAT],0))</f>
        <v>10</v>
      </c>
      <c r="BA26" t="s">
        <v>15</v>
      </c>
      <c r="BB26">
        <f t="shared" si="10"/>
        <v>1171.3555759539856</v>
      </c>
      <c r="BC26">
        <f>SUM(E6,G6,I6,K6,M6,O6,S6,U6:W6,Y6,AA6,AC6,AG6,AI6,AK6,AM6,AO6,AQ6)</f>
        <v>0</v>
      </c>
      <c r="BD26">
        <f t="shared" si="9"/>
        <v>0</v>
      </c>
    </row>
    <row r="27" spans="1:56" ht="26.25" thickTop="1" thickBot="1" x14ac:dyDescent="0.55000000000000004">
      <c r="A27" s="31"/>
      <c r="B27" s="31"/>
      <c r="C27" s="31"/>
      <c r="D27" s="164">
        <v>4</v>
      </c>
      <c r="E27" s="268"/>
      <c r="F27" s="243">
        <f>COUNTIF(Tableau35307[[#This Row],[cotation]:[Dévers en moulinette à vue]],Tableau35307[[#This Row],[Dévers en moulinette à vue]])</f>
        <v>0</v>
      </c>
      <c r="G27" s="269"/>
      <c r="H27" s="293"/>
      <c r="I27" s="270"/>
      <c r="J27" s="243">
        <f t="shared" si="0"/>
        <v>0</v>
      </c>
      <c r="K27" s="271"/>
      <c r="L27" s="243">
        <f t="shared" si="1"/>
        <v>0</v>
      </c>
      <c r="M27" s="213"/>
      <c r="N27" s="272">
        <f t="shared" si="2"/>
        <v>0</v>
      </c>
      <c r="O27" s="273"/>
      <c r="P27" s="248">
        <f>COUNTIF(Tableau35307[[#This Row],[Dévers en tête après travail]],Tableau35307[[#This Row],[Dévers en tête après travail]])</f>
        <v>0</v>
      </c>
      <c r="Q27" s="249"/>
      <c r="R27" s="164">
        <v>4</v>
      </c>
      <c r="S27" s="274"/>
      <c r="T27" s="276">
        <f>COUNTIF(Tableau3530333[[#This Row],[cotation]:[Dalle en moulinettte à vue]],Tableau3530333[[#This Row],[Dalle en moulinettte à vue]])</f>
        <v>0</v>
      </c>
      <c r="U27" s="275"/>
      <c r="V27" s="276">
        <f>COUNTIF(U27,Tableau3530333[[#This Row],[Dalle en moulinette en travail]])</f>
        <v>0</v>
      </c>
      <c r="W27" s="277"/>
      <c r="X27" s="276">
        <f t="shared" si="8"/>
        <v>0</v>
      </c>
      <c r="Y27" s="278"/>
      <c r="Z27" s="276">
        <f t="shared" si="3"/>
        <v>0</v>
      </c>
      <c r="AA27" s="279"/>
      <c r="AB27" s="280">
        <f t="shared" si="4"/>
        <v>0</v>
      </c>
      <c r="AC27" s="281"/>
      <c r="AD27" s="258">
        <f>COUNTIF(Tableau3530333[[#This Row],[Dalle en tête après travail]],Tableau3530333[[#This Row],[Dalle en tête après travail]])</f>
        <v>0</v>
      </c>
      <c r="AE27" s="314"/>
      <c r="AF27" s="164">
        <v>4</v>
      </c>
      <c r="AG27" s="282"/>
      <c r="AH27" s="284">
        <f>COUNTIF(Tableau3530344[[#This Row],[cotation]:[Mur droit en moulinette à vue]],Tableau3530344[[#This Row],[Mur droit en moulinette à vue]])</f>
        <v>0</v>
      </c>
      <c r="AI27" s="283"/>
      <c r="AJ27" s="284">
        <f>COUNTIF(AI27,Tableau3530344[[#This Row],[Mur droit en moul. en travail]])</f>
        <v>0</v>
      </c>
      <c r="AK27" s="285"/>
      <c r="AL27" s="284">
        <f t="shared" si="5"/>
        <v>0</v>
      </c>
      <c r="AM27" s="286"/>
      <c r="AN27" s="284">
        <f t="shared" si="6"/>
        <v>0</v>
      </c>
      <c r="AO27" s="287"/>
      <c r="AP27" s="288">
        <f t="shared" si="7"/>
        <v>0</v>
      </c>
      <c r="AQ27" s="289"/>
      <c r="AR27" s="5">
        <f>COUNTIF(Tableau3530344[[#This Row],[Mur droit en tête après travail]],Tableau3530344[[#This Row],[Mur droit en tête après travail]])</f>
        <v>0</v>
      </c>
      <c r="AU27" s="165" t="s">
        <v>82</v>
      </c>
      <c r="AV27" s="6">
        <f>IF(ISERROR(SMALL((AV33:AV38),1)),"-",SMALL((AV33:AV38),1))</f>
        <v>21</v>
      </c>
      <c r="BA27" t="s">
        <v>20</v>
      </c>
      <c r="BB27">
        <f t="shared" si="10"/>
        <v>1639.8978063355798</v>
      </c>
      <c r="BC27">
        <f>SUM(E5,G5,I5,K5,M5,O5,S5,U5,W5,Y5,AA5,AC5,AG5,AI5,AK5,AM5,AO5,AQ5)</f>
        <v>0</v>
      </c>
      <c r="BD27">
        <f t="shared" si="9"/>
        <v>0</v>
      </c>
    </row>
    <row r="28" spans="1:56" ht="25.5" thickTop="1" thickBot="1" x14ac:dyDescent="0.5">
      <c r="A28" s="10"/>
      <c r="B28" s="10"/>
      <c r="C28" s="10"/>
      <c r="D28" s="223"/>
      <c r="E28" s="214"/>
      <c r="F28" s="215" t="str">
        <f>IF(ISERROR(MATCH(1,Tableau35307[Colonne1],0)),"-",MATCH(1,Tableau35307[Colonne1],0))</f>
        <v>-</v>
      </c>
      <c r="G28" s="224"/>
      <c r="H28" s="225"/>
      <c r="I28" s="226"/>
      <c r="J28" s="215" t="str">
        <f>IF(ISERROR(MATCH(1,Tableau35307[perf DEMAT],0)),"-",MATCH(1,Tableau35307[perf DEMAT],0))</f>
        <v>-</v>
      </c>
      <c r="K28" s="215"/>
      <c r="L28" s="215">
        <f>IF(ISERROR(MATCH(1,Tableau35307[perf DeTAV],0)),"-",MATCH(1,Tableau35307[perf DeTAV],0))</f>
        <v>20</v>
      </c>
      <c r="M28" s="227"/>
      <c r="N28" s="215">
        <f>IF(ISERROR(MATCH(1,Tableau35307[Colonne3],0)),"-",MATCH(1,Tableau35307[Colonne3],0))</f>
        <v>9</v>
      </c>
      <c r="O28" s="228"/>
      <c r="P28" s="229">
        <f>IF(ISERROR(MATCH(1,Tableau35307[perf DeTAT],0)),"-",MATCH(1,Tableau35307[perf DeTAT],0))</f>
        <v>10</v>
      </c>
      <c r="Q28" s="230"/>
      <c r="R28" s="223"/>
      <c r="S28" s="216"/>
      <c r="T28" s="231">
        <f>IF(ISERROR(MATCH(1,Tableau3530333[.],0)),"-",MATCH(1,Tableau3530333[.],0))</f>
        <v>21</v>
      </c>
      <c r="U28" s="217"/>
      <c r="V28" s="231" t="str">
        <f>IF(ISERROR(MATCH(1,Tableau3530333[perf DaMET],0)),"-",MATCH(1,Tableau3530333[perf DaMET],0))</f>
        <v>-</v>
      </c>
      <c r="W28" s="218"/>
      <c r="X28" s="231" t="str">
        <f>IF(ISERROR(MATCH(1,Tableau3530333[,],0)),"-",MATCH(1,Tableau3530333[,],0))</f>
        <v>-</v>
      </c>
      <c r="Y28" s="219"/>
      <c r="Z28" s="231" t="str">
        <f>IF(ISERROR(MATCH(1,Tableau3530333[perf DaTAV],0)),"-",MATCH(1,Tableau3530333[perf DaTAV],0))</f>
        <v>-</v>
      </c>
      <c r="AA28" s="220"/>
      <c r="AB28" s="231" t="str">
        <f>IF(ISERROR(MATCH(1,Tableau3530333[perf DaTET],0)),"-",MATCH(1,Tableau3530333[perf DaTET],0))</f>
        <v>-</v>
      </c>
      <c r="AC28" s="232" t="str">
        <f>IF(ISERROR(MATCH(1,Tableau3530333[Dalle en tête après travail],0)),"-",MATCH(1,Tableau3530333[Dalle en tête après travail],0))</f>
        <v>-</v>
      </c>
      <c r="AD28" s="230" t="str">
        <f>IF(ISERROR(MATCH(1,Tableau3530333[Colonne1],0)),"-",MATCH(1,Tableau3530333[Colonne1],0))</f>
        <v>-</v>
      </c>
      <c r="AE28" s="212"/>
      <c r="AF28" s="233"/>
      <c r="AG28" s="221"/>
      <c r="AH28" s="222" t="str">
        <f>IF(ISERROR(MATCH(1,Tableau3530344[perf MdMAV],0)),"-",MATCH(1,Tableau3530344[perf MdMAV],0))</f>
        <v>-</v>
      </c>
      <c r="AI28" s="234"/>
      <c r="AJ28" s="222" t="str">
        <f>IF(ISERROR(MATCH(1,Tableau3530344[perf MdMET],0)),"-",MATCH(1,Tableau3530344[perf MdMET],0))</f>
        <v>-</v>
      </c>
      <c r="AK28" s="235"/>
      <c r="AL28" s="222" t="str">
        <f>IF(ISERROR(MATCH(1,Tableau3530344[perf MdMAT],0)),"-",MATCH(1,Tableau3530344[perf MdMAT],0))</f>
        <v>-</v>
      </c>
      <c r="AM28" s="236"/>
      <c r="AN28" s="222" t="str">
        <f>IF(ISERROR(MATCH(1,Tableau3530344[perf MdTAV],0)),"-",MATCH(1,Tableau3530344[perf MdTAV],0))</f>
        <v>-</v>
      </c>
      <c r="AO28" s="237"/>
      <c r="AP28" s="222" t="str">
        <f>IF(ISERROR(MATCH(1,Tableau3530344[perf MdTET],0)),"-",MATCH(1,Tableau3530344[perf MdTET],0))</f>
        <v>-</v>
      </c>
      <c r="AQ28" s="238"/>
      <c r="AR28" s="2" t="str">
        <f>IF(ISERROR(MATCH(1,Tableau3530344[perf MdTAT],0)),"-",MATCH(1,Tableau3530344[perf MdTAT],0))</f>
        <v>-</v>
      </c>
      <c r="AU28" s="165" t="s">
        <v>83</v>
      </c>
      <c r="AV28" s="6" t="str">
        <f>IF(ISERROR(SMALL(AV36:AV38,1)),"-",SMALL(AV36:AV38,1))</f>
        <v>-</v>
      </c>
      <c r="BA28" t="s">
        <v>19</v>
      </c>
      <c r="BB28">
        <f t="shared" si="10"/>
        <v>2295.8569288698118</v>
      </c>
      <c r="BC28">
        <f>SUM(E4,G4,I4,K4,M4,O4,S4,U4,W4,Y4,AA4,AC4,AG4,AI4,AK4,AM4,AO4,AQ4)</f>
        <v>0</v>
      </c>
      <c r="BD28">
        <f t="shared" si="9"/>
        <v>0</v>
      </c>
    </row>
    <row r="29" spans="1:56" ht="19.5" thickTop="1" thickBot="1" x14ac:dyDescent="0.4">
      <c r="AU29" s="165" t="s">
        <v>84</v>
      </c>
      <c r="AV29" s="6">
        <f>IF(ISERROR(SMALL(AV33:AV35,1)),"-",SMALL(AV33:AV35,1))</f>
        <v>21</v>
      </c>
      <c r="BA29" t="s">
        <v>18</v>
      </c>
      <c r="BB29">
        <f t="shared" si="10"/>
        <v>3214.1997004177365</v>
      </c>
      <c r="BC29">
        <f>SUM(E3,G3,I3,K3,M3,O3,S3,U3,W3,Y3,AA3,AC3,AG3,AI3,AK3,AM3,AO3,AQ3)</f>
        <v>0</v>
      </c>
      <c r="BD29">
        <f t="shared" si="9"/>
        <v>0</v>
      </c>
    </row>
    <row r="30" spans="1:56" ht="19.5" thickTop="1" thickBot="1" x14ac:dyDescent="0.4">
      <c r="AU30" s="165" t="s">
        <v>85</v>
      </c>
      <c r="AV30" s="6">
        <f>IF(ISERROR(SMALL((AV33,AV36),1)),"-",SMALL((AV33,AV36),1))</f>
        <v>21</v>
      </c>
      <c r="BA30" t="s">
        <v>17</v>
      </c>
      <c r="BB30">
        <f t="shared" si="10"/>
        <v>4499.8795805848304</v>
      </c>
      <c r="BC30">
        <f>SUM(E2,G2,I2,K2,M2,O2,S2,U2,W2,Y2,AA2,AC2,AG2,AI2,AK2,AM2,AO2,AQ2)</f>
        <v>0</v>
      </c>
      <c r="BD30">
        <f t="shared" si="9"/>
        <v>0</v>
      </c>
    </row>
    <row r="31" spans="1:56" ht="19.5" thickTop="1" thickBot="1" x14ac:dyDescent="0.4">
      <c r="AU31" s="165" t="s">
        <v>86</v>
      </c>
      <c r="AV31" s="6" t="str">
        <f>IF(ISERROR(SMALL((AV34,AV37),1)),"-",SMALL((AV34,AV37),1))</f>
        <v>-</v>
      </c>
      <c r="BA31" s="165" t="s">
        <v>95</v>
      </c>
      <c r="BB31" s="165"/>
      <c r="BC31" s="165"/>
      <c r="BD31">
        <f>SUM(BD5:BD30)</f>
        <v>869.35542018059982</v>
      </c>
    </row>
    <row r="32" spans="1:56" ht="18.75" thickTop="1" x14ac:dyDescent="0.35">
      <c r="AU32" s="165" t="s">
        <v>87</v>
      </c>
      <c r="AV32" s="6" t="str">
        <f>IF(ISERROR(SMALL((AV35,AV47),1)),"-",SMALL((AV35,AV47),1))</f>
        <v>-</v>
      </c>
    </row>
    <row r="33" spans="47:48" ht="16.5" x14ac:dyDescent="0.3">
      <c r="AU33" s="165" t="s">
        <v>50</v>
      </c>
      <c r="AV33" s="10">
        <f>IF(ISERROR(MATCH(1,Tableau3530333[.],0)),"-",MATCH(1,Tableau3530333[.],0))</f>
        <v>21</v>
      </c>
    </row>
    <row r="34" spans="47:48" ht="16.5" x14ac:dyDescent="0.3">
      <c r="AU34" s="165" t="s">
        <v>51</v>
      </c>
      <c r="AV34" s="10" t="str">
        <f>IF(ISERROR(MATCH(1,Tableau3530333[perf DaMET],0)),"-",MATCH(1,Tableau3530333[perf DaMET],0))</f>
        <v>-</v>
      </c>
    </row>
    <row r="35" spans="47:48" ht="16.5" x14ac:dyDescent="0.3">
      <c r="AU35" s="165" t="s">
        <v>52</v>
      </c>
      <c r="AV35" s="10" t="str">
        <f>IF(ISERROR(MATCH(1,Tableau3530333[,],0)),"-",MATCH(1,Tableau3530333[,],0))</f>
        <v>-</v>
      </c>
    </row>
    <row r="36" spans="47:48" ht="16.5" x14ac:dyDescent="0.3">
      <c r="AU36" s="165" t="s">
        <v>53</v>
      </c>
      <c r="AV36" s="10" t="str">
        <f>IF(ISERROR(MATCH(1,Tableau3530333[perf DaTAV],0)),"-",MATCH(1,Tableau3530333[perf DaTAV],0))</f>
        <v>-</v>
      </c>
    </row>
    <row r="37" spans="47:48" ht="16.5" x14ac:dyDescent="0.3">
      <c r="AU37" s="165" t="s">
        <v>54</v>
      </c>
      <c r="AV37" s="10" t="str">
        <f>IF(ISERROR(MATCH(1,Tableau3530333[perf DaTET],0)),"-",MATCH(1,Tableau3530333[perf DaTET],0))</f>
        <v>-</v>
      </c>
    </row>
    <row r="38" spans="47:48" ht="17.25" thickBot="1" x14ac:dyDescent="0.35">
      <c r="AU38" s="165" t="s">
        <v>55</v>
      </c>
      <c r="AV38" s="10" t="str">
        <f>IF(ISERROR(MATCH(1,Tableau3530333[Colonne1],0)),"-",MATCH(1,Tableau3530333[Colonne1],0))</f>
        <v>-</v>
      </c>
    </row>
    <row r="39" spans="47:48" ht="19.5" thickTop="1" thickBot="1" x14ac:dyDescent="0.4">
      <c r="AU39" s="165" t="s">
        <v>88</v>
      </c>
      <c r="AV39" s="6" t="str">
        <f>IF(ISERROR(SMALL(AV45:AV50,1)),"-",SMALL(AV45:AV50,1))</f>
        <v>-</v>
      </c>
    </row>
    <row r="40" spans="47:48" ht="19.5" thickTop="1" thickBot="1" x14ac:dyDescent="0.4">
      <c r="AU40" s="165" t="s">
        <v>89</v>
      </c>
      <c r="AV40" s="6" t="str">
        <f>IF(ISERROR(SMALL(AV48:AV50,1)),"-",SMALL(AV48:AV50,1))</f>
        <v>-</v>
      </c>
    </row>
    <row r="41" spans="47:48" ht="19.5" thickTop="1" thickBot="1" x14ac:dyDescent="0.4">
      <c r="AU41" s="165" t="s">
        <v>90</v>
      </c>
      <c r="AV41" s="6" t="str">
        <f>IF(ISERROR(SMALL(AV45:AV47,1)),"-",SMALL(AV45:AV47,1))</f>
        <v>-</v>
      </c>
    </row>
    <row r="42" spans="47:48" ht="19.5" thickTop="1" thickBot="1" x14ac:dyDescent="0.4">
      <c r="AU42" s="165" t="s">
        <v>91</v>
      </c>
      <c r="AV42" s="6" t="str">
        <f>IF(ISERROR(SMALL((AV45,AV48),1)),"-",SMALL((AV45,AV48),1))</f>
        <v>-</v>
      </c>
    </row>
    <row r="43" spans="47:48" ht="19.5" thickTop="1" thickBot="1" x14ac:dyDescent="0.4">
      <c r="AU43" s="165" t="s">
        <v>92</v>
      </c>
      <c r="AV43" s="6" t="str">
        <f>IF(ISERROR(SMALL((AV46,AV49),1)),"-",SMALL((AV46,AV49),1))</f>
        <v>-</v>
      </c>
    </row>
    <row r="44" spans="47:48" ht="18.75" thickTop="1" x14ac:dyDescent="0.35">
      <c r="AU44" s="165" t="s">
        <v>93</v>
      </c>
      <c r="AV44" s="6" t="str">
        <f>IF(ISERROR(SMALL((AV47,AV50),1)),"-",SMALL((AV47,AV50),1))</f>
        <v>-</v>
      </c>
    </row>
    <row r="45" spans="47:48" ht="16.5" x14ac:dyDescent="0.3">
      <c r="AU45" s="165" t="s">
        <v>56</v>
      </c>
      <c r="AV45" s="8" t="str">
        <f>IF(ISERROR(MATCH(1,Tableau3530344[perf MdMAV],0)),"-",MATCH(1,Tableau3530344[perf MdMAV],0))</f>
        <v>-</v>
      </c>
    </row>
    <row r="46" spans="47:48" ht="16.5" x14ac:dyDescent="0.3">
      <c r="AU46" s="165" t="s">
        <v>57</v>
      </c>
      <c r="AV46" s="8" t="str">
        <f>IF(ISERROR(MATCH(1,Tableau3530344[perf MdMET],0)),"-",MATCH(1,Tableau3530344[perf MdMET],0))</f>
        <v>-</v>
      </c>
    </row>
    <row r="47" spans="47:48" ht="16.5" x14ac:dyDescent="0.3">
      <c r="AU47" s="165" t="s">
        <v>58</v>
      </c>
      <c r="AV47" s="8" t="str">
        <f>IF(ISERROR(MATCH(1,Tableau3530344[perf MdMAT],0)),"-",MATCH(1,Tableau3530344[perf MdMAT],0))</f>
        <v>-</v>
      </c>
    </row>
    <row r="48" spans="47:48" ht="16.5" x14ac:dyDescent="0.3">
      <c r="AU48" s="165" t="s">
        <v>59</v>
      </c>
      <c r="AV48" s="8" t="str">
        <f>IF(ISERROR(MATCH(1,Tableau3530344[perf MdTAV],0)),"-",MATCH(1,Tableau3530344[perf MdTAV],0))</f>
        <v>-</v>
      </c>
    </row>
    <row r="49" spans="47:48" ht="16.5" x14ac:dyDescent="0.3">
      <c r="AU49" s="165" t="s">
        <v>60</v>
      </c>
      <c r="AV49" s="8" t="str">
        <f>IF(ISERROR(MATCH(1,Tableau3530344[perf MdTET],0)),"-",MATCH(1,Tableau3530344[perf MdTET],0))</f>
        <v>-</v>
      </c>
    </row>
    <row r="50" spans="47:48" ht="16.5" x14ac:dyDescent="0.3">
      <c r="AU50" s="165" t="s">
        <v>61</v>
      </c>
      <c r="AV50" s="8" t="str">
        <f>IF(ISERROR(MATCH(1,Tableau3530344[perf MdTAT],0)),"-",MATCH(1,Tableau3530344[perf MdTAT],0))</f>
        <v>-</v>
      </c>
    </row>
    <row r="51" spans="47:48" x14ac:dyDescent="0.25">
      <c r="AU51" s="11" t="s">
        <v>63</v>
      </c>
      <c r="AV51" s="12">
        <f>SUM(E2:E27,G2:G27,I2:I27,K2:K27,M2:M27,O2:O27,S2:S27,U2:U27,W2:W27,Y2:Y27,AA2:AA27,AC2:AC27,AG2:AG27,AI2:AI27,AK2:AK27,AM2:AM27,AO2:AO27,AQ2:AQ27)</f>
        <v>12</v>
      </c>
    </row>
    <row r="52" spans="47:48" x14ac:dyDescent="0.25">
      <c r="AU52" s="11" t="s">
        <v>98</v>
      </c>
      <c r="AV52">
        <f>SUM(BD5:BD30)</f>
        <v>869.35542018059982</v>
      </c>
    </row>
  </sheetData>
  <pageMargins left="0.7" right="0.7" top="0.75" bottom="0.75" header="0.3" footer="0.3"/>
  <pageSetup paperSize="9" orientation="portrait" r:id="rId1"/>
  <drawing r:id="rId2"/>
  <legacyDrawing r:id="rId3"/>
  <tableParts count="5">
    <tablePart r:id="rId4"/>
    <tablePart r:id="rId5"/>
    <tablePart r:id="rId6"/>
    <tablePart r:id="rId7"/>
    <tablePart r:id="rId8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BD53"/>
  <sheetViews>
    <sheetView showGridLines="0" topLeftCell="A25" zoomScale="70" zoomScaleNormal="70" workbookViewId="0">
      <selection activeCell="B2" sqref="B2"/>
    </sheetView>
  </sheetViews>
  <sheetFormatPr baseColWidth="10" defaultRowHeight="15" x14ac:dyDescent="0.25"/>
  <cols>
    <col min="1" max="1" width="11.42578125" customWidth="1"/>
    <col min="2" max="3" width="11.5703125" customWidth="1"/>
    <col min="4" max="4" width="13.42578125" bestFit="1" customWidth="1"/>
    <col min="5" max="5" width="10.28515625" customWidth="1"/>
    <col min="6" max="6" width="15.5703125" customWidth="1"/>
    <col min="7" max="8" width="12.140625" customWidth="1"/>
    <col min="9" max="9" width="13" customWidth="1"/>
    <col min="10" max="10" width="12.85546875" customWidth="1"/>
    <col min="11" max="11" width="12.85546875" bestFit="1" customWidth="1"/>
    <col min="12" max="12" width="12.85546875" customWidth="1"/>
    <col min="13" max="13" width="11.5703125" customWidth="1"/>
    <col min="14" max="14" width="0.140625" customWidth="1"/>
    <col min="15" max="15" width="12.7109375" customWidth="1"/>
    <col min="16" max="16" width="20.5703125" customWidth="1"/>
    <col min="17" max="17" width="12.5703125" customWidth="1"/>
    <col min="18" max="18" width="12.85546875" bestFit="1" customWidth="1"/>
    <col min="19" max="19" width="12.85546875" customWidth="1"/>
    <col min="20" max="20" width="0.140625" customWidth="1"/>
    <col min="21" max="21" width="12.7109375" customWidth="1"/>
    <col min="22" max="22" width="12.85546875" customWidth="1"/>
    <col min="23" max="23" width="12.85546875" bestFit="1" customWidth="1"/>
    <col min="24" max="24" width="0.140625" customWidth="1"/>
    <col min="25" max="25" width="12.7109375" customWidth="1"/>
    <col min="26" max="28" width="12.85546875" customWidth="1"/>
    <col min="29" max="29" width="12.85546875" bestFit="1" customWidth="1"/>
    <col min="30" max="30" width="0.140625" customWidth="1"/>
    <col min="31" max="31" width="11.42578125" customWidth="1"/>
    <col min="32" max="32" width="14.42578125" bestFit="1" customWidth="1"/>
    <col min="33" max="36" width="12.85546875" customWidth="1"/>
    <col min="37" max="37" width="12.42578125" customWidth="1"/>
    <col min="38" max="38" width="12.85546875" customWidth="1"/>
    <col min="39" max="39" width="11.7109375" customWidth="1"/>
    <col min="40" max="40" width="20.28515625" customWidth="1"/>
    <col min="41" max="41" width="12.28515625" customWidth="1"/>
    <col min="42" max="42" width="20.28515625" customWidth="1"/>
    <col min="43" max="43" width="12.28515625" customWidth="1"/>
    <col min="44" max="44" width="20.28515625" customWidth="1"/>
    <col min="46" max="46" width="28.85546875" customWidth="1"/>
    <col min="47" max="47" width="38.5703125" bestFit="1" customWidth="1"/>
    <col min="48" max="48" width="11.5703125" customWidth="1"/>
    <col min="53" max="53" width="20.5703125" customWidth="1"/>
    <col min="54" max="54" width="13.85546875" customWidth="1"/>
    <col min="55" max="56" width="14.28515625" customWidth="1"/>
  </cols>
  <sheetData>
    <row r="1" spans="1:56" ht="38.25" customHeight="1" x14ac:dyDescent="0.25"/>
    <row r="2" spans="1:56" s="17" customFormat="1" ht="234" customHeight="1" x14ac:dyDescent="0.25">
      <c r="A2" s="24" t="s">
        <v>9</v>
      </c>
      <c r="B2" s="25" t="s">
        <v>10</v>
      </c>
      <c r="C2" s="25" t="s">
        <v>11</v>
      </c>
      <c r="D2" s="22" t="s">
        <v>12</v>
      </c>
      <c r="E2" s="136" t="s">
        <v>14</v>
      </c>
      <c r="F2" s="132" t="s">
        <v>62</v>
      </c>
      <c r="G2" s="137" t="s">
        <v>35</v>
      </c>
      <c r="H2" s="133" t="s">
        <v>64</v>
      </c>
      <c r="I2" s="138" t="s">
        <v>36</v>
      </c>
      <c r="J2" s="132" t="s">
        <v>101</v>
      </c>
      <c r="K2" s="153" t="s">
        <v>16</v>
      </c>
      <c r="L2" s="132" t="s">
        <v>102</v>
      </c>
      <c r="M2" s="152" t="s">
        <v>37</v>
      </c>
      <c r="N2" s="132" t="s">
        <v>96</v>
      </c>
      <c r="O2" s="151" t="s">
        <v>115</v>
      </c>
      <c r="P2" s="25" t="s">
        <v>103</v>
      </c>
      <c r="Q2" s="16"/>
      <c r="R2" s="22" t="s">
        <v>12</v>
      </c>
      <c r="S2" s="139" t="s">
        <v>38</v>
      </c>
      <c r="T2" s="134" t="s">
        <v>113</v>
      </c>
      <c r="U2" s="140" t="s">
        <v>39</v>
      </c>
      <c r="V2" s="134" t="s">
        <v>104</v>
      </c>
      <c r="W2" s="141" t="s">
        <v>40</v>
      </c>
      <c r="X2" s="134" t="s">
        <v>114</v>
      </c>
      <c r="Y2" s="142" t="s">
        <v>41</v>
      </c>
      <c r="Z2" s="134" t="s">
        <v>112</v>
      </c>
      <c r="AA2" s="143" t="s">
        <v>42</v>
      </c>
      <c r="AB2" s="134" t="s">
        <v>105</v>
      </c>
      <c r="AC2" s="144" t="s">
        <v>43</v>
      </c>
      <c r="AD2" s="15" t="s">
        <v>62</v>
      </c>
      <c r="AF2" s="22" t="s">
        <v>12</v>
      </c>
      <c r="AG2" s="145" t="s">
        <v>31</v>
      </c>
      <c r="AH2" s="134" t="s">
        <v>111</v>
      </c>
      <c r="AI2" s="146" t="s">
        <v>100</v>
      </c>
      <c r="AJ2" s="134" t="s">
        <v>106</v>
      </c>
      <c r="AK2" s="147" t="s">
        <v>99</v>
      </c>
      <c r="AL2" s="134" t="s">
        <v>107</v>
      </c>
      <c r="AM2" s="148" t="s">
        <v>32</v>
      </c>
      <c r="AN2" s="134" t="s">
        <v>108</v>
      </c>
      <c r="AO2" s="149" t="s">
        <v>33</v>
      </c>
      <c r="AP2" s="135" t="s">
        <v>109</v>
      </c>
      <c r="AQ2" s="150" t="s">
        <v>34</v>
      </c>
      <c r="AR2" s="15" t="s">
        <v>110</v>
      </c>
    </row>
    <row r="3" spans="1:56" ht="24.75" x14ac:dyDescent="0.5">
      <c r="A3" s="26">
        <v>41672</v>
      </c>
      <c r="B3" s="27"/>
      <c r="C3" s="27"/>
      <c r="D3" s="32" t="s">
        <v>17</v>
      </c>
      <c r="E3" s="69"/>
      <c r="F3" s="57">
        <f>COUNTIF(Tableau3530[[#This Row],[cotation]:[Dévers en moulinette à vue]],Tableau3530[[#This Row],[Dévers en moulinette à vue]])</f>
        <v>0</v>
      </c>
      <c r="G3" s="154"/>
      <c r="H3" s="58"/>
      <c r="I3" s="73"/>
      <c r="J3" s="57">
        <f t="shared" ref="J3:J13" si="0">COUNTIF(I3,I3)</f>
        <v>0</v>
      </c>
      <c r="K3" s="56"/>
      <c r="L3" s="57">
        <f t="shared" ref="L3:L13" si="1">COUNTIF(K3,K3)</f>
        <v>0</v>
      </c>
      <c r="M3" s="78"/>
      <c r="N3" s="59">
        <f t="shared" ref="N3:N13" si="2">COUNTIF(M3,M3)</f>
        <v>0</v>
      </c>
      <c r="O3" s="84"/>
      <c r="P3" s="28">
        <f>COUNTIF(Tableau3530[[#This Row],[Dévers en tête après travail]],Tableau3530[[#This Row],[Dévers en tête après travail]])</f>
        <v>0</v>
      </c>
      <c r="Q3" s="7"/>
      <c r="R3" s="32" t="s">
        <v>17</v>
      </c>
      <c r="S3" s="88"/>
      <c r="T3" s="36">
        <f>COUNTIF(Tableau353033[[#This Row],[cotation]:[Dalle en moulinettte à vue]],Tableau353033[[#This Row],[Dalle en moulinettte à vue]])</f>
        <v>0</v>
      </c>
      <c r="U3" s="92"/>
      <c r="V3" s="36">
        <f>COUNTIF(U3,Tableau353033[[#This Row],[Dalle en moulinette en travail]])</f>
        <v>0</v>
      </c>
      <c r="W3" s="96"/>
      <c r="X3" s="36"/>
      <c r="Y3" s="100"/>
      <c r="Z3" s="36">
        <f t="shared" ref="Z3:Z13" si="3">COUNTIF(Y3,Y3)</f>
        <v>0</v>
      </c>
      <c r="AA3" s="104"/>
      <c r="AB3" s="37">
        <f t="shared" ref="AB3:AB13" si="4">COUNTIF(AA3,AA3)</f>
        <v>0</v>
      </c>
      <c r="AC3" s="108"/>
      <c r="AD3" s="5">
        <f>COUNTIF(Tableau353033[[#This Row],[Dalle en tête après travail]],Tableau353033[[#This Row],[Dalle en tête après travail]])</f>
        <v>0</v>
      </c>
      <c r="AF3" s="18" t="s">
        <v>17</v>
      </c>
      <c r="AG3" s="112"/>
      <c r="AH3" s="46">
        <f>COUNTIF(Tableau353034[[#This Row],[cotation]:[Mur droit en moulinette à vue]],Tableau353034[[#This Row],[Mur droit en moulinette à vue]])</f>
        <v>0</v>
      </c>
      <c r="AI3" s="116"/>
      <c r="AJ3" s="46">
        <f>COUNTIF(AI3,Tableau353034[[#This Row],[Mur droit en moul. en travail]])</f>
        <v>0</v>
      </c>
      <c r="AK3" s="120"/>
      <c r="AL3" s="46">
        <f t="shared" ref="AL3:AL13" si="5">COUNTIF(AK3,AK3)</f>
        <v>0</v>
      </c>
      <c r="AM3" s="45"/>
      <c r="AN3" s="46">
        <f t="shared" ref="AN3:AN13" si="6">COUNTIF(AM3,AM3)</f>
        <v>0</v>
      </c>
      <c r="AO3" s="124"/>
      <c r="AP3" s="47">
        <f t="shared" ref="AP3:AP28" si="7">COUNTIF(AO3,AO3)</f>
        <v>0</v>
      </c>
      <c r="AQ3" s="128"/>
      <c r="AR3" s="5">
        <f>COUNTIF(Tableau353034[[#This Row],[Mur droit en tête après travail]],Tableau353034[[#This Row],[Mur droit en tête après travail]])</f>
        <v>0</v>
      </c>
    </row>
    <row r="4" spans="1:56" ht="25.5" thickBot="1" x14ac:dyDescent="0.55000000000000004">
      <c r="A4" s="29"/>
      <c r="B4" s="29"/>
      <c r="C4" s="29"/>
      <c r="D4" s="33" t="s">
        <v>18</v>
      </c>
      <c r="E4" s="70"/>
      <c r="F4" s="57">
        <f>COUNTIF(Tableau3530[[#This Row],[cotation]:[Dévers en moulinette à vue]],Tableau3530[[#This Row],[Dévers en moulinette à vue]])</f>
        <v>0</v>
      </c>
      <c r="G4" s="155"/>
      <c r="H4" s="58"/>
      <c r="I4" s="74"/>
      <c r="J4" s="58">
        <f t="shared" si="0"/>
        <v>0</v>
      </c>
      <c r="K4" s="60"/>
      <c r="L4" s="58">
        <f t="shared" si="1"/>
        <v>0</v>
      </c>
      <c r="M4" s="79"/>
      <c r="N4" s="61">
        <f t="shared" si="2"/>
        <v>0</v>
      </c>
      <c r="O4" s="85"/>
      <c r="P4" s="28">
        <f>COUNTIF(Tableau3530[[#This Row],[Dévers en tête après travail]],Tableau3530[[#This Row],[Dévers en tête après travail]])</f>
        <v>0</v>
      </c>
      <c r="Q4" s="7"/>
      <c r="R4" s="33" t="s">
        <v>18</v>
      </c>
      <c r="S4" s="89"/>
      <c r="T4" s="36">
        <f>COUNTIF(Tableau353033[[#This Row],[cotation]:[Dalle en moulinettte à vue]],Tableau353033[[#This Row],[Dalle en moulinettte à vue]])</f>
        <v>0</v>
      </c>
      <c r="U4" s="93"/>
      <c r="V4" s="38">
        <f>COUNTIF(U4,Tableau353033[[#This Row],[Dalle en moulinette en travail]])</f>
        <v>0</v>
      </c>
      <c r="W4" s="97"/>
      <c r="X4" s="38">
        <f t="shared" ref="X4:X13" si="8">COUNTIF(W4,W4)</f>
        <v>0</v>
      </c>
      <c r="Y4" s="101"/>
      <c r="Z4" s="38">
        <f t="shared" si="3"/>
        <v>0</v>
      </c>
      <c r="AA4" s="105"/>
      <c r="AB4" s="39">
        <f t="shared" si="4"/>
        <v>0</v>
      </c>
      <c r="AC4" s="109"/>
      <c r="AD4" s="5">
        <f>COUNTIF(Tableau353033[[#This Row],[Dalle en tête après travail]],Tableau353033[[#This Row],[Dalle en tête après travail]])</f>
        <v>0</v>
      </c>
      <c r="AF4" s="19" t="s">
        <v>18</v>
      </c>
      <c r="AG4" s="113"/>
      <c r="AH4" s="46">
        <f>COUNTIF(Tableau353034[[#This Row],[cotation]:[Mur droit en moulinette à vue]],Tableau353034[[#This Row],[Mur droit en moulinette à vue]])</f>
        <v>0</v>
      </c>
      <c r="AI4" s="117"/>
      <c r="AJ4" s="49">
        <f>COUNTIF(AI4,Tableau353034[[#This Row],[Mur droit en moul. en travail]])</f>
        <v>0</v>
      </c>
      <c r="AK4" s="121"/>
      <c r="AL4" s="49">
        <f t="shared" si="5"/>
        <v>0</v>
      </c>
      <c r="AM4" s="48"/>
      <c r="AN4" s="49">
        <f t="shared" si="6"/>
        <v>0</v>
      </c>
      <c r="AO4" s="125"/>
      <c r="AP4" s="50">
        <f t="shared" si="7"/>
        <v>0</v>
      </c>
      <c r="AQ4" s="129"/>
      <c r="AR4" s="5">
        <f>COUNTIF(Tableau353034[[#This Row],[Mur droit en tête après travail]],Tableau353034[[#This Row],[Mur droit en tête après travail]])</f>
        <v>0</v>
      </c>
      <c r="AU4" s="13" t="s">
        <v>97</v>
      </c>
      <c r="AV4" s="4" t="s">
        <v>62</v>
      </c>
    </row>
    <row r="5" spans="1:56" ht="26.25" thickTop="1" thickBot="1" x14ac:dyDescent="0.55000000000000004">
      <c r="A5" s="27"/>
      <c r="B5" s="27"/>
      <c r="C5" s="27"/>
      <c r="D5" s="32" t="s">
        <v>19</v>
      </c>
      <c r="E5" s="69"/>
      <c r="F5" s="57">
        <f>COUNTIF(Tableau3530[[#This Row],[cotation]:[Dévers en moulinette à vue]],Tableau3530[[#This Row],[Dévers en moulinette à vue]])</f>
        <v>0</v>
      </c>
      <c r="G5" s="156"/>
      <c r="H5" s="58"/>
      <c r="I5" s="73"/>
      <c r="J5" s="57">
        <f t="shared" si="0"/>
        <v>0</v>
      </c>
      <c r="K5" s="56"/>
      <c r="L5" s="57">
        <f t="shared" si="1"/>
        <v>0</v>
      </c>
      <c r="M5" s="78"/>
      <c r="N5" s="59">
        <f t="shared" si="2"/>
        <v>0</v>
      </c>
      <c r="O5" s="84"/>
      <c r="P5" s="28">
        <f>COUNTIF(Tableau3530[[#This Row],[Dévers en tête après travail]],Tableau3530[[#This Row],[Dévers en tête après travail]])</f>
        <v>0</v>
      </c>
      <c r="Q5" s="7"/>
      <c r="R5" s="32" t="s">
        <v>19</v>
      </c>
      <c r="S5" s="88"/>
      <c r="T5" s="36">
        <f>COUNTIF(Tableau353033[[#This Row],[cotation]:[Dalle en moulinettte à vue]],Tableau353033[[#This Row],[Dalle en moulinettte à vue]])</f>
        <v>0</v>
      </c>
      <c r="U5" s="92"/>
      <c r="V5" s="36">
        <f>COUNTIF(U5,Tableau353033[[#This Row],[Dalle en moulinette en travail]])</f>
        <v>0</v>
      </c>
      <c r="W5" s="96"/>
      <c r="X5" s="36">
        <f t="shared" si="8"/>
        <v>0</v>
      </c>
      <c r="Y5" s="100"/>
      <c r="Z5" s="36">
        <f t="shared" si="3"/>
        <v>0</v>
      </c>
      <c r="AA5" s="104"/>
      <c r="AB5" s="37">
        <f t="shared" si="4"/>
        <v>0</v>
      </c>
      <c r="AC5" s="108"/>
      <c r="AD5" s="5">
        <f>COUNTIF(Tableau353033[[#This Row],[Dalle en tête après travail]],Tableau353033[[#This Row],[Dalle en tête après travail]])</f>
        <v>0</v>
      </c>
      <c r="AF5" s="18" t="s">
        <v>19</v>
      </c>
      <c r="AG5" s="112"/>
      <c r="AH5" s="46">
        <f>COUNTIF(Tableau353034[[#This Row],[cotation]:[Mur droit en moulinette à vue]],Tableau353034[[#This Row],[Mur droit en moulinette à vue]])</f>
        <v>0</v>
      </c>
      <c r="AI5" s="116"/>
      <c r="AJ5" s="46">
        <f>COUNTIF(AI5,Tableau353034[[#This Row],[Mur droit en moul. en travail]])</f>
        <v>0</v>
      </c>
      <c r="AK5" s="120"/>
      <c r="AL5" s="46">
        <f t="shared" si="5"/>
        <v>0</v>
      </c>
      <c r="AM5" s="45"/>
      <c r="AN5" s="46">
        <f t="shared" si="6"/>
        <v>0</v>
      </c>
      <c r="AO5" s="124"/>
      <c r="AP5" s="47">
        <f t="shared" si="7"/>
        <v>0</v>
      </c>
      <c r="AQ5" s="128"/>
      <c r="AR5" s="5">
        <f>COUNTIF(Tableau353034[[#This Row],[Mur droit en tête après travail]],Tableau353034[[#This Row],[Mur droit en tête après travail]])</f>
        <v>0</v>
      </c>
      <c r="AU5" s="4" t="s">
        <v>71</v>
      </c>
      <c r="AV5" s="6">
        <f>IF(ISERROR(SMALL((AV17,AV29,AV41),1)),"-",SMALL((AV17,AV29,AV41),1))</f>
        <v>9</v>
      </c>
      <c r="BA5" s="13" t="s">
        <v>94</v>
      </c>
      <c r="BB5" s="13" t="s">
        <v>62</v>
      </c>
      <c r="BC5" s="13" t="s">
        <v>64</v>
      </c>
      <c r="BD5" t="s">
        <v>96</v>
      </c>
    </row>
    <row r="6" spans="1:56" ht="26.25" thickTop="1" thickBot="1" x14ac:dyDescent="0.55000000000000004">
      <c r="A6" s="30"/>
      <c r="B6" s="29"/>
      <c r="C6" s="29"/>
      <c r="D6" s="33" t="s">
        <v>20</v>
      </c>
      <c r="E6" s="70"/>
      <c r="F6" s="57">
        <f>COUNTIF(Tableau3530[[#This Row],[cotation]:[Dévers en moulinette à vue]],Tableau3530[[#This Row],[Dévers en moulinette à vue]])</f>
        <v>0</v>
      </c>
      <c r="G6" s="155"/>
      <c r="H6" s="58"/>
      <c r="I6" s="74"/>
      <c r="J6" s="58">
        <f t="shared" si="0"/>
        <v>0</v>
      </c>
      <c r="K6" s="60"/>
      <c r="L6" s="58">
        <f t="shared" si="1"/>
        <v>0</v>
      </c>
      <c r="M6" s="79"/>
      <c r="N6" s="61">
        <f t="shared" si="2"/>
        <v>0</v>
      </c>
      <c r="O6" s="85"/>
      <c r="P6" s="28">
        <f>COUNTIF(Tableau3530[[#This Row],[Dévers en tête après travail]],Tableau3530[[#This Row],[Dévers en tête après travail]])</f>
        <v>0</v>
      </c>
      <c r="Q6" s="7"/>
      <c r="R6" s="33" t="s">
        <v>20</v>
      </c>
      <c r="S6" s="89"/>
      <c r="T6" s="36">
        <f>COUNTIF(Tableau353033[[#This Row],[cotation]:[Dalle en moulinettte à vue]],Tableau353033[[#This Row],[Dalle en moulinettte à vue]])</f>
        <v>0</v>
      </c>
      <c r="U6" s="93"/>
      <c r="V6" s="38">
        <f>COUNTIF(U6,Tableau353033[[#This Row],[Dalle en moulinette en travail]])</f>
        <v>0</v>
      </c>
      <c r="W6" s="97"/>
      <c r="X6" s="38">
        <f t="shared" si="8"/>
        <v>0</v>
      </c>
      <c r="Y6" s="101"/>
      <c r="Z6" s="38">
        <f t="shared" si="3"/>
        <v>0</v>
      </c>
      <c r="AA6" s="105"/>
      <c r="AB6" s="39">
        <f t="shared" si="4"/>
        <v>0</v>
      </c>
      <c r="AC6" s="109"/>
      <c r="AD6" s="5">
        <f>COUNTIF(Tableau353033[[#This Row],[Dalle en tête après travail]],Tableau353033[[#This Row],[Dalle en tête après travail]])</f>
        <v>0</v>
      </c>
      <c r="AF6" s="19" t="s">
        <v>20</v>
      </c>
      <c r="AG6" s="113"/>
      <c r="AH6" s="46">
        <f>COUNTIF(Tableau353034[[#This Row],[cotation]:[Mur droit en moulinette à vue]],Tableau353034[[#This Row],[Mur droit en moulinette à vue]])</f>
        <v>0</v>
      </c>
      <c r="AI6" s="117"/>
      <c r="AJ6" s="49">
        <f>COUNTIF(AI6,Tableau353034[[#This Row],[Mur droit en moul. en travail]])</f>
        <v>0</v>
      </c>
      <c r="AK6" s="121"/>
      <c r="AL6" s="49">
        <f t="shared" si="5"/>
        <v>0</v>
      </c>
      <c r="AM6" s="48"/>
      <c r="AN6" s="49">
        <f t="shared" si="6"/>
        <v>0</v>
      </c>
      <c r="AO6" s="125"/>
      <c r="AP6" s="50">
        <f t="shared" si="7"/>
        <v>0</v>
      </c>
      <c r="AQ6" s="129"/>
      <c r="AR6" s="5">
        <f>COUNTIF(Tableau353034[[#This Row],[Mur droit en tête après travail]],Tableau353034[[#This Row],[Mur droit en tête après travail]])</f>
        <v>0</v>
      </c>
      <c r="AU6" s="4" t="s">
        <v>72</v>
      </c>
      <c r="AV6" s="6">
        <f>(IF(ISERROR(SMALL((AV30,AV18,AV42),1)),"-",SMALL((AV30,AV18,AV42),1)))</f>
        <v>21</v>
      </c>
      <c r="BA6">
        <v>4</v>
      </c>
      <c r="BB6">
        <v>1</v>
      </c>
      <c r="BC6">
        <f>SUM(E28,I28,K28,G28,M28,O28,S28,U28,W28,Y28,AA28,AC28,AG28,AI28,AK28,AM28,AO28,AQ28)</f>
        <v>0</v>
      </c>
      <c r="BD6">
        <f>PRODUCT(BB6:BC6)</f>
        <v>0</v>
      </c>
    </row>
    <row r="7" spans="1:56" ht="26.25" thickTop="1" thickBot="1" x14ac:dyDescent="0.55000000000000004">
      <c r="A7" s="27"/>
      <c r="B7" s="27"/>
      <c r="C7" s="27"/>
      <c r="D7" s="32" t="s">
        <v>15</v>
      </c>
      <c r="E7" s="69"/>
      <c r="F7" s="57">
        <f>COUNTIF(Tableau3530[[#This Row],[cotation]:[Dévers en moulinette à vue]],Tableau3530[[#This Row],[Dévers en moulinette à vue]])</f>
        <v>0</v>
      </c>
      <c r="G7" s="156"/>
      <c r="H7" s="58"/>
      <c r="I7" s="73"/>
      <c r="J7" s="57">
        <f t="shared" si="0"/>
        <v>0</v>
      </c>
      <c r="K7" s="60"/>
      <c r="L7" s="58">
        <f t="shared" si="1"/>
        <v>0</v>
      </c>
      <c r="M7" s="78"/>
      <c r="N7" s="59">
        <f t="shared" si="2"/>
        <v>0</v>
      </c>
      <c r="O7" s="84"/>
      <c r="P7" s="28">
        <f>COUNTIF(Tableau3530[[#This Row],[Dévers en tête après travail]],Tableau3530[[#This Row],[Dévers en tête après travail]])</f>
        <v>0</v>
      </c>
      <c r="Q7" s="7"/>
      <c r="R7" s="32" t="s">
        <v>15</v>
      </c>
      <c r="S7" s="88"/>
      <c r="T7" s="36">
        <f>COUNTIF(Tableau353033[[#This Row],[cotation]:[Dalle en moulinettte à vue]],Tableau353033[[#This Row],[Dalle en moulinettte à vue]])</f>
        <v>0</v>
      </c>
      <c r="U7" s="92"/>
      <c r="V7" s="36">
        <f>COUNTIF(U7,Tableau353033[[#This Row],[Dalle en moulinette en travail]])</f>
        <v>0</v>
      </c>
      <c r="W7" s="96"/>
      <c r="X7" s="36">
        <f t="shared" si="8"/>
        <v>0</v>
      </c>
      <c r="Y7" s="101"/>
      <c r="Z7" s="38">
        <f t="shared" si="3"/>
        <v>0</v>
      </c>
      <c r="AA7" s="104"/>
      <c r="AB7" s="37">
        <f t="shared" si="4"/>
        <v>0</v>
      </c>
      <c r="AC7" s="108"/>
      <c r="AD7" s="5">
        <f>COUNTIF(Tableau353033[[#This Row],[Dalle en tête après travail]],Tableau353033[[#This Row],[Dalle en tête après travail]])</f>
        <v>0</v>
      </c>
      <c r="AF7" s="18" t="s">
        <v>15</v>
      </c>
      <c r="AG7" s="112"/>
      <c r="AH7" s="46">
        <f>COUNTIF(Tableau353034[[#This Row],[cotation]:[Mur droit en moulinette à vue]],Tableau353034[[#This Row],[Mur droit en moulinette à vue]])</f>
        <v>0</v>
      </c>
      <c r="AI7" s="116"/>
      <c r="AJ7" s="46">
        <f>COUNTIF(AI7,Tableau353034[[#This Row],[Mur droit en moul. en travail]])</f>
        <v>0</v>
      </c>
      <c r="AK7" s="120"/>
      <c r="AL7" s="46">
        <f t="shared" si="5"/>
        <v>0</v>
      </c>
      <c r="AM7" s="48"/>
      <c r="AN7" s="49">
        <f t="shared" si="6"/>
        <v>0</v>
      </c>
      <c r="AO7" s="124"/>
      <c r="AP7" s="47">
        <f t="shared" si="7"/>
        <v>0</v>
      </c>
      <c r="AQ7" s="128"/>
      <c r="AR7" s="5">
        <f>COUNTIF(Tableau353034[[#This Row],[Mur droit en tête après travail]],Tableau353034[[#This Row],[Mur droit en tête après travail]])</f>
        <v>0</v>
      </c>
      <c r="AU7" s="4" t="s">
        <v>73</v>
      </c>
      <c r="AV7" s="6">
        <f>IF(ISERROR(SMALL((AV19,AV31,AV43),1)),"-",SMALL((AV19,AV31,AV43),1))</f>
        <v>20</v>
      </c>
      <c r="BA7" t="s">
        <v>0</v>
      </c>
      <c r="BB7">
        <f>PRODUCT(BB6,1.4)</f>
        <v>1.4</v>
      </c>
      <c r="BC7">
        <f>SUM(E27,I27,K27,G27,M27,O27,S27,U27,W27,Y27,AA27,AC27,AG27,AI27,AK27,AM27,AO27,AQ27)</f>
        <v>0</v>
      </c>
      <c r="BD7">
        <f t="shared" ref="BD7:BD31" si="9">PRODUCT(BB7:BC7)</f>
        <v>0</v>
      </c>
    </row>
    <row r="8" spans="1:56" ht="26.25" thickTop="1" thickBot="1" x14ac:dyDescent="0.55000000000000004">
      <c r="A8" s="29"/>
      <c r="B8" s="29"/>
      <c r="C8" s="29"/>
      <c r="D8" s="33" t="s">
        <v>21</v>
      </c>
      <c r="E8" s="70"/>
      <c r="F8" s="57">
        <f>COUNTIF(Tableau3530[[#This Row],[cotation]:[Dévers en moulinette à vue]],Tableau3530[[#This Row],[Dévers en moulinette à vue]])</f>
        <v>0</v>
      </c>
      <c r="G8" s="155"/>
      <c r="H8" s="58"/>
      <c r="I8" s="74"/>
      <c r="J8" s="58">
        <f t="shared" si="0"/>
        <v>0</v>
      </c>
      <c r="K8" s="60"/>
      <c r="L8" s="58">
        <f t="shared" si="1"/>
        <v>0</v>
      </c>
      <c r="M8" s="79"/>
      <c r="N8" s="61">
        <f t="shared" si="2"/>
        <v>0</v>
      </c>
      <c r="O8" s="85"/>
      <c r="P8" s="28">
        <f>COUNTIF(Tableau3530[[#This Row],[Dévers en tête après travail]],Tableau3530[[#This Row],[Dévers en tête après travail]])</f>
        <v>0</v>
      </c>
      <c r="Q8" s="7"/>
      <c r="R8" s="33" t="s">
        <v>21</v>
      </c>
      <c r="S8" s="89"/>
      <c r="T8" s="36">
        <f>COUNTIF(Tableau353033[[#This Row],[cotation]:[Dalle en moulinettte à vue]],Tableau353033[[#This Row],[Dalle en moulinettte à vue]])</f>
        <v>0</v>
      </c>
      <c r="U8" s="93"/>
      <c r="V8" s="38">
        <f>COUNTIF(U8,Tableau353033[[#This Row],[Dalle en moulinette en travail]])</f>
        <v>0</v>
      </c>
      <c r="W8" s="97"/>
      <c r="X8" s="38">
        <f t="shared" si="8"/>
        <v>0</v>
      </c>
      <c r="Y8" s="101"/>
      <c r="Z8" s="38">
        <f t="shared" si="3"/>
        <v>0</v>
      </c>
      <c r="AA8" s="105"/>
      <c r="AB8" s="39">
        <f t="shared" si="4"/>
        <v>0</v>
      </c>
      <c r="AC8" s="109"/>
      <c r="AD8" s="5">
        <f>COUNTIF(Tableau353033[[#This Row],[Dalle en tête après travail]],Tableau353033[[#This Row],[Dalle en tête après travail]])</f>
        <v>0</v>
      </c>
      <c r="AF8" s="19" t="s">
        <v>21</v>
      </c>
      <c r="AG8" s="113"/>
      <c r="AH8" s="46">
        <f>COUNTIF(Tableau353034[[#This Row],[cotation]:[Mur droit en moulinette à vue]],Tableau353034[[#This Row],[Mur droit en moulinette à vue]])</f>
        <v>0</v>
      </c>
      <c r="AI8" s="117"/>
      <c r="AJ8" s="49">
        <f>COUNTIF(AI8,Tableau353034[[#This Row],[Mur droit en moul. en travail]])</f>
        <v>0</v>
      </c>
      <c r="AK8" s="121"/>
      <c r="AL8" s="49">
        <f t="shared" si="5"/>
        <v>0</v>
      </c>
      <c r="AM8" s="48"/>
      <c r="AN8" s="49">
        <f t="shared" si="6"/>
        <v>0</v>
      </c>
      <c r="AO8" s="125"/>
      <c r="AP8" s="50">
        <f t="shared" si="7"/>
        <v>0</v>
      </c>
      <c r="AQ8" s="129"/>
      <c r="AR8" s="5">
        <f>COUNTIF(Tableau353034[[#This Row],[Mur droit en tête après travail]],Tableau353034[[#This Row],[Mur droit en tête après travail]])</f>
        <v>0</v>
      </c>
      <c r="AU8" s="4" t="s">
        <v>74</v>
      </c>
      <c r="AV8" s="6">
        <f>IF(ISERROR(SMALL((AV20,AV32,AV44),1)),"-",SMALL((AV20,AV32,AV44),1))</f>
        <v>9</v>
      </c>
      <c r="BA8" t="s">
        <v>30</v>
      </c>
      <c r="BB8">
        <f t="shared" ref="BB8:BB31" si="10">PRODUCT(BB7,1.4)</f>
        <v>1.9599999999999997</v>
      </c>
      <c r="BC8">
        <f>SUM(E26,I26,K26,G26,M26,O26,S26,U26,W26,Y26,AA26,AC26,AG26,AI26,AK26,AM26,AO26,AQ26)</f>
        <v>0</v>
      </c>
      <c r="BD8">
        <f t="shared" si="9"/>
        <v>0</v>
      </c>
    </row>
    <row r="9" spans="1:56" ht="26.25" thickTop="1" thickBot="1" x14ac:dyDescent="0.55000000000000004">
      <c r="A9" s="31"/>
      <c r="B9" s="31"/>
      <c r="C9" s="31"/>
      <c r="D9" s="33" t="s">
        <v>13</v>
      </c>
      <c r="E9" s="71"/>
      <c r="F9" s="63">
        <f>COUNTIF(Tableau3530[[#This Row],[cotation]:[Dévers en moulinette à vue]],Tableau3530[[#This Row],[Dévers en moulinette à vue]])</f>
        <v>0</v>
      </c>
      <c r="G9" s="157"/>
      <c r="H9" s="58"/>
      <c r="I9" s="75"/>
      <c r="J9" s="63">
        <f>COUNTIF(I9,I9)</f>
        <v>0</v>
      </c>
      <c r="K9" s="62"/>
      <c r="L9" s="63">
        <f>COUNTIF(K9,K9)</f>
        <v>0</v>
      </c>
      <c r="M9" s="80"/>
      <c r="N9" s="64">
        <f>COUNTIF(M9,M9)</f>
        <v>0</v>
      </c>
      <c r="O9" s="86"/>
      <c r="P9" s="28">
        <f>COUNTIF(Tableau3530[[#This Row],[Dévers en tête après travail]],Tableau3530[[#This Row],[Dévers en tête après travail]])</f>
        <v>0</v>
      </c>
      <c r="Q9" s="14"/>
      <c r="R9" s="33" t="s">
        <v>13</v>
      </c>
      <c r="S9" s="90"/>
      <c r="T9" s="40">
        <f>COUNTIF(Tableau353033[[#This Row],[cotation]:[Dalle en moulinettte à vue]],Tableau353033[[#This Row],[Dalle en moulinettte à vue]])</f>
        <v>0</v>
      </c>
      <c r="U9" s="94"/>
      <c r="V9" s="40">
        <f>COUNTIF(U9,Tableau353033[[#This Row],[Dalle en moulinette en travail]])</f>
        <v>0</v>
      </c>
      <c r="W9" s="98"/>
      <c r="X9" s="40">
        <f>COUNTIF(W9,W9)</f>
        <v>0</v>
      </c>
      <c r="Y9" s="102"/>
      <c r="Z9" s="40">
        <f>COUNTIF(Y9,Y9)</f>
        <v>0</v>
      </c>
      <c r="AA9" s="106"/>
      <c r="AB9" s="41">
        <f>COUNTIF(AA9,AA9)</f>
        <v>0</v>
      </c>
      <c r="AC9" s="109"/>
      <c r="AD9" s="5">
        <f>COUNTIF(Tableau353033[[#This Row],[Dalle en tête après travail]],Tableau353033[[#This Row],[Dalle en tête après travail]])</f>
        <v>0</v>
      </c>
      <c r="AF9" s="19" t="s">
        <v>13</v>
      </c>
      <c r="AG9" s="114"/>
      <c r="AH9" s="52">
        <f>COUNTIF(Tableau353034[[#This Row],[cotation]:[Mur droit en moulinette à vue]],Tableau353034[[#This Row],[Mur droit en moulinette à vue]])</f>
        <v>0</v>
      </c>
      <c r="AI9" s="118"/>
      <c r="AJ9" s="52">
        <f>COUNTIF(AI9,Tableau353034[[#This Row],[Mur droit en moul. en travail]])</f>
        <v>0</v>
      </c>
      <c r="AK9" s="122"/>
      <c r="AL9" s="52">
        <f>COUNTIF(AK9,AK9)</f>
        <v>0</v>
      </c>
      <c r="AM9" s="51"/>
      <c r="AN9" s="52">
        <f>COUNTIF(AM9,AM9)</f>
        <v>0</v>
      </c>
      <c r="AO9" s="126"/>
      <c r="AP9" s="50">
        <f t="shared" si="7"/>
        <v>0</v>
      </c>
      <c r="AQ9" s="130"/>
      <c r="AR9" s="5">
        <f>COUNTIF(Tableau353034[[#This Row],[Mur droit en tête après travail]],Tableau353034[[#This Row],[Mur droit en tête après travail]])</f>
        <v>0</v>
      </c>
      <c r="AU9" s="4" t="s">
        <v>75</v>
      </c>
      <c r="AV9" s="6">
        <f>IF(ISERROR(SMALL((AV21,AV33,AV45),1)),"-",SMALL((AV21,AV33,AV45),1))</f>
        <v>10</v>
      </c>
      <c r="BA9" t="s">
        <v>1</v>
      </c>
      <c r="BB9">
        <f t="shared" si="10"/>
        <v>2.7439999999999993</v>
      </c>
      <c r="BC9">
        <f>SUM(E25,I25,K25,G25,M25,O25,S25,U25,W25,Y25,AA25,AC25,AG25,AI25,AK25,AM25,AO25,AQ25)</f>
        <v>0</v>
      </c>
      <c r="BD9">
        <f t="shared" si="9"/>
        <v>0</v>
      </c>
    </row>
    <row r="10" spans="1:56" ht="26.25" thickTop="1" thickBot="1" x14ac:dyDescent="0.55000000000000004">
      <c r="A10" s="27"/>
      <c r="B10" s="27"/>
      <c r="C10" s="27"/>
      <c r="D10" s="32" t="s">
        <v>22</v>
      </c>
      <c r="E10" s="69"/>
      <c r="F10" s="57">
        <f>COUNTIF(Tableau3530[[#This Row],[cotation]:[Dévers en moulinette à vue]],Tableau3530[[#This Row],[Dévers en moulinette à vue]])</f>
        <v>0</v>
      </c>
      <c r="G10" s="156"/>
      <c r="H10" s="58"/>
      <c r="I10" s="73"/>
      <c r="J10" s="57">
        <f t="shared" si="0"/>
        <v>0</v>
      </c>
      <c r="K10" s="60"/>
      <c r="L10" s="58">
        <f t="shared" si="1"/>
        <v>0</v>
      </c>
      <c r="M10" s="78"/>
      <c r="N10" s="59">
        <f t="shared" si="2"/>
        <v>0</v>
      </c>
      <c r="O10" s="84"/>
      <c r="P10" s="28">
        <f>COUNTIF(Tableau3530[[#This Row],[Dévers en tête après travail]],Tableau3530[[#This Row],[Dévers en tête après travail]])</f>
        <v>0</v>
      </c>
      <c r="Q10" s="7"/>
      <c r="R10" s="32" t="s">
        <v>22</v>
      </c>
      <c r="S10" s="88"/>
      <c r="T10" s="36">
        <f>COUNTIF(Tableau353033[[#This Row],[cotation]:[Dalle en moulinettte à vue]],Tableau353033[[#This Row],[Dalle en moulinettte à vue]])</f>
        <v>0</v>
      </c>
      <c r="U10" s="92"/>
      <c r="V10" s="36">
        <f>COUNTIF(U10,Tableau353033[[#This Row],[Dalle en moulinette en travail]])</f>
        <v>0</v>
      </c>
      <c r="W10" s="96"/>
      <c r="X10" s="36">
        <f t="shared" si="8"/>
        <v>0</v>
      </c>
      <c r="Y10" s="101"/>
      <c r="Z10" s="38">
        <f t="shared" si="3"/>
        <v>0</v>
      </c>
      <c r="AA10" s="104"/>
      <c r="AB10" s="37">
        <f t="shared" si="4"/>
        <v>0</v>
      </c>
      <c r="AC10" s="108"/>
      <c r="AD10" s="5">
        <f>COUNTIF(Tableau353033[[#This Row],[Dalle en tête après travail]],Tableau353033[[#This Row],[Dalle en tête après travail]])</f>
        <v>0</v>
      </c>
      <c r="AF10" s="18" t="s">
        <v>22</v>
      </c>
      <c r="AG10" s="112"/>
      <c r="AH10" s="46">
        <f>COUNTIF(Tableau353034[[#This Row],[cotation]:[Mur droit en moulinette à vue]],Tableau353034[[#This Row],[Mur droit en moulinette à vue]])</f>
        <v>0</v>
      </c>
      <c r="AI10" s="116"/>
      <c r="AJ10" s="46">
        <f>COUNTIF(AI10,Tableau353034[[#This Row],[Mur droit en moul. en travail]])</f>
        <v>0</v>
      </c>
      <c r="AK10" s="120"/>
      <c r="AL10" s="46">
        <f t="shared" si="5"/>
        <v>0</v>
      </c>
      <c r="AM10" s="48"/>
      <c r="AN10" s="49">
        <f t="shared" si="6"/>
        <v>0</v>
      </c>
      <c r="AO10" s="124"/>
      <c r="AP10" s="47">
        <f t="shared" si="7"/>
        <v>0</v>
      </c>
      <c r="AQ10" s="128"/>
      <c r="AR10" s="5">
        <f>COUNTIF(Tableau353034[[#This Row],[Mur droit en tête après travail]],Tableau353034[[#This Row],[Mur droit en tête après travail]])</f>
        <v>0</v>
      </c>
      <c r="AU10" s="4" t="s">
        <v>76</v>
      </c>
      <c r="AV10" s="6">
        <f>IF(ISERROR(SMALL((AV25,AV37,AV49),1)),"-",SMALL((AV25,AV37,AV49),1))</f>
        <v>20</v>
      </c>
      <c r="BA10" t="s">
        <v>29</v>
      </c>
      <c r="BB10">
        <f t="shared" si="10"/>
        <v>3.8415999999999988</v>
      </c>
      <c r="BC10">
        <f>SUM(E24,G24,I24,K24,M24,O24,S24,U24,W24,Y24,AA24,AC24,AG24,AI24,AK24,AM24,AO24,AQ24)</f>
        <v>0</v>
      </c>
      <c r="BD10">
        <f t="shared" si="9"/>
        <v>0</v>
      </c>
    </row>
    <row r="11" spans="1:56" ht="26.25" thickTop="1" thickBot="1" x14ac:dyDescent="0.55000000000000004">
      <c r="A11" s="29"/>
      <c r="B11" s="29"/>
      <c r="C11" s="29"/>
      <c r="D11" s="33" t="s">
        <v>8</v>
      </c>
      <c r="E11" s="70"/>
      <c r="F11" s="57">
        <f>COUNTIF(Tableau3530[[#This Row],[cotation]:[Dévers en moulinette à vue]],Tableau3530[[#This Row],[Dévers en moulinette à vue]])</f>
        <v>0</v>
      </c>
      <c r="G11" s="155"/>
      <c r="H11" s="58"/>
      <c r="I11" s="74"/>
      <c r="J11" s="58">
        <f t="shared" si="0"/>
        <v>0</v>
      </c>
      <c r="K11" s="60"/>
      <c r="L11" s="58">
        <f t="shared" si="1"/>
        <v>0</v>
      </c>
      <c r="M11" s="79">
        <v>1</v>
      </c>
      <c r="N11" s="61">
        <f t="shared" si="2"/>
        <v>1</v>
      </c>
      <c r="O11" s="85"/>
      <c r="P11" s="28">
        <f>COUNTIF(Tableau3530[[#This Row],[Dévers en tête après travail]],Tableau3530[[#This Row],[Dévers en tête après travail]])</f>
        <v>0</v>
      </c>
      <c r="Q11" s="7"/>
      <c r="R11" s="33" t="s">
        <v>8</v>
      </c>
      <c r="S11" s="89"/>
      <c r="T11" s="36">
        <f>COUNTIF(Tableau353033[[#This Row],[cotation]:[Dalle en moulinettte à vue]],Tableau353033[[#This Row],[Dalle en moulinettte à vue]])</f>
        <v>0</v>
      </c>
      <c r="U11" s="93"/>
      <c r="V11" s="38">
        <f>COUNTIF(U11,Tableau353033[[#This Row],[Dalle en moulinette en travail]])</f>
        <v>0</v>
      </c>
      <c r="W11" s="97"/>
      <c r="X11" s="38">
        <f t="shared" si="8"/>
        <v>0</v>
      </c>
      <c r="Y11" s="101"/>
      <c r="Z11" s="38">
        <f t="shared" si="3"/>
        <v>0</v>
      </c>
      <c r="AA11" s="105"/>
      <c r="AB11" s="39">
        <f t="shared" si="4"/>
        <v>0</v>
      </c>
      <c r="AC11" s="109"/>
      <c r="AD11" s="5">
        <f>COUNTIF(Tableau353033[[#This Row],[Dalle en tête après travail]],Tableau353033[[#This Row],[Dalle en tête après travail]])</f>
        <v>0</v>
      </c>
      <c r="AF11" s="19" t="s">
        <v>8</v>
      </c>
      <c r="AG11" s="113"/>
      <c r="AH11" s="46">
        <f>COUNTIF(Tableau353034[[#This Row],[cotation]:[Mur droit en moulinette à vue]],Tableau353034[[#This Row],[Mur droit en moulinette à vue]])</f>
        <v>0</v>
      </c>
      <c r="AI11" s="117"/>
      <c r="AJ11" s="49">
        <f>COUNTIF(AI11,Tableau353034[[#This Row],[Mur droit en moul. en travail]])</f>
        <v>0</v>
      </c>
      <c r="AK11" s="121"/>
      <c r="AL11" s="49">
        <f t="shared" si="5"/>
        <v>0</v>
      </c>
      <c r="AM11" s="48"/>
      <c r="AN11" s="49">
        <f t="shared" si="6"/>
        <v>0</v>
      </c>
      <c r="AO11" s="125"/>
      <c r="AP11" s="50">
        <f t="shared" si="7"/>
        <v>0</v>
      </c>
      <c r="AQ11" s="129"/>
      <c r="AR11" s="5">
        <f>COUNTIF(Tableau353034[[#This Row],[Mur droit en tête après travail]],Tableau353034[[#This Row],[Mur droit en tête après travail]])</f>
        <v>0</v>
      </c>
      <c r="AU11" s="4" t="s">
        <v>77</v>
      </c>
      <c r="AV11" s="6">
        <f>IF(ISERROR(SMALL((AV26,AV38,AV50),1)),"-",SMALL((AV26,AV38,AV50),1))</f>
        <v>9</v>
      </c>
      <c r="BA11" t="s">
        <v>2</v>
      </c>
      <c r="BB11">
        <f t="shared" si="10"/>
        <v>5.3782399999999981</v>
      </c>
      <c r="BC11">
        <f>SUM(E23,G23,I23,K23,M23,O23,S23,U23+W23,Y23,AA23,AC23,AG23,AI23,AK23,AM23,AO23,AQ23)</f>
        <v>5</v>
      </c>
      <c r="BD11">
        <f t="shared" si="9"/>
        <v>26.891199999999991</v>
      </c>
    </row>
    <row r="12" spans="1:56" ht="26.25" thickTop="1" thickBot="1" x14ac:dyDescent="0.55000000000000004">
      <c r="A12" s="27"/>
      <c r="B12" s="27"/>
      <c r="C12" s="27"/>
      <c r="D12" s="32" t="s">
        <v>23</v>
      </c>
      <c r="E12" s="69"/>
      <c r="F12" s="57">
        <f>COUNTIF(Tableau3530[[#This Row],[cotation]:[Dévers en moulinette à vue]],Tableau3530[[#This Row],[Dévers en moulinette à vue]])</f>
        <v>0</v>
      </c>
      <c r="G12" s="156"/>
      <c r="H12" s="58"/>
      <c r="I12" s="73"/>
      <c r="J12" s="57">
        <f t="shared" si="0"/>
        <v>0</v>
      </c>
      <c r="K12" s="60"/>
      <c r="L12" s="58">
        <f t="shared" si="1"/>
        <v>0</v>
      </c>
      <c r="M12" s="78">
        <v>1</v>
      </c>
      <c r="N12" s="59">
        <f t="shared" si="2"/>
        <v>1</v>
      </c>
      <c r="O12" s="84">
        <v>1</v>
      </c>
      <c r="P12" s="28">
        <f>COUNTIF(Tableau3530[[#This Row],[Dévers en tête après travail]],Tableau3530[[#This Row],[Dévers en tête après travail]])</f>
        <v>1</v>
      </c>
      <c r="Q12" s="7"/>
      <c r="R12" s="32" t="s">
        <v>23</v>
      </c>
      <c r="S12" s="88"/>
      <c r="T12" s="36">
        <f>COUNTIF(Tableau353033[[#This Row],[cotation]:[Dalle en moulinettte à vue]],Tableau353033[[#This Row],[Dalle en moulinettte à vue]])</f>
        <v>0</v>
      </c>
      <c r="U12" s="92"/>
      <c r="V12" s="36">
        <f>COUNTIF(U12,Tableau353033[[#This Row],[Dalle en moulinette en travail]])</f>
        <v>0</v>
      </c>
      <c r="W12" s="96"/>
      <c r="X12" s="36">
        <f t="shared" si="8"/>
        <v>0</v>
      </c>
      <c r="Y12" s="101"/>
      <c r="Z12" s="38">
        <f t="shared" si="3"/>
        <v>0</v>
      </c>
      <c r="AA12" s="104"/>
      <c r="AB12" s="37">
        <f t="shared" si="4"/>
        <v>0</v>
      </c>
      <c r="AC12" s="108"/>
      <c r="AD12" s="5">
        <f>COUNTIF(Tableau353033[[#This Row],[Dalle en tête après travail]],Tableau353033[[#This Row],[Dalle en tête après travail]])</f>
        <v>0</v>
      </c>
      <c r="AF12" s="18" t="s">
        <v>23</v>
      </c>
      <c r="AG12" s="112"/>
      <c r="AH12" s="46">
        <f>COUNTIF(Tableau353034[[#This Row],[cotation]:[Mur droit en moulinette à vue]],Tableau353034[[#This Row],[Mur droit en moulinette à vue]])</f>
        <v>0</v>
      </c>
      <c r="AI12" s="116"/>
      <c r="AJ12" s="46">
        <f>COUNTIF(AI12,Tableau353034[[#This Row],[Mur droit en moul. en travail]])</f>
        <v>0</v>
      </c>
      <c r="AK12" s="120"/>
      <c r="AL12" s="46">
        <f t="shared" si="5"/>
        <v>0</v>
      </c>
      <c r="AM12" s="48"/>
      <c r="AN12" s="49">
        <f t="shared" si="6"/>
        <v>0</v>
      </c>
      <c r="AO12" s="124"/>
      <c r="AP12" s="47">
        <f t="shared" si="7"/>
        <v>0</v>
      </c>
      <c r="AQ12" s="128"/>
      <c r="AR12" s="5">
        <f>COUNTIF(Tableau353034[[#This Row],[Mur droit en tête après travail]],Tableau353034[[#This Row],[Mur droit en tête après travail]])</f>
        <v>0</v>
      </c>
      <c r="AU12" s="4" t="s">
        <v>78</v>
      </c>
      <c r="AV12" s="6">
        <f>IF(ISERROR(SMALL((AV27,AV39,AV51),1)),"-",SMALL((AV27,AV39,AV51),1))</f>
        <v>10</v>
      </c>
      <c r="BA12" t="s">
        <v>28</v>
      </c>
      <c r="BB12">
        <f t="shared" si="10"/>
        <v>7.5295359999999967</v>
      </c>
      <c r="BC12">
        <f>SUM(E22,G22,I22,K22,M22,O22,S22,U22,W22,Y22,AA22,AC22,AG22,AI22,AK22,AM22,AO22,AQ22)</f>
        <v>3</v>
      </c>
      <c r="BD12">
        <f t="shared" si="9"/>
        <v>22.58860799999999</v>
      </c>
    </row>
    <row r="13" spans="1:56" ht="26.25" thickTop="1" thickBot="1" x14ac:dyDescent="0.55000000000000004">
      <c r="A13" s="10"/>
      <c r="B13" s="10"/>
      <c r="C13" s="10"/>
      <c r="D13" s="34" t="s">
        <v>7</v>
      </c>
      <c r="E13" s="72"/>
      <c r="F13" s="57">
        <f>COUNTIF(Tableau3530[[#This Row],[cotation]:[Dévers en moulinette à vue]],Tableau3530[[#This Row],[Dévers en moulinette à vue]])</f>
        <v>0</v>
      </c>
      <c r="G13" s="155"/>
      <c r="H13" s="58"/>
      <c r="I13" s="76"/>
      <c r="J13" s="66">
        <f t="shared" si="0"/>
        <v>0</v>
      </c>
      <c r="K13" s="65"/>
      <c r="L13" s="66">
        <f t="shared" si="1"/>
        <v>0</v>
      </c>
      <c r="M13" s="81"/>
      <c r="N13" s="67">
        <f t="shared" si="2"/>
        <v>0</v>
      </c>
      <c r="O13" s="87"/>
      <c r="P13" s="28">
        <f>COUNTIF(Tableau3530[[#This Row],[Dévers en tête après travail]],Tableau3530[[#This Row],[Dévers en tête après travail]])</f>
        <v>0</v>
      </c>
      <c r="Q13" s="7"/>
      <c r="R13" s="34" t="s">
        <v>7</v>
      </c>
      <c r="S13" s="91"/>
      <c r="T13" s="36">
        <f>COUNTIF(Tableau353033[[#This Row],[cotation]:[Dalle en moulinettte à vue]],Tableau353033[[#This Row],[Dalle en moulinettte à vue]])</f>
        <v>0</v>
      </c>
      <c r="U13" s="95"/>
      <c r="V13" s="43">
        <f>COUNTIF(U13,Tableau353033[[#This Row],[Dalle en moulinette en travail]])</f>
        <v>0</v>
      </c>
      <c r="W13" s="99"/>
      <c r="X13" s="43">
        <f t="shared" si="8"/>
        <v>0</v>
      </c>
      <c r="Y13" s="103"/>
      <c r="Z13" s="43">
        <f t="shared" si="3"/>
        <v>0</v>
      </c>
      <c r="AA13" s="107"/>
      <c r="AB13" s="44">
        <f t="shared" si="4"/>
        <v>0</v>
      </c>
      <c r="AC13" s="110"/>
      <c r="AD13" s="5">
        <f>COUNTIF(Tableau353033[[#This Row],[Dalle en tête après travail]],Tableau353033[[#This Row],[Dalle en tête après travail]])</f>
        <v>0</v>
      </c>
      <c r="AF13" s="20" t="s">
        <v>7</v>
      </c>
      <c r="AG13" s="115"/>
      <c r="AH13" s="46">
        <f>COUNTIF(Tableau353034[[#This Row],[cotation]:[Mur droit en moulinette à vue]],Tableau353034[[#This Row],[Mur droit en moulinette à vue]])</f>
        <v>0</v>
      </c>
      <c r="AI13" s="119"/>
      <c r="AJ13" s="54">
        <f>COUNTIF(AI13,Tableau353034[[#This Row],[Mur droit en moul. en travail]])</f>
        <v>0</v>
      </c>
      <c r="AK13" s="123"/>
      <c r="AL13" s="54">
        <f t="shared" si="5"/>
        <v>0</v>
      </c>
      <c r="AM13" s="53"/>
      <c r="AN13" s="54">
        <f t="shared" si="6"/>
        <v>0</v>
      </c>
      <c r="AO13" s="127"/>
      <c r="AP13" s="55">
        <f t="shared" si="7"/>
        <v>0</v>
      </c>
      <c r="AQ13" s="131"/>
      <c r="AR13" s="5">
        <f>COUNTIF(Tableau353034[[#This Row],[Mur droit en tête après travail]],Tableau353034[[#This Row],[Mur droit en tête après travail]])</f>
        <v>0</v>
      </c>
      <c r="AU13" s="4" t="s">
        <v>79</v>
      </c>
      <c r="AV13" s="6">
        <f>IF(ISERROR(SMALL((AV22,AV34,AV46),1)),"-",SMALL((AV22,AV34,AV46),1))</f>
        <v>21</v>
      </c>
      <c r="BA13" t="s">
        <v>3</v>
      </c>
      <c r="BB13">
        <f t="shared" si="10"/>
        <v>10.541350399999995</v>
      </c>
      <c r="BC13">
        <f>SUM(E21,G21,I21,K21,M21,O21,S21,U21,W21,Y21,AA21,AC21,AG21,AI21,AK21,AM21,AO21,AQ21)</f>
        <v>0</v>
      </c>
      <c r="BD13">
        <f t="shared" si="9"/>
        <v>0</v>
      </c>
    </row>
    <row r="14" spans="1:56" ht="26.25" thickTop="1" thickBot="1" x14ac:dyDescent="0.55000000000000004">
      <c r="A14" s="31"/>
      <c r="B14" s="31"/>
      <c r="C14" s="31"/>
      <c r="D14" s="33" t="s">
        <v>24</v>
      </c>
      <c r="E14" s="71"/>
      <c r="F14" s="63">
        <f>COUNTIF(Tableau3530[[#This Row],[cotation]:[Dévers en moulinette à vue]],Tableau3530[[#This Row],[Dévers en moulinette à vue]])</f>
        <v>0</v>
      </c>
      <c r="G14" s="157"/>
      <c r="H14" s="58"/>
      <c r="I14" s="75"/>
      <c r="J14" s="63">
        <f t="shared" ref="J14:J28" si="11">COUNTIF(I14,I14)</f>
        <v>0</v>
      </c>
      <c r="K14" s="62"/>
      <c r="L14" s="63">
        <f t="shared" ref="L14:L28" si="12">COUNTIF(K14,K14)</f>
        <v>0</v>
      </c>
      <c r="M14" s="80"/>
      <c r="N14" s="64">
        <f t="shared" ref="N14:N28" si="13">COUNTIF(M14,M14)</f>
        <v>0</v>
      </c>
      <c r="O14" s="86"/>
      <c r="P14" s="28">
        <f>COUNTIF(Tableau3530[[#This Row],[Dévers en tête après travail]],Tableau3530[[#This Row],[Dévers en tête après travail]])</f>
        <v>0</v>
      </c>
      <c r="Q14" s="7"/>
      <c r="R14" s="33" t="s">
        <v>24</v>
      </c>
      <c r="S14" s="90"/>
      <c r="T14" s="40">
        <f>COUNTIF(Tableau353033[[#This Row],[cotation]:[Dalle en moulinettte à vue]],Tableau353033[[#This Row],[Dalle en moulinettte à vue]])</f>
        <v>0</v>
      </c>
      <c r="U14" s="94"/>
      <c r="V14" s="40">
        <f>COUNTIF(U14,Tableau353033[[#This Row],[Dalle en moulinette en travail]])</f>
        <v>0</v>
      </c>
      <c r="W14" s="98"/>
      <c r="X14" s="40">
        <f t="shared" ref="X14:X28" si="14">COUNTIF(W14,W14)</f>
        <v>0</v>
      </c>
      <c r="Y14" s="102"/>
      <c r="Z14" s="40">
        <f t="shared" ref="Z14:Z28" si="15">COUNTIF(Y14,Y14)</f>
        <v>0</v>
      </c>
      <c r="AA14" s="106"/>
      <c r="AB14" s="41">
        <f t="shared" ref="AB14:AB28" si="16">COUNTIF(AA14,AA14)</f>
        <v>0</v>
      </c>
      <c r="AC14" s="109"/>
      <c r="AD14" s="5">
        <f>COUNTIF(Tableau353033[[#This Row],[Dalle en tête après travail]],Tableau353033[[#This Row],[Dalle en tête après travail]])</f>
        <v>0</v>
      </c>
      <c r="AF14" s="19" t="s">
        <v>24</v>
      </c>
      <c r="AG14" s="114"/>
      <c r="AH14" s="52">
        <f>COUNTIF(Tableau353034[[#This Row],[cotation]:[Mur droit en moulinette à vue]],Tableau353034[[#This Row],[Mur droit en moulinette à vue]])</f>
        <v>0</v>
      </c>
      <c r="AI14" s="118"/>
      <c r="AJ14" s="52">
        <f>COUNTIF(AI14,Tableau353034[[#This Row],[Mur droit en moul. en travail]])</f>
        <v>0</v>
      </c>
      <c r="AK14" s="122"/>
      <c r="AL14" s="52">
        <f t="shared" ref="AL14:AL28" si="17">COUNTIF(AK14,AK14)</f>
        <v>0</v>
      </c>
      <c r="AM14" s="51"/>
      <c r="AN14" s="52">
        <f t="shared" ref="AN14:AN28" si="18">COUNTIF(AM14,AM14)</f>
        <v>0</v>
      </c>
      <c r="AO14" s="126"/>
      <c r="AP14" s="50">
        <f t="shared" si="7"/>
        <v>0</v>
      </c>
      <c r="AQ14" s="130"/>
      <c r="AR14" s="5">
        <f>COUNTIF(Tableau353034[[#This Row],[Mur droit en tête après travail]],Tableau353034[[#This Row],[Mur droit en tête après travail]])</f>
        <v>0</v>
      </c>
      <c r="AU14" s="4" t="s">
        <v>80</v>
      </c>
      <c r="AV14" s="6" t="str">
        <f>IF(ISERROR(SMALL((AV23,AV35,AV47),1)),"-",SMALL((AV23,AV35,AV47),1))</f>
        <v>-</v>
      </c>
      <c r="BA14" t="s">
        <v>27</v>
      </c>
      <c r="BB14">
        <f t="shared" si="10"/>
        <v>14.757890559999993</v>
      </c>
      <c r="BC14">
        <f>SUM(E20,G20,I20,K20,M20,O20,S20,U20,W20,Y20,AA20,AC20,AG20,AI20,AK20,AM20,AO20,AQ20)</f>
        <v>0</v>
      </c>
      <c r="BD14">
        <f t="shared" si="9"/>
        <v>0</v>
      </c>
    </row>
    <row r="15" spans="1:56" ht="26.25" thickTop="1" thickBot="1" x14ac:dyDescent="0.55000000000000004">
      <c r="A15" s="31"/>
      <c r="B15" s="31"/>
      <c r="C15" s="31"/>
      <c r="D15" s="33" t="s">
        <v>6</v>
      </c>
      <c r="E15" s="71"/>
      <c r="F15" s="63">
        <f>COUNTIF(Tableau3530[[#This Row],[cotation]:[Dévers en moulinette à vue]],Tableau3530[[#This Row],[Dévers en moulinette à vue]])</f>
        <v>0</v>
      </c>
      <c r="G15" s="157"/>
      <c r="H15" s="58"/>
      <c r="I15" s="75"/>
      <c r="J15" s="63">
        <f t="shared" si="11"/>
        <v>0</v>
      </c>
      <c r="K15" s="62"/>
      <c r="L15" s="63">
        <f t="shared" si="12"/>
        <v>0</v>
      </c>
      <c r="M15" s="80"/>
      <c r="N15" s="64">
        <f t="shared" si="13"/>
        <v>0</v>
      </c>
      <c r="O15" s="86">
        <v>1</v>
      </c>
      <c r="P15" s="28">
        <f>COUNTIF(Tableau3530[[#This Row],[Dévers en tête après travail]],Tableau3530[[#This Row],[Dévers en tête après travail]])</f>
        <v>1</v>
      </c>
      <c r="Q15" s="7"/>
      <c r="R15" s="33" t="s">
        <v>6</v>
      </c>
      <c r="S15" s="90"/>
      <c r="T15" s="40">
        <f>COUNTIF(Tableau353033[[#This Row],[cotation]:[Dalle en moulinettte à vue]],Tableau353033[[#This Row],[Dalle en moulinettte à vue]])</f>
        <v>0</v>
      </c>
      <c r="U15" s="94"/>
      <c r="V15" s="40">
        <f>COUNTIF(U15,Tableau353033[[#This Row],[Dalle en moulinette en travail]])</f>
        <v>0</v>
      </c>
      <c r="W15" s="98"/>
      <c r="X15" s="40">
        <f t="shared" si="14"/>
        <v>0</v>
      </c>
      <c r="Y15" s="102"/>
      <c r="Z15" s="40">
        <f t="shared" si="15"/>
        <v>0</v>
      </c>
      <c r="AA15" s="106"/>
      <c r="AB15" s="41">
        <f t="shared" si="16"/>
        <v>0</v>
      </c>
      <c r="AC15" s="109"/>
      <c r="AD15" s="5">
        <f>COUNTIF(Tableau353033[[#This Row],[Dalle en tête après travail]],Tableau353033[[#This Row],[Dalle en tête après travail]])</f>
        <v>0</v>
      </c>
      <c r="AF15" s="19" t="s">
        <v>6</v>
      </c>
      <c r="AG15" s="114"/>
      <c r="AH15" s="52">
        <f>COUNTIF(Tableau353034[[#This Row],[cotation]:[Mur droit en moulinette à vue]],Tableau353034[[#This Row],[Mur droit en moulinette à vue]])</f>
        <v>0</v>
      </c>
      <c r="AI15" s="118"/>
      <c r="AJ15" s="52">
        <f>COUNTIF(AI15,Tableau353034[[#This Row],[Mur droit en moul. en travail]])</f>
        <v>0</v>
      </c>
      <c r="AK15" s="122"/>
      <c r="AL15" s="52">
        <f t="shared" si="17"/>
        <v>0</v>
      </c>
      <c r="AM15" s="51"/>
      <c r="AN15" s="52">
        <f t="shared" si="18"/>
        <v>0</v>
      </c>
      <c r="AO15" s="126"/>
      <c r="AP15" s="50">
        <f t="shared" si="7"/>
        <v>0</v>
      </c>
      <c r="AQ15" s="130"/>
      <c r="AR15" s="5">
        <f>COUNTIF(Tableau353034[[#This Row],[Mur droit en tête après travail]],Tableau353034[[#This Row],[Mur droit en tête après travail]])</f>
        <v>0</v>
      </c>
      <c r="AU15" s="4" t="s">
        <v>81</v>
      </c>
      <c r="AV15" s="6" t="str">
        <f>IF(ISERROR(SMALL((AV24,AV36,AV48),1)),"-",SMALL((AV24,AV36,AV48),1))</f>
        <v>-</v>
      </c>
      <c r="BA15" t="s">
        <v>4</v>
      </c>
      <c r="BB15">
        <f t="shared" si="10"/>
        <v>20.661046783999989</v>
      </c>
      <c r="BC15">
        <f>SUM(E19,G19,I19,K19,M19,O19,S19,U19,W19,Y19,AA19,AC19,AG19,AI19,AK19,AM19,AO19,AQ19)</f>
        <v>0</v>
      </c>
      <c r="BD15">
        <f t="shared" si="9"/>
        <v>0</v>
      </c>
    </row>
    <row r="16" spans="1:56" ht="26.25" thickTop="1" thickBot="1" x14ac:dyDescent="0.55000000000000004">
      <c r="A16" s="31"/>
      <c r="B16" s="31"/>
      <c r="C16" s="31"/>
      <c r="D16" s="33" t="s">
        <v>25</v>
      </c>
      <c r="E16" s="71"/>
      <c r="F16" s="63">
        <f>COUNTIF(Tableau3530[[#This Row],[cotation]:[Dévers en moulinette à vue]],Tableau3530[[#This Row],[Dévers en moulinette à vue]])</f>
        <v>0</v>
      </c>
      <c r="G16" s="157"/>
      <c r="H16" s="58"/>
      <c r="I16" s="75"/>
      <c r="J16" s="63">
        <f t="shared" si="11"/>
        <v>0</v>
      </c>
      <c r="K16" s="62"/>
      <c r="L16" s="63">
        <f t="shared" si="12"/>
        <v>0</v>
      </c>
      <c r="M16" s="80"/>
      <c r="N16" s="64">
        <f t="shared" si="13"/>
        <v>0</v>
      </c>
      <c r="O16" s="86"/>
      <c r="P16" s="28">
        <f>COUNTIF(Tableau3530[[#This Row],[Dévers en tête après travail]],Tableau3530[[#This Row],[Dévers en tête après travail]])</f>
        <v>0</v>
      </c>
      <c r="Q16" s="7"/>
      <c r="R16" s="33" t="s">
        <v>25</v>
      </c>
      <c r="S16" s="90"/>
      <c r="T16" s="40">
        <f>COUNTIF(Tableau353033[[#This Row],[cotation]:[Dalle en moulinettte à vue]],Tableau353033[[#This Row],[Dalle en moulinettte à vue]])</f>
        <v>0</v>
      </c>
      <c r="U16" s="94"/>
      <c r="V16" s="40">
        <f>COUNTIF(U16,Tableau353033[[#This Row],[Dalle en moulinette en travail]])</f>
        <v>0</v>
      </c>
      <c r="W16" s="98"/>
      <c r="X16" s="40">
        <f t="shared" si="14"/>
        <v>0</v>
      </c>
      <c r="Y16" s="102"/>
      <c r="Z16" s="40">
        <f t="shared" si="15"/>
        <v>0</v>
      </c>
      <c r="AA16" s="106"/>
      <c r="AB16" s="41">
        <f t="shared" si="16"/>
        <v>0</v>
      </c>
      <c r="AC16" s="109"/>
      <c r="AD16" s="5">
        <f>COUNTIF(Tableau353033[[#This Row],[Dalle en tête après travail]],Tableau353033[[#This Row],[Dalle en tête après travail]])</f>
        <v>0</v>
      </c>
      <c r="AF16" s="19" t="s">
        <v>25</v>
      </c>
      <c r="AG16" s="114"/>
      <c r="AH16" s="52">
        <f>COUNTIF(Tableau353034[[#This Row],[cotation]:[Mur droit en moulinette à vue]],Tableau353034[[#This Row],[Mur droit en moulinette à vue]])</f>
        <v>0</v>
      </c>
      <c r="AI16" s="118"/>
      <c r="AJ16" s="52">
        <f>COUNTIF(AI16,Tableau353034[[#This Row],[Mur droit en moul. en travail]])</f>
        <v>0</v>
      </c>
      <c r="AK16" s="122"/>
      <c r="AL16" s="52">
        <f t="shared" si="17"/>
        <v>0</v>
      </c>
      <c r="AM16" s="51"/>
      <c r="AN16" s="52">
        <f t="shared" si="18"/>
        <v>0</v>
      </c>
      <c r="AO16" s="126"/>
      <c r="AP16" s="50">
        <f t="shared" si="7"/>
        <v>0</v>
      </c>
      <c r="AQ16" s="130"/>
      <c r="AR16" s="5">
        <f>COUNTIF(Tableau353034[[#This Row],[Mur droit en tête après travail]],Tableau353034[[#This Row],[Mur droit en tête après travail]])</f>
        <v>0</v>
      </c>
      <c r="AU16" s="4" t="s">
        <v>65</v>
      </c>
      <c r="AV16" s="6">
        <f>IF(ISERROR(SMALL(AV22:AV27,1)),"-",SMALL(AV22:AV27,1))</f>
        <v>9</v>
      </c>
      <c r="BA16" t="s">
        <v>26</v>
      </c>
      <c r="BB16">
        <f t="shared" si="10"/>
        <v>28.925465497599983</v>
      </c>
      <c r="BC16">
        <f>SUM(E18,G18,I18,K18,M18,O18,S18,U18,W18,Y18,AA18,AC18,AG18,AI18,AK18,AM18,AO18,AQ18)</f>
        <v>0</v>
      </c>
      <c r="BD16">
        <f t="shared" si="9"/>
        <v>0</v>
      </c>
    </row>
    <row r="17" spans="1:56" ht="26.25" thickTop="1" thickBot="1" x14ac:dyDescent="0.55000000000000004">
      <c r="A17" s="31"/>
      <c r="B17" s="31"/>
      <c r="C17" s="31"/>
      <c r="D17" s="33" t="s">
        <v>5</v>
      </c>
      <c r="E17" s="71"/>
      <c r="F17" s="63">
        <f>COUNTIF(Tableau3530[[#This Row],[cotation]:[Dévers en moulinette à vue]],Tableau3530[[#This Row],[Dévers en moulinette à vue]])</f>
        <v>0</v>
      </c>
      <c r="G17" s="157"/>
      <c r="H17" s="58"/>
      <c r="I17" s="75"/>
      <c r="J17" s="63">
        <f t="shared" si="11"/>
        <v>0</v>
      </c>
      <c r="K17" s="62"/>
      <c r="L17" s="63">
        <f t="shared" si="12"/>
        <v>0</v>
      </c>
      <c r="M17" s="80"/>
      <c r="N17" s="64">
        <f t="shared" si="13"/>
        <v>0</v>
      </c>
      <c r="O17" s="86"/>
      <c r="P17" s="28">
        <f>COUNTIF(Tableau3530[[#This Row],[Dévers en tête après travail]],Tableau3530[[#This Row],[Dévers en tête après travail]])</f>
        <v>0</v>
      </c>
      <c r="Q17" s="7"/>
      <c r="R17" s="33" t="s">
        <v>5</v>
      </c>
      <c r="S17" s="90"/>
      <c r="T17" s="40">
        <f>COUNTIF(Tableau353033[[#This Row],[cotation]:[Dalle en moulinettte à vue]],Tableau353033[[#This Row],[Dalle en moulinettte à vue]])</f>
        <v>0</v>
      </c>
      <c r="U17" s="94"/>
      <c r="V17" s="40">
        <f>COUNTIF(U17,Tableau353033[[#This Row],[Dalle en moulinette en travail]])</f>
        <v>0</v>
      </c>
      <c r="W17" s="98"/>
      <c r="X17" s="40">
        <f t="shared" si="14"/>
        <v>0</v>
      </c>
      <c r="Y17" s="102"/>
      <c r="Z17" s="40">
        <f t="shared" si="15"/>
        <v>0</v>
      </c>
      <c r="AA17" s="106"/>
      <c r="AB17" s="41">
        <f t="shared" si="16"/>
        <v>0</v>
      </c>
      <c r="AC17" s="109"/>
      <c r="AD17" s="5">
        <f>COUNTIF(Tableau353033[[#This Row],[Dalle en tête après travail]],Tableau353033[[#This Row],[Dalle en tête après travail]])</f>
        <v>0</v>
      </c>
      <c r="AF17" s="19" t="s">
        <v>5</v>
      </c>
      <c r="AG17" s="114"/>
      <c r="AH17" s="52">
        <f>COUNTIF(Tableau353034[[#This Row],[cotation]:[Mur droit en moulinette à vue]],Tableau353034[[#This Row],[Mur droit en moulinette à vue]])</f>
        <v>0</v>
      </c>
      <c r="AI17" s="118"/>
      <c r="AJ17" s="52">
        <f>COUNTIF(AI17,Tableau353034[[#This Row],[Mur droit en moul. en travail]])</f>
        <v>0</v>
      </c>
      <c r="AK17" s="122"/>
      <c r="AL17" s="52">
        <f t="shared" si="17"/>
        <v>0</v>
      </c>
      <c r="AM17" s="51"/>
      <c r="AN17" s="52">
        <f t="shared" si="18"/>
        <v>0</v>
      </c>
      <c r="AO17" s="126"/>
      <c r="AP17" s="50">
        <f t="shared" si="7"/>
        <v>0</v>
      </c>
      <c r="AQ17" s="130"/>
      <c r="AR17" s="5">
        <f>COUNTIF(Tableau353034[[#This Row],[Mur droit en tête après travail]],Tableau353034[[#This Row],[Mur droit en tête après travail]])</f>
        <v>0</v>
      </c>
      <c r="AU17" s="4" t="s">
        <v>66</v>
      </c>
      <c r="AV17" s="6">
        <f>IF(ISERROR(SMALL((AV25,AV26,AV27),1)),"-",SMALL((AV25,AV26,AV27),1))</f>
        <v>9</v>
      </c>
      <c r="BA17" t="s">
        <v>5</v>
      </c>
      <c r="BB17">
        <f t="shared" si="10"/>
        <v>40.495651696639975</v>
      </c>
      <c r="BC17">
        <f>SUM(E17,G17,I17,K17,M17,O17,S17,U17,W17,Y17,AA17,AC17,AG17,AI17,AK17,AM17,AO17,AQ17)</f>
        <v>0</v>
      </c>
      <c r="BD17">
        <f t="shared" si="9"/>
        <v>0</v>
      </c>
    </row>
    <row r="18" spans="1:56" ht="26.25" thickTop="1" thickBot="1" x14ac:dyDescent="0.55000000000000004">
      <c r="A18" s="31"/>
      <c r="B18" s="31"/>
      <c r="C18" s="31"/>
      <c r="D18" s="33" t="s">
        <v>26</v>
      </c>
      <c r="E18" s="71"/>
      <c r="F18" s="63">
        <f>COUNTIF(Tableau3530[[#This Row],[cotation]:[Dévers en moulinette à vue]],Tableau3530[[#This Row],[Dévers en moulinette à vue]])</f>
        <v>0</v>
      </c>
      <c r="G18" s="157"/>
      <c r="H18" s="58"/>
      <c r="I18" s="75"/>
      <c r="J18" s="63">
        <f t="shared" si="11"/>
        <v>0</v>
      </c>
      <c r="K18" s="62"/>
      <c r="L18" s="63">
        <f t="shared" si="12"/>
        <v>0</v>
      </c>
      <c r="M18" s="80"/>
      <c r="N18" s="64">
        <f t="shared" si="13"/>
        <v>0</v>
      </c>
      <c r="O18" s="86"/>
      <c r="P18" s="28">
        <f>COUNTIF(Tableau3530[[#This Row],[Dévers en tête après travail]],Tableau3530[[#This Row],[Dévers en tête après travail]])</f>
        <v>0</v>
      </c>
      <c r="Q18" s="7"/>
      <c r="R18" s="33" t="s">
        <v>26</v>
      </c>
      <c r="S18" s="90"/>
      <c r="T18" s="40">
        <f>COUNTIF(Tableau353033[[#This Row],[cotation]:[Dalle en moulinettte à vue]],Tableau353033[[#This Row],[Dalle en moulinettte à vue]])</f>
        <v>0</v>
      </c>
      <c r="U18" s="94"/>
      <c r="V18" s="40">
        <f>COUNTIF(U18,Tableau353033[[#This Row],[Dalle en moulinette en travail]])</f>
        <v>0</v>
      </c>
      <c r="W18" s="98"/>
      <c r="X18" s="40">
        <f t="shared" si="14"/>
        <v>0</v>
      </c>
      <c r="Y18" s="102"/>
      <c r="Z18" s="40">
        <f t="shared" si="15"/>
        <v>0</v>
      </c>
      <c r="AA18" s="106"/>
      <c r="AB18" s="41">
        <f t="shared" si="16"/>
        <v>0</v>
      </c>
      <c r="AC18" s="109"/>
      <c r="AD18" s="5">
        <f>COUNTIF(Tableau353033[[#This Row],[Dalle en tête après travail]],Tableau353033[[#This Row],[Dalle en tête après travail]])</f>
        <v>0</v>
      </c>
      <c r="AF18" s="19" t="s">
        <v>26</v>
      </c>
      <c r="AG18" s="114"/>
      <c r="AH18" s="52">
        <f>COUNTIF(Tableau353034[[#This Row],[cotation]:[Mur droit en moulinette à vue]],Tableau353034[[#This Row],[Mur droit en moulinette à vue]])</f>
        <v>0</v>
      </c>
      <c r="AI18" s="118"/>
      <c r="AJ18" s="52">
        <f>COUNTIF(AI18,Tableau353034[[#This Row],[Mur droit en moul. en travail]])</f>
        <v>0</v>
      </c>
      <c r="AK18" s="122"/>
      <c r="AL18" s="52">
        <f t="shared" si="17"/>
        <v>0</v>
      </c>
      <c r="AM18" s="51"/>
      <c r="AN18" s="52">
        <f t="shared" si="18"/>
        <v>0</v>
      </c>
      <c r="AO18" s="126"/>
      <c r="AP18" s="50">
        <f t="shared" si="7"/>
        <v>0</v>
      </c>
      <c r="AQ18" s="130"/>
      <c r="AR18" s="5">
        <f>COUNTIF(Tableau353034[[#This Row],[Mur droit en tête après travail]],Tableau353034[[#This Row],[Mur droit en tête après travail]])</f>
        <v>0</v>
      </c>
      <c r="AU18" s="4" t="s">
        <v>67</v>
      </c>
      <c r="AV18" s="6" t="str">
        <f>IF(ISERROR(SMALL((AV22,AV23,AV24),1)),"-",SMALL((AV22,AV23,AV24),1))</f>
        <v>-</v>
      </c>
      <c r="BA18" t="s">
        <v>25</v>
      </c>
      <c r="BB18">
        <f t="shared" si="10"/>
        <v>56.693912375295959</v>
      </c>
      <c r="BC18">
        <f>SUM(E16,G16,I16,K16,M16,O16,S16,U16,W16,Y16,AA16,AC16,AG16,AI16,AK16,AM16,AO16,AQ16)</f>
        <v>0</v>
      </c>
      <c r="BD18">
        <f t="shared" si="9"/>
        <v>0</v>
      </c>
    </row>
    <row r="19" spans="1:56" ht="26.25" thickTop="1" thickBot="1" x14ac:dyDescent="0.55000000000000004">
      <c r="A19" s="31"/>
      <c r="B19" s="31"/>
      <c r="C19" s="31"/>
      <c r="D19" s="33" t="s">
        <v>4</v>
      </c>
      <c r="E19" s="71"/>
      <c r="F19" s="63">
        <f>COUNTIF(Tableau3530[[#This Row],[cotation]:[Dévers en moulinette à vue]],Tableau3530[[#This Row],[Dévers en moulinette à vue]])</f>
        <v>0</v>
      </c>
      <c r="G19" s="157"/>
      <c r="H19" s="58"/>
      <c r="I19" s="75"/>
      <c r="J19" s="63">
        <f t="shared" si="11"/>
        <v>0</v>
      </c>
      <c r="K19" s="62"/>
      <c r="L19" s="63">
        <f t="shared" si="12"/>
        <v>0</v>
      </c>
      <c r="M19" s="80"/>
      <c r="N19" s="64">
        <f t="shared" si="13"/>
        <v>0</v>
      </c>
      <c r="O19" s="86"/>
      <c r="P19" s="28">
        <f>COUNTIF(Tableau3530[[#This Row],[Dévers en tête après travail]],Tableau3530[[#This Row],[Dévers en tête après travail]])</f>
        <v>0</v>
      </c>
      <c r="Q19" s="7"/>
      <c r="R19" s="33" t="s">
        <v>4</v>
      </c>
      <c r="S19" s="90"/>
      <c r="T19" s="40">
        <f>COUNTIF(Tableau353033[[#This Row],[cotation]:[Dalle en moulinettte à vue]],Tableau353033[[#This Row],[Dalle en moulinettte à vue]])</f>
        <v>0</v>
      </c>
      <c r="U19" s="94"/>
      <c r="V19" s="40">
        <f>COUNTIF(U19,Tableau353033[[#This Row],[Dalle en moulinette en travail]])</f>
        <v>0</v>
      </c>
      <c r="W19" s="98"/>
      <c r="X19" s="40">
        <f t="shared" si="14"/>
        <v>0</v>
      </c>
      <c r="Y19" s="102"/>
      <c r="Z19" s="40">
        <f t="shared" si="15"/>
        <v>0</v>
      </c>
      <c r="AA19" s="106"/>
      <c r="AB19" s="41">
        <f t="shared" si="16"/>
        <v>0</v>
      </c>
      <c r="AC19" s="109"/>
      <c r="AD19" s="5">
        <f>COUNTIF(Tableau353033[[#This Row],[Dalle en tête après travail]],Tableau353033[[#This Row],[Dalle en tête après travail]])</f>
        <v>0</v>
      </c>
      <c r="AF19" s="19" t="s">
        <v>4</v>
      </c>
      <c r="AG19" s="114"/>
      <c r="AH19" s="52">
        <f>COUNTIF(Tableau353034[[#This Row],[cotation]:[Mur droit en moulinette à vue]],Tableau353034[[#This Row],[Mur droit en moulinette à vue]])</f>
        <v>0</v>
      </c>
      <c r="AI19" s="118"/>
      <c r="AJ19" s="52">
        <f>COUNTIF(AI19,Tableau353034[[#This Row],[Mur droit en moul. en travail]])</f>
        <v>0</v>
      </c>
      <c r="AK19" s="122"/>
      <c r="AL19" s="52">
        <f t="shared" si="17"/>
        <v>0</v>
      </c>
      <c r="AM19" s="51"/>
      <c r="AN19" s="52">
        <f t="shared" si="18"/>
        <v>0</v>
      </c>
      <c r="AO19" s="126"/>
      <c r="AP19" s="50">
        <f t="shared" si="7"/>
        <v>0</v>
      </c>
      <c r="AQ19" s="130"/>
      <c r="AR19" s="5">
        <f>COUNTIF(Tableau353034[[#This Row],[Mur droit en tête après travail]],Tableau353034[[#This Row],[Mur droit en tête après travail]])</f>
        <v>0</v>
      </c>
      <c r="AU19" s="4" t="s">
        <v>68</v>
      </c>
      <c r="AV19" s="6">
        <f>IF(ISERROR(SMALL((AV22,AV25),1)),"-",SMALL((AV22,AV25),1))</f>
        <v>20</v>
      </c>
      <c r="BA19" t="s">
        <v>6</v>
      </c>
      <c r="BB19">
        <f t="shared" si="10"/>
        <v>79.371477325414332</v>
      </c>
      <c r="BC19">
        <f>SUM(E15,G15,I15,K15,M15,O15,S15,U15,W15,Y15,AA15,AC15,AG15,AI15,AK15,AM15,AO15,AQ15)</f>
        <v>1</v>
      </c>
      <c r="BD19">
        <f t="shared" si="9"/>
        <v>79.371477325414332</v>
      </c>
    </row>
    <row r="20" spans="1:56" ht="26.25" thickTop="1" thickBot="1" x14ac:dyDescent="0.55000000000000004">
      <c r="A20" s="31"/>
      <c r="B20" s="31"/>
      <c r="C20" s="31"/>
      <c r="D20" s="33" t="s">
        <v>27</v>
      </c>
      <c r="E20" s="71"/>
      <c r="F20" s="63">
        <f>COUNTIF(Tableau3530[[#This Row],[cotation]:[Dévers en moulinette à vue]],Tableau3530[[#This Row],[Dévers en moulinette à vue]])</f>
        <v>0</v>
      </c>
      <c r="G20" s="157"/>
      <c r="H20" s="58"/>
      <c r="I20" s="75"/>
      <c r="J20" s="63">
        <f t="shared" si="11"/>
        <v>0</v>
      </c>
      <c r="K20" s="62"/>
      <c r="L20" s="63">
        <f t="shared" si="12"/>
        <v>0</v>
      </c>
      <c r="M20" s="80"/>
      <c r="N20" s="64">
        <f t="shared" si="13"/>
        <v>0</v>
      </c>
      <c r="O20" s="86"/>
      <c r="P20" s="28">
        <f>COUNTIF(Tableau3530[[#This Row],[Dévers en tête après travail]],Tableau3530[[#This Row],[Dévers en tête après travail]])</f>
        <v>0</v>
      </c>
      <c r="Q20" s="7"/>
      <c r="R20" s="33" t="s">
        <v>27</v>
      </c>
      <c r="S20" s="90"/>
      <c r="T20" s="40">
        <f>COUNTIF(Tableau353033[[#This Row],[cotation]:[Dalle en moulinettte à vue]],Tableau353033[[#This Row],[Dalle en moulinettte à vue]])</f>
        <v>0</v>
      </c>
      <c r="U20" s="94"/>
      <c r="V20" s="40">
        <f>COUNTIF(U20,Tableau353033[[#This Row],[Dalle en moulinette en travail]])</f>
        <v>0</v>
      </c>
      <c r="W20" s="98"/>
      <c r="X20" s="40">
        <f t="shared" si="14"/>
        <v>0</v>
      </c>
      <c r="Y20" s="102"/>
      <c r="Z20" s="40">
        <f t="shared" si="15"/>
        <v>0</v>
      </c>
      <c r="AA20" s="106"/>
      <c r="AB20" s="41">
        <f t="shared" si="16"/>
        <v>0</v>
      </c>
      <c r="AC20" s="109"/>
      <c r="AD20" s="5">
        <f>COUNTIF(Tableau353033[[#This Row],[Dalle en tête après travail]],Tableau353033[[#This Row],[Dalle en tête après travail]])</f>
        <v>0</v>
      </c>
      <c r="AF20" s="19" t="s">
        <v>27</v>
      </c>
      <c r="AG20" s="114"/>
      <c r="AH20" s="52">
        <f>COUNTIF(Tableau353034[[#This Row],[cotation]:[Mur droit en moulinette à vue]],Tableau353034[[#This Row],[Mur droit en moulinette à vue]])</f>
        <v>0</v>
      </c>
      <c r="AI20" s="118"/>
      <c r="AJ20" s="52">
        <f>COUNTIF(AI20,Tableau353034[[#This Row],[Mur droit en moul. en travail]])</f>
        <v>0</v>
      </c>
      <c r="AK20" s="122"/>
      <c r="AL20" s="52">
        <f t="shared" si="17"/>
        <v>0</v>
      </c>
      <c r="AM20" s="51"/>
      <c r="AN20" s="52">
        <f t="shared" si="18"/>
        <v>0</v>
      </c>
      <c r="AO20" s="126"/>
      <c r="AP20" s="50">
        <f t="shared" si="7"/>
        <v>0</v>
      </c>
      <c r="AQ20" s="130"/>
      <c r="AR20" s="5">
        <f>COUNTIF(Tableau353034[[#This Row],[Mur droit en tête après travail]],Tableau353034[[#This Row],[Mur droit en tête après travail]])</f>
        <v>0</v>
      </c>
      <c r="AU20" s="4" t="s">
        <v>69</v>
      </c>
      <c r="AV20" s="6">
        <f>IF(ISERROR(SMALL((AV23,AV26),1)),"-",SMALL((AV23,AV26),1))</f>
        <v>9</v>
      </c>
      <c r="BA20" t="s">
        <v>24</v>
      </c>
      <c r="BB20">
        <f t="shared" si="10"/>
        <v>111.12006825558007</v>
      </c>
      <c r="BC20">
        <f>SUM(E14,G14,I14,K14,M14,O14,U14,W14,Y14,AA14,AC14,S14,AG14,AI14,AK14,AM14,AO14,AQ14)</f>
        <v>0</v>
      </c>
      <c r="BD20">
        <f t="shared" si="9"/>
        <v>0</v>
      </c>
    </row>
    <row r="21" spans="1:56" ht="25.5" thickTop="1" x14ac:dyDescent="0.5">
      <c r="A21" s="31"/>
      <c r="B21" s="31"/>
      <c r="C21" s="31"/>
      <c r="D21" s="33" t="s">
        <v>3</v>
      </c>
      <c r="E21" s="71"/>
      <c r="F21" s="63">
        <f>COUNTIF(Tableau3530[[#This Row],[cotation]:[Dévers en moulinette à vue]],Tableau3530[[#This Row],[Dévers en moulinette à vue]])</f>
        <v>0</v>
      </c>
      <c r="G21" s="157"/>
      <c r="H21" s="58"/>
      <c r="I21" s="75"/>
      <c r="J21" s="63">
        <f t="shared" si="11"/>
        <v>0</v>
      </c>
      <c r="K21" s="62"/>
      <c r="L21" s="63">
        <f t="shared" si="12"/>
        <v>0</v>
      </c>
      <c r="M21" s="80"/>
      <c r="N21" s="64">
        <f t="shared" si="13"/>
        <v>0</v>
      </c>
      <c r="O21" s="86"/>
      <c r="P21" s="28">
        <f>COUNTIF(Tableau3530[[#This Row],[Dévers en tête après travail]],Tableau3530[[#This Row],[Dévers en tête après travail]])</f>
        <v>0</v>
      </c>
      <c r="Q21" s="7"/>
      <c r="R21" s="33" t="s">
        <v>3</v>
      </c>
      <c r="S21" s="90"/>
      <c r="T21" s="40">
        <f>COUNTIF(Tableau353033[[#This Row],[cotation]:[Dalle en moulinettte à vue]],Tableau353033[[#This Row],[Dalle en moulinettte à vue]])</f>
        <v>0</v>
      </c>
      <c r="U21" s="94"/>
      <c r="V21" s="40">
        <f>COUNTIF(U21,Tableau353033[[#This Row],[Dalle en moulinette en travail]])</f>
        <v>0</v>
      </c>
      <c r="W21" s="98"/>
      <c r="X21" s="40">
        <f t="shared" si="14"/>
        <v>0</v>
      </c>
      <c r="Y21" s="102"/>
      <c r="Z21" s="40">
        <f t="shared" si="15"/>
        <v>0</v>
      </c>
      <c r="AA21" s="106"/>
      <c r="AB21" s="41">
        <f t="shared" si="16"/>
        <v>0</v>
      </c>
      <c r="AC21" s="109"/>
      <c r="AD21" s="5">
        <f>COUNTIF(Tableau353033[[#This Row],[Dalle en tête après travail]],Tableau353033[[#This Row],[Dalle en tête après travail]])</f>
        <v>0</v>
      </c>
      <c r="AF21" s="19" t="s">
        <v>3</v>
      </c>
      <c r="AG21" s="114"/>
      <c r="AH21" s="52">
        <f>COUNTIF(Tableau353034[[#This Row],[cotation]:[Mur droit en moulinette à vue]],Tableau353034[[#This Row],[Mur droit en moulinette à vue]])</f>
        <v>0</v>
      </c>
      <c r="AI21" s="118"/>
      <c r="AJ21" s="52">
        <f>COUNTIF(AI21,Tableau353034[[#This Row],[Mur droit en moul. en travail]])</f>
        <v>0</v>
      </c>
      <c r="AK21" s="122"/>
      <c r="AL21" s="52">
        <f t="shared" si="17"/>
        <v>0</v>
      </c>
      <c r="AM21" s="51"/>
      <c r="AN21" s="52">
        <f t="shared" si="18"/>
        <v>0</v>
      </c>
      <c r="AO21" s="126"/>
      <c r="AP21" s="50">
        <f t="shared" si="7"/>
        <v>0</v>
      </c>
      <c r="AQ21" s="130"/>
      <c r="AR21" s="5">
        <f>COUNTIF(Tableau353034[[#This Row],[Mur droit en tête après travail]],Tableau353034[[#This Row],[Mur droit en tête après travail]])</f>
        <v>0</v>
      </c>
      <c r="AU21" s="4" t="s">
        <v>70</v>
      </c>
      <c r="AV21" s="6">
        <f>IF(ISERROR(SMALL((AV24,AV27),1)),"-",SMALL((AV24,AV27),1))</f>
        <v>10</v>
      </c>
      <c r="BA21" t="s">
        <v>7</v>
      </c>
      <c r="BB21">
        <f t="shared" si="10"/>
        <v>155.56809555781209</v>
      </c>
      <c r="BC21">
        <f>SUM(E13,G13,I13,K13,M13,O13,S13,U13,W13,Y13,AA13,AC13,AG13,AI13,AK13,AM13,AO13,AQ13)</f>
        <v>0</v>
      </c>
      <c r="BD21">
        <f t="shared" si="9"/>
        <v>0</v>
      </c>
    </row>
    <row r="22" spans="1:56" ht="25.5" thickBot="1" x14ac:dyDescent="0.55000000000000004">
      <c r="A22" s="31"/>
      <c r="B22" s="31"/>
      <c r="C22" s="31"/>
      <c r="D22" s="33" t="s">
        <v>28</v>
      </c>
      <c r="E22" s="71"/>
      <c r="F22" s="63">
        <f>COUNTIF(Tableau3530[[#This Row],[cotation]:[Dévers en moulinette à vue]],Tableau3530[[#This Row],[Dévers en moulinette à vue]])</f>
        <v>0</v>
      </c>
      <c r="G22" s="157"/>
      <c r="H22" s="58"/>
      <c r="I22" s="75"/>
      <c r="J22" s="63">
        <f t="shared" si="11"/>
        <v>0</v>
      </c>
      <c r="K22" s="62">
        <v>3</v>
      </c>
      <c r="L22" s="63">
        <f t="shared" si="12"/>
        <v>1</v>
      </c>
      <c r="M22" s="80"/>
      <c r="N22" s="64">
        <f t="shared" si="13"/>
        <v>0</v>
      </c>
      <c r="O22" s="86"/>
      <c r="P22" s="28">
        <f>COUNTIF(Tableau3530[[#This Row],[Dévers en tête après travail]],Tableau3530[[#This Row],[Dévers en tête après travail]])</f>
        <v>0</v>
      </c>
      <c r="Q22" s="7"/>
      <c r="R22" s="33" t="s">
        <v>28</v>
      </c>
      <c r="S22" s="90"/>
      <c r="T22" s="40">
        <f>COUNTIF(Tableau353033[[#This Row],[cotation]:[Dalle en moulinettte à vue]],Tableau353033[[#This Row],[Dalle en moulinettte à vue]])</f>
        <v>0</v>
      </c>
      <c r="U22" s="94"/>
      <c r="V22" s="40">
        <f>COUNTIF(U22,Tableau353033[[#This Row],[Dalle en moulinette en travail]])</f>
        <v>0</v>
      </c>
      <c r="W22" s="98"/>
      <c r="X22" s="40">
        <f t="shared" si="14"/>
        <v>0</v>
      </c>
      <c r="Y22" s="102"/>
      <c r="Z22" s="40">
        <f t="shared" si="15"/>
        <v>0</v>
      </c>
      <c r="AA22" s="106"/>
      <c r="AB22" s="41">
        <f t="shared" si="16"/>
        <v>0</v>
      </c>
      <c r="AC22" s="109"/>
      <c r="AD22" s="5">
        <f>COUNTIF(Tableau353033[[#This Row],[Dalle en tête après travail]],Tableau353033[[#This Row],[Dalle en tête après travail]])</f>
        <v>0</v>
      </c>
      <c r="AF22" s="19" t="s">
        <v>28</v>
      </c>
      <c r="AG22" s="114"/>
      <c r="AH22" s="52">
        <f>COUNTIF(Tableau353034[[#This Row],[cotation]:[Mur droit en moulinette à vue]],Tableau353034[[#This Row],[Mur droit en moulinette à vue]])</f>
        <v>0</v>
      </c>
      <c r="AI22" s="118"/>
      <c r="AJ22" s="52">
        <f>COUNTIF(AI22,Tableau353034[[#This Row],[Mur droit en moul. en travail]])</f>
        <v>0</v>
      </c>
      <c r="AK22" s="122"/>
      <c r="AL22" s="52">
        <f t="shared" si="17"/>
        <v>0</v>
      </c>
      <c r="AM22" s="51"/>
      <c r="AN22" s="52">
        <f t="shared" si="18"/>
        <v>0</v>
      </c>
      <c r="AO22" s="126"/>
      <c r="AP22" s="50">
        <f t="shared" si="7"/>
        <v>0</v>
      </c>
      <c r="AQ22" s="130"/>
      <c r="AR22" s="5">
        <f>COUNTIF(Tableau353034[[#This Row],[Mur droit en tête après travail]],Tableau353034[[#This Row],[Mur droit en tête après travail]])</f>
        <v>0</v>
      </c>
      <c r="AU22" s="4" t="s">
        <v>44</v>
      </c>
      <c r="AV22" s="8" t="str">
        <f>IF(ISERROR(MATCH(1,Tableau3530[Colonne1],0)),"-",MATCH(1,Tableau3530[Colonne1],0))</f>
        <v>-</v>
      </c>
      <c r="BA22" t="s">
        <v>23</v>
      </c>
      <c r="BB22">
        <f t="shared" si="10"/>
        <v>217.79533378093691</v>
      </c>
      <c r="BC22">
        <f>SUM(E12,G12,I12,K12,M12,O12,S12,U12,W12,Y12,AA12,AC12,AG12,AI12,AK12,AM12,AO12,AQ12)</f>
        <v>2</v>
      </c>
      <c r="BD22">
        <f t="shared" si="9"/>
        <v>435.59066756187383</v>
      </c>
    </row>
    <row r="23" spans="1:56" ht="26.25" thickTop="1" thickBot="1" x14ac:dyDescent="0.55000000000000004">
      <c r="A23" s="31"/>
      <c r="B23" s="31"/>
      <c r="C23" s="31"/>
      <c r="D23" s="33" t="s">
        <v>2</v>
      </c>
      <c r="E23" s="71"/>
      <c r="F23" s="63">
        <f>COUNTIF(Tableau3530[[#This Row],[cotation]:[Dévers en moulinette à vue]],Tableau3530[[#This Row],[Dévers en moulinette à vue]])</f>
        <v>0</v>
      </c>
      <c r="G23" s="157"/>
      <c r="H23" s="58"/>
      <c r="I23" s="75"/>
      <c r="J23" s="63">
        <f t="shared" si="11"/>
        <v>0</v>
      </c>
      <c r="K23" s="62"/>
      <c r="L23" s="63">
        <f t="shared" si="12"/>
        <v>0</v>
      </c>
      <c r="M23" s="80"/>
      <c r="N23" s="64">
        <f t="shared" si="13"/>
        <v>0</v>
      </c>
      <c r="O23" s="86"/>
      <c r="P23" s="28">
        <f>COUNTIF(Tableau3530[[#This Row],[Dévers en tête après travail]],Tableau3530[[#This Row],[Dévers en tête après travail]])</f>
        <v>0</v>
      </c>
      <c r="Q23" s="7"/>
      <c r="R23" s="33" t="s">
        <v>2</v>
      </c>
      <c r="S23" s="90">
        <v>5</v>
      </c>
      <c r="T23" s="40">
        <f>COUNTIF(Tableau353033[[#This Row],[cotation]:[Dalle en moulinettte à vue]],Tableau353033[[#This Row],[Dalle en moulinettte à vue]])</f>
        <v>1</v>
      </c>
      <c r="U23" s="94"/>
      <c r="V23" s="40">
        <f>COUNTIF(U23,Tableau353033[[#This Row],[Dalle en moulinette en travail]])</f>
        <v>0</v>
      </c>
      <c r="W23" s="98"/>
      <c r="X23" s="40">
        <f t="shared" si="14"/>
        <v>0</v>
      </c>
      <c r="Y23" s="102"/>
      <c r="Z23" s="40">
        <f t="shared" si="15"/>
        <v>0</v>
      </c>
      <c r="AA23" s="106"/>
      <c r="AB23" s="41">
        <f t="shared" si="16"/>
        <v>0</v>
      </c>
      <c r="AC23" s="109"/>
      <c r="AD23" s="5">
        <f>COUNTIF(Tableau353033[[#This Row],[Dalle en tête après travail]],Tableau353033[[#This Row],[Dalle en tête après travail]])</f>
        <v>0</v>
      </c>
      <c r="AF23" s="19" t="s">
        <v>2</v>
      </c>
      <c r="AG23" s="114"/>
      <c r="AH23" s="52">
        <f>COUNTIF(Tableau353034[[#This Row],[cotation]:[Mur droit en moulinette à vue]],Tableau353034[[#This Row],[Mur droit en moulinette à vue]])</f>
        <v>0</v>
      </c>
      <c r="AI23" s="118"/>
      <c r="AJ23" s="52">
        <f>COUNTIF(AI23,Tableau353034[[#This Row],[Mur droit en moul. en travail]])</f>
        <v>0</v>
      </c>
      <c r="AK23" s="122"/>
      <c r="AL23" s="52">
        <f t="shared" si="17"/>
        <v>0</v>
      </c>
      <c r="AM23" s="51"/>
      <c r="AN23" s="52">
        <f t="shared" si="18"/>
        <v>0</v>
      </c>
      <c r="AO23" s="126"/>
      <c r="AP23" s="50">
        <f t="shared" si="7"/>
        <v>0</v>
      </c>
      <c r="AQ23" s="130"/>
      <c r="AR23" s="5">
        <f>COUNTIF(Tableau353034[[#This Row],[Mur droit en tête après travail]],Tableau353034[[#This Row],[Mur droit en tête après travail]])</f>
        <v>0</v>
      </c>
      <c r="AU23" s="4" t="s">
        <v>45</v>
      </c>
      <c r="AV23" s="9" t="str">
        <f>IF(ISERROR(MATCH(1,Tableau3530[Colonne2],0)),"-",MATCH(1,Tableau3530[Colonne2],0))</f>
        <v>-</v>
      </c>
      <c r="BA23" t="s">
        <v>8</v>
      </c>
      <c r="BB23">
        <f t="shared" si="10"/>
        <v>304.91346729331167</v>
      </c>
      <c r="BC23">
        <f>SUM(E11,G11,I11,K11,M11,O11,S11,U11,W11,Y11,AA11,AC11,AG11,AI11,AK11,AM11,AO11,AQ11)</f>
        <v>1</v>
      </c>
      <c r="BD23">
        <f t="shared" si="9"/>
        <v>304.91346729331167</v>
      </c>
    </row>
    <row r="24" spans="1:56" ht="26.25" thickTop="1" thickBot="1" x14ac:dyDescent="0.55000000000000004">
      <c r="A24" s="31"/>
      <c r="B24" s="31"/>
      <c r="C24" s="31"/>
      <c r="D24" s="33" t="s">
        <v>29</v>
      </c>
      <c r="E24" s="71"/>
      <c r="F24" s="63">
        <f>COUNTIF(Tableau3530[[#This Row],[cotation]:[Dévers en moulinette à vue]],Tableau3530[[#This Row],[Dévers en moulinette à vue]])</f>
        <v>0</v>
      </c>
      <c r="G24" s="157"/>
      <c r="H24" s="58"/>
      <c r="I24" s="75"/>
      <c r="J24" s="63">
        <f t="shared" si="11"/>
        <v>0</v>
      </c>
      <c r="K24" s="62"/>
      <c r="L24" s="63">
        <f t="shared" si="12"/>
        <v>0</v>
      </c>
      <c r="M24" s="80"/>
      <c r="N24" s="64">
        <f t="shared" si="13"/>
        <v>0</v>
      </c>
      <c r="O24" s="86"/>
      <c r="P24" s="28">
        <f>COUNTIF(Tableau3530[[#This Row],[Dévers en tête après travail]],Tableau3530[[#This Row],[Dévers en tête après travail]])</f>
        <v>0</v>
      </c>
      <c r="Q24" s="7"/>
      <c r="R24" s="33" t="s">
        <v>29</v>
      </c>
      <c r="S24" s="90"/>
      <c r="T24" s="40">
        <f>COUNTIF(Tableau353033[[#This Row],[cotation]:[Dalle en moulinettte à vue]],Tableau353033[[#This Row],[Dalle en moulinettte à vue]])</f>
        <v>0</v>
      </c>
      <c r="U24" s="94"/>
      <c r="V24" s="40">
        <f>COUNTIF(U24,Tableau353033[[#This Row],[Dalle en moulinette en travail]])</f>
        <v>0</v>
      </c>
      <c r="W24" s="98"/>
      <c r="X24" s="40">
        <f t="shared" si="14"/>
        <v>0</v>
      </c>
      <c r="Y24" s="102"/>
      <c r="Z24" s="40">
        <f t="shared" si="15"/>
        <v>0</v>
      </c>
      <c r="AA24" s="106"/>
      <c r="AB24" s="41">
        <f t="shared" si="16"/>
        <v>0</v>
      </c>
      <c r="AC24" s="109"/>
      <c r="AD24" s="5">
        <f>COUNTIF(Tableau353033[[#This Row],[Dalle en tête après travail]],Tableau353033[[#This Row],[Dalle en tête après travail]])</f>
        <v>0</v>
      </c>
      <c r="AF24" s="19" t="s">
        <v>29</v>
      </c>
      <c r="AG24" s="114"/>
      <c r="AH24" s="52">
        <f>COUNTIF(Tableau353034[[#This Row],[cotation]:[Mur droit en moulinette à vue]],Tableau353034[[#This Row],[Mur droit en moulinette à vue]])</f>
        <v>0</v>
      </c>
      <c r="AI24" s="118"/>
      <c r="AJ24" s="52">
        <f>COUNTIF(AI24,Tableau353034[[#This Row],[Mur droit en moul. en travail]])</f>
        <v>0</v>
      </c>
      <c r="AK24" s="122"/>
      <c r="AL24" s="52">
        <f t="shared" si="17"/>
        <v>0</v>
      </c>
      <c r="AM24" s="51"/>
      <c r="AN24" s="52">
        <f t="shared" si="18"/>
        <v>0</v>
      </c>
      <c r="AO24" s="126"/>
      <c r="AP24" s="50">
        <f t="shared" si="7"/>
        <v>0</v>
      </c>
      <c r="AQ24" s="130"/>
      <c r="AR24" s="5">
        <f>COUNTIF(Tableau353034[[#This Row],[Mur droit en tête après travail]],Tableau353034[[#This Row],[Mur droit en tête après travail]])</f>
        <v>0</v>
      </c>
      <c r="AU24" s="4" t="s">
        <v>46</v>
      </c>
      <c r="AV24" s="9" t="str">
        <f>IF(ISERROR(MATCH(1,Tableau3530[perf DEMAT],0)),"-",MATCH(1,Tableau3530[perf DEMAT],0))</f>
        <v>-</v>
      </c>
      <c r="BA24" t="s">
        <v>22</v>
      </c>
      <c r="BB24">
        <f t="shared" si="10"/>
        <v>426.87885421063629</v>
      </c>
      <c r="BC24">
        <f>SUM(E10,G10,I10,K10,M10,O10,S10,U10,W10,Y10,AA10,AC10,AG10,AI10,AK10,AM10,AO10,AQ10)</f>
        <v>0</v>
      </c>
      <c r="BD24">
        <f t="shared" si="9"/>
        <v>0</v>
      </c>
    </row>
    <row r="25" spans="1:56" ht="25.5" thickTop="1" x14ac:dyDescent="0.5">
      <c r="A25" s="31"/>
      <c r="B25" s="31"/>
      <c r="C25" s="31"/>
      <c r="D25" s="33" t="s">
        <v>1</v>
      </c>
      <c r="E25" s="71"/>
      <c r="F25" s="63">
        <f>COUNTIF(Tableau3530[[#This Row],[cotation]:[Dévers en moulinette à vue]],Tableau3530[[#This Row],[Dévers en moulinette à vue]])</f>
        <v>0</v>
      </c>
      <c r="G25" s="157"/>
      <c r="H25" s="58"/>
      <c r="I25" s="75"/>
      <c r="J25" s="63">
        <f t="shared" si="11"/>
        <v>0</v>
      </c>
      <c r="K25" s="62"/>
      <c r="L25" s="63">
        <f t="shared" si="12"/>
        <v>0</v>
      </c>
      <c r="M25" s="80"/>
      <c r="N25" s="64">
        <f t="shared" si="13"/>
        <v>0</v>
      </c>
      <c r="O25" s="86"/>
      <c r="P25" s="28">
        <f>COUNTIF(Tableau3530[[#This Row],[Dévers en tête après travail]],Tableau3530[[#This Row],[Dévers en tête après travail]])</f>
        <v>0</v>
      </c>
      <c r="Q25" s="7"/>
      <c r="R25" s="33" t="s">
        <v>1</v>
      </c>
      <c r="S25" s="90"/>
      <c r="T25" s="40">
        <f>COUNTIF(Tableau353033[[#This Row],[cotation]:[Dalle en moulinettte à vue]],Tableau353033[[#This Row],[Dalle en moulinettte à vue]])</f>
        <v>0</v>
      </c>
      <c r="U25" s="94"/>
      <c r="V25" s="40">
        <f>COUNTIF(U25,Tableau353033[[#This Row],[Dalle en moulinette en travail]])</f>
        <v>0</v>
      </c>
      <c r="W25" s="98"/>
      <c r="X25" s="40">
        <f t="shared" si="14"/>
        <v>0</v>
      </c>
      <c r="Y25" s="102"/>
      <c r="Z25" s="40">
        <f t="shared" si="15"/>
        <v>0</v>
      </c>
      <c r="AA25" s="106"/>
      <c r="AB25" s="41">
        <f t="shared" si="16"/>
        <v>0</v>
      </c>
      <c r="AC25" s="109"/>
      <c r="AD25" s="5">
        <f>COUNTIF(Tableau353033[[#This Row],[Dalle en tête après travail]],Tableau353033[[#This Row],[Dalle en tête après travail]])</f>
        <v>0</v>
      </c>
      <c r="AF25" s="19" t="s">
        <v>1</v>
      </c>
      <c r="AG25" s="114"/>
      <c r="AH25" s="52">
        <f>COUNTIF(Tableau353034[[#This Row],[cotation]:[Mur droit en moulinette à vue]],Tableau353034[[#This Row],[Mur droit en moulinette à vue]])</f>
        <v>0</v>
      </c>
      <c r="AI25" s="118"/>
      <c r="AJ25" s="52">
        <f>COUNTIF(AI25,Tableau353034[[#This Row],[Mur droit en moul. en travail]])</f>
        <v>0</v>
      </c>
      <c r="AK25" s="122"/>
      <c r="AL25" s="52">
        <f t="shared" si="17"/>
        <v>0</v>
      </c>
      <c r="AM25" s="51"/>
      <c r="AN25" s="52">
        <f t="shared" si="18"/>
        <v>0</v>
      </c>
      <c r="AO25" s="126"/>
      <c r="AP25" s="50">
        <f t="shared" si="7"/>
        <v>0</v>
      </c>
      <c r="AQ25" s="130"/>
      <c r="AR25" s="5">
        <f>COUNTIF(Tableau353034[[#This Row],[Mur droit en tête après travail]],Tableau353034[[#This Row],[Mur droit en tête après travail]])</f>
        <v>0</v>
      </c>
      <c r="AU25" s="4" t="s">
        <v>47</v>
      </c>
      <c r="AV25" s="9">
        <f>IF(ISERROR(MATCH(1,Tableau3530[perf DeTAV],0)),"-",MATCH(1,Tableau3530[perf DeTAV],0))</f>
        <v>20</v>
      </c>
      <c r="BA25" t="s">
        <v>13</v>
      </c>
      <c r="BB25">
        <f t="shared" si="10"/>
        <v>597.63039589489074</v>
      </c>
      <c r="BC25">
        <f>SUM(E9,G9,I9,K9,M9,O9,S9,U9,W9,Y9,AA9,AC9,AG9,AI9,AK9,AM9,AO9,AQ9)</f>
        <v>0</v>
      </c>
      <c r="BD25">
        <f t="shared" si="9"/>
        <v>0</v>
      </c>
    </row>
    <row r="26" spans="1:56" ht="24.75" x14ac:dyDescent="0.5">
      <c r="A26" s="31"/>
      <c r="B26" s="31"/>
      <c r="C26" s="31"/>
      <c r="D26" s="33" t="s">
        <v>30</v>
      </c>
      <c r="E26" s="71"/>
      <c r="F26" s="63">
        <f>COUNTIF(Tableau3530[[#This Row],[cotation]:[Dévers en moulinette à vue]],Tableau3530[[#This Row],[Dévers en moulinette à vue]])</f>
        <v>0</v>
      </c>
      <c r="G26" s="157"/>
      <c r="H26" s="58"/>
      <c r="I26" s="75"/>
      <c r="J26" s="63">
        <f t="shared" si="11"/>
        <v>0</v>
      </c>
      <c r="K26" s="62"/>
      <c r="L26" s="63">
        <f t="shared" si="12"/>
        <v>0</v>
      </c>
      <c r="M26" s="80"/>
      <c r="N26" s="64">
        <f t="shared" si="13"/>
        <v>0</v>
      </c>
      <c r="O26" s="86"/>
      <c r="P26" s="28">
        <f>COUNTIF(Tableau3530[[#This Row],[Dévers en tête après travail]],Tableau3530[[#This Row],[Dévers en tête après travail]])</f>
        <v>0</v>
      </c>
      <c r="Q26" s="7"/>
      <c r="R26" s="33" t="s">
        <v>30</v>
      </c>
      <c r="S26" s="90"/>
      <c r="T26" s="40">
        <f>COUNTIF(Tableau353033[[#This Row],[cotation]:[Dalle en moulinettte à vue]],Tableau353033[[#This Row],[Dalle en moulinettte à vue]])</f>
        <v>0</v>
      </c>
      <c r="U26" s="94"/>
      <c r="V26" s="40">
        <f>COUNTIF(U26,Tableau353033[[#This Row],[Dalle en moulinette en travail]])</f>
        <v>0</v>
      </c>
      <c r="W26" s="98"/>
      <c r="X26" s="40">
        <f t="shared" si="14"/>
        <v>0</v>
      </c>
      <c r="Y26" s="102"/>
      <c r="Z26" s="40">
        <f t="shared" si="15"/>
        <v>0</v>
      </c>
      <c r="AA26" s="106"/>
      <c r="AB26" s="41">
        <f t="shared" si="16"/>
        <v>0</v>
      </c>
      <c r="AC26" s="109"/>
      <c r="AD26" s="5">
        <f>COUNTIF(Tableau353033[[#This Row],[Dalle en tête après travail]],Tableau353033[[#This Row],[Dalle en tête après travail]])</f>
        <v>0</v>
      </c>
      <c r="AF26" s="19" t="s">
        <v>30</v>
      </c>
      <c r="AG26" s="114"/>
      <c r="AH26" s="52">
        <f>COUNTIF(Tableau353034[[#This Row],[cotation]:[Mur droit en moulinette à vue]],Tableau353034[[#This Row],[Mur droit en moulinette à vue]])</f>
        <v>0</v>
      </c>
      <c r="AI26" s="118"/>
      <c r="AJ26" s="52">
        <f>COUNTIF(AI26,Tableau353034[[#This Row],[Mur droit en moul. en travail]])</f>
        <v>0</v>
      </c>
      <c r="AK26" s="122"/>
      <c r="AL26" s="52">
        <f t="shared" si="17"/>
        <v>0</v>
      </c>
      <c r="AM26" s="51"/>
      <c r="AN26" s="52">
        <f t="shared" si="18"/>
        <v>0</v>
      </c>
      <c r="AO26" s="126"/>
      <c r="AP26" s="50">
        <f t="shared" si="7"/>
        <v>0</v>
      </c>
      <c r="AQ26" s="130"/>
      <c r="AR26" s="5">
        <f>COUNTIF(Tableau353034[[#This Row],[Mur droit en tête après travail]],Tableau353034[[#This Row],[Mur droit en tête après travail]])</f>
        <v>0</v>
      </c>
      <c r="AU26" s="4" t="s">
        <v>48</v>
      </c>
      <c r="AV26" s="8">
        <f>IF(ISERROR(MATCH(1,Tableau3530[Colonne3],0)),"-",MATCH(1,Tableau3530[Colonne3],0))</f>
        <v>9</v>
      </c>
      <c r="BA26" t="s">
        <v>21</v>
      </c>
      <c r="BB26">
        <f t="shared" si="10"/>
        <v>836.68255425284701</v>
      </c>
      <c r="BC26">
        <f>SUM(E8,G8,I8,K8,M8,O8,S8,U8,W8,Y8,AA8,AC8,AG8,AI8,AK8,AM8,AO8,AQ8)</f>
        <v>0</v>
      </c>
      <c r="BD26">
        <f t="shared" si="9"/>
        <v>0</v>
      </c>
    </row>
    <row r="27" spans="1:56" ht="25.5" thickBot="1" x14ac:dyDescent="0.55000000000000004">
      <c r="A27" s="31"/>
      <c r="B27" s="31"/>
      <c r="C27" s="31"/>
      <c r="D27" s="33" t="s">
        <v>0</v>
      </c>
      <c r="E27" s="71"/>
      <c r="F27" s="63">
        <f>COUNTIF(Tableau3530[[#This Row],[cotation]:[Dévers en moulinette à vue]],Tableau3530[[#This Row],[Dévers en moulinette à vue]])</f>
        <v>0</v>
      </c>
      <c r="G27" s="157"/>
      <c r="H27" s="58"/>
      <c r="I27" s="75"/>
      <c r="J27" s="63">
        <f t="shared" si="11"/>
        <v>0</v>
      </c>
      <c r="K27" s="62"/>
      <c r="L27" s="63">
        <f t="shared" si="12"/>
        <v>0</v>
      </c>
      <c r="M27" s="80"/>
      <c r="N27" s="64">
        <f t="shared" si="13"/>
        <v>0</v>
      </c>
      <c r="O27" s="86"/>
      <c r="P27" s="28">
        <f>COUNTIF(Tableau3530[[#This Row],[Dévers en tête après travail]],Tableau3530[[#This Row],[Dévers en tête après travail]])</f>
        <v>0</v>
      </c>
      <c r="Q27" s="7"/>
      <c r="R27" s="33" t="s">
        <v>0</v>
      </c>
      <c r="S27" s="90"/>
      <c r="T27" s="40">
        <f>COUNTIF(Tableau353033[[#This Row],[cotation]:[Dalle en moulinettte à vue]],Tableau353033[[#This Row],[Dalle en moulinettte à vue]])</f>
        <v>0</v>
      </c>
      <c r="U27" s="94"/>
      <c r="V27" s="40">
        <f>COUNTIF(U27,Tableau353033[[#This Row],[Dalle en moulinette en travail]])</f>
        <v>0</v>
      </c>
      <c r="W27" s="98"/>
      <c r="X27" s="40">
        <f t="shared" si="14"/>
        <v>0</v>
      </c>
      <c r="Y27" s="102"/>
      <c r="Z27" s="40">
        <f t="shared" si="15"/>
        <v>0</v>
      </c>
      <c r="AA27" s="106"/>
      <c r="AB27" s="41">
        <f t="shared" si="16"/>
        <v>0</v>
      </c>
      <c r="AC27" s="109"/>
      <c r="AD27" s="5">
        <f>COUNTIF(Tableau353033[[#This Row],[Dalle en tête après travail]],Tableau353033[[#This Row],[Dalle en tête après travail]])</f>
        <v>0</v>
      </c>
      <c r="AF27" s="19" t="s">
        <v>0</v>
      </c>
      <c r="AG27" s="114"/>
      <c r="AH27" s="52">
        <f>COUNTIF(Tableau353034[[#This Row],[cotation]:[Mur droit en moulinette à vue]],Tableau353034[[#This Row],[Mur droit en moulinette à vue]])</f>
        <v>0</v>
      </c>
      <c r="AI27" s="118"/>
      <c r="AJ27" s="52">
        <f>COUNTIF(AI27,Tableau353034[[#This Row],[Mur droit en moul. en travail]])</f>
        <v>0</v>
      </c>
      <c r="AK27" s="122"/>
      <c r="AL27" s="52">
        <f t="shared" si="17"/>
        <v>0</v>
      </c>
      <c r="AM27" s="51"/>
      <c r="AN27" s="52">
        <f t="shared" si="18"/>
        <v>0</v>
      </c>
      <c r="AO27" s="126"/>
      <c r="AP27" s="50">
        <f t="shared" si="7"/>
        <v>0</v>
      </c>
      <c r="AQ27" s="130"/>
      <c r="AR27" s="5">
        <f>COUNTIF(Tableau353034[[#This Row],[Mur droit en tête après travail]],Tableau353034[[#This Row],[Mur droit en tête après travail]])</f>
        <v>0</v>
      </c>
      <c r="AU27" s="4" t="s">
        <v>49</v>
      </c>
      <c r="AV27" s="8">
        <f>IF(ISERROR(MATCH(1,Tableau3530[perf DeTAT],0)),"-",MATCH(1,Tableau3530[perf DeTAT],0))</f>
        <v>10</v>
      </c>
      <c r="BA27" t="s">
        <v>15</v>
      </c>
      <c r="BB27">
        <f t="shared" si="10"/>
        <v>1171.3555759539856</v>
      </c>
      <c r="BC27">
        <f>SUM(E7,G7,I7,K7,M7,O7,S7,U7:W7,Y7,AA7,AC7,AG7,AI7,AK7,AM7,AO7,AQ7)</f>
        <v>0</v>
      </c>
      <c r="BD27">
        <f t="shared" si="9"/>
        <v>0</v>
      </c>
    </row>
    <row r="28" spans="1:56" ht="26.25" thickTop="1" thickBot="1" x14ac:dyDescent="0.55000000000000004">
      <c r="A28" s="31"/>
      <c r="B28" s="31"/>
      <c r="C28" s="31"/>
      <c r="D28" s="164">
        <v>4</v>
      </c>
      <c r="E28" s="71"/>
      <c r="F28" s="63">
        <f>COUNTIF(Tableau3530[[#This Row],[cotation]:[Dévers en moulinette à vue]],Tableau3530[[#This Row],[Dévers en moulinette à vue]])</f>
        <v>0</v>
      </c>
      <c r="G28" s="157"/>
      <c r="H28" s="66"/>
      <c r="I28" s="75"/>
      <c r="J28" s="63">
        <f t="shared" si="11"/>
        <v>0</v>
      </c>
      <c r="K28" s="62"/>
      <c r="L28" s="63">
        <f t="shared" si="12"/>
        <v>0</v>
      </c>
      <c r="M28" s="80"/>
      <c r="N28" s="64">
        <f t="shared" si="13"/>
        <v>0</v>
      </c>
      <c r="O28" s="86"/>
      <c r="P28" s="28">
        <f>COUNTIF(Tableau3530[[#This Row],[Dévers en tête après travail]],Tableau3530[[#This Row],[Dévers en tête après travail]])</f>
        <v>0</v>
      </c>
      <c r="Q28" s="7"/>
      <c r="R28" s="164">
        <v>4</v>
      </c>
      <c r="S28" s="90"/>
      <c r="T28" s="40">
        <f>COUNTIF(Tableau353033[[#This Row],[cotation]:[Dalle en moulinettte à vue]],Tableau353033[[#This Row],[Dalle en moulinettte à vue]])</f>
        <v>0</v>
      </c>
      <c r="U28" s="94"/>
      <c r="V28" s="40">
        <f>COUNTIF(U28,Tableau353033[[#This Row],[Dalle en moulinette en travail]])</f>
        <v>0</v>
      </c>
      <c r="W28" s="98"/>
      <c r="X28" s="40">
        <f t="shared" si="14"/>
        <v>0</v>
      </c>
      <c r="Y28" s="102"/>
      <c r="Z28" s="40">
        <f t="shared" si="15"/>
        <v>0</v>
      </c>
      <c r="AA28" s="106"/>
      <c r="AB28" s="41">
        <f t="shared" si="16"/>
        <v>0</v>
      </c>
      <c r="AC28" s="109"/>
      <c r="AD28" s="5">
        <f>COUNTIF(Tableau353033[[#This Row],[Dalle en tête après travail]],Tableau353033[[#This Row],[Dalle en tête après travail]])</f>
        <v>0</v>
      </c>
      <c r="AE28" s="3"/>
      <c r="AF28" s="164">
        <v>4</v>
      </c>
      <c r="AG28" s="114"/>
      <c r="AH28" s="52">
        <f>COUNTIF(Tableau353034[[#This Row],[cotation]:[Mur droit en moulinette à vue]],Tableau353034[[#This Row],[Mur droit en moulinette à vue]])</f>
        <v>0</v>
      </c>
      <c r="AI28" s="118"/>
      <c r="AJ28" s="52">
        <f>COUNTIF(AI28,Tableau353034[[#This Row],[Mur droit en moul. en travail]])</f>
        <v>0</v>
      </c>
      <c r="AK28" s="122"/>
      <c r="AL28" s="52">
        <f t="shared" si="17"/>
        <v>0</v>
      </c>
      <c r="AM28" s="51"/>
      <c r="AN28" s="52">
        <f t="shared" si="18"/>
        <v>0</v>
      </c>
      <c r="AO28" s="126"/>
      <c r="AP28" s="50">
        <f t="shared" si="7"/>
        <v>0</v>
      </c>
      <c r="AQ28" s="130"/>
      <c r="AR28" s="5">
        <f>COUNTIF(Tableau353034[[#This Row],[Mur droit en tête après travail]],Tableau353034[[#This Row],[Mur droit en tête après travail]])</f>
        <v>0</v>
      </c>
      <c r="AU28" s="4" t="s">
        <v>82</v>
      </c>
      <c r="AV28" s="6">
        <f>IF(ISERROR(SMALL((AV34:AV39),1)),"-",SMALL((AV34:AV39),1))</f>
        <v>21</v>
      </c>
      <c r="BA28" t="s">
        <v>20</v>
      </c>
      <c r="BB28">
        <f t="shared" si="10"/>
        <v>1639.8978063355798</v>
      </c>
      <c r="BC28">
        <f>SUM(E6,G6,I6,K6,M6,O6,S6,U6,W6,Y6,AA6,AC6,AG6,AI6,AK6,AM6,AO6,AQ6)</f>
        <v>0</v>
      </c>
      <c r="BD28">
        <f t="shared" si="9"/>
        <v>0</v>
      </c>
    </row>
    <row r="29" spans="1:56" ht="19.5" thickTop="1" thickBot="1" x14ac:dyDescent="0.4">
      <c r="A29" s="10"/>
      <c r="B29" s="10"/>
      <c r="C29" s="10"/>
      <c r="D29" s="23"/>
      <c r="E29" s="72"/>
      <c r="F29" s="66" t="str">
        <f>IF(ISERROR(MATCH(1,Tableau3530[Colonne1],0)),"-",MATCH(1,Tableau3530[Colonne1],0))</f>
        <v>-</v>
      </c>
      <c r="G29" s="158"/>
      <c r="H29" s="68"/>
      <c r="I29" s="77"/>
      <c r="J29" s="66" t="str">
        <f>IF(ISERROR(MATCH(1,Tableau3530[perf DEMAT],0)),"-",MATCH(1,Tableau3530[perf DEMAT],0))</f>
        <v>-</v>
      </c>
      <c r="K29" s="66"/>
      <c r="L29" s="66">
        <f>IF(ISERROR(MATCH(1,Tableau3530[perf DeTAV],0)),"-",MATCH(1,Tableau3530[perf DeTAV],0))</f>
        <v>20</v>
      </c>
      <c r="M29" s="82"/>
      <c r="N29" s="66">
        <f>IF(ISERROR(MATCH(1,Tableau3530[Colonne3],0)),"-",MATCH(1,Tableau3530[Colonne3],0))</f>
        <v>9</v>
      </c>
      <c r="O29" s="83"/>
      <c r="P29" s="8">
        <f>IF(ISERROR(MATCH(1,Tableau3530[perf DeTAT],0)),"-",MATCH(1,Tableau3530[perf DeTAT],0))</f>
        <v>10</v>
      </c>
      <c r="Q29" s="1"/>
      <c r="R29" s="23"/>
      <c r="S29" s="91"/>
      <c r="T29" s="42">
        <f>IF(ISERROR(MATCH(1,Tableau353033[.],0)),"-",MATCH(1,Tableau353033[.],0))</f>
        <v>21</v>
      </c>
      <c r="U29" s="95"/>
      <c r="V29" s="42" t="str">
        <f>IF(ISERROR(MATCH(1,Tableau353033[perf DaMET],0)),"-",MATCH(1,Tableau353033[perf DaMET],0))</f>
        <v>-</v>
      </c>
      <c r="W29" s="99"/>
      <c r="X29" s="42" t="str">
        <f>IF(ISERROR(MATCH(1,Tableau353033[,],0)),"-",MATCH(1,Tableau353033[,],0))</f>
        <v>-</v>
      </c>
      <c r="Y29" s="103"/>
      <c r="Z29" s="42" t="str">
        <f>IF(ISERROR(MATCH(1,Tableau353033[perf DaTAV],0)),"-",MATCH(1,Tableau353033[perf DaTAV],0))</f>
        <v>-</v>
      </c>
      <c r="AA29" s="107"/>
      <c r="AB29" s="42" t="str">
        <f>IF(ISERROR(MATCH(1,Tableau353033[perf DaTET],0)),"-",MATCH(1,Tableau353033[perf DaTET],0))</f>
        <v>-</v>
      </c>
      <c r="AC29" s="111" t="str">
        <f>IF(ISERROR(MATCH(1,Tableau353033[Dalle en tête après travail],0)),"-",MATCH(1,Tableau353033[Dalle en tête après travail],0))</f>
        <v>-</v>
      </c>
      <c r="AD29" s="1" t="str">
        <f>IF(ISERROR(MATCH(1,Tableau353033[Colonne1],0)),"-",MATCH(1,Tableau353033[Colonne1],0))</f>
        <v>-</v>
      </c>
      <c r="AF29" s="21"/>
      <c r="AG29" s="115"/>
      <c r="AH29" s="2" t="str">
        <f>IF(ISERROR(MATCH(1,Tableau353034[perf MdMAV],0)),"-",MATCH(1,Tableau353034[perf MdMAV],0))</f>
        <v>-</v>
      </c>
      <c r="AI29" s="159"/>
      <c r="AJ29" s="2" t="str">
        <f>IF(ISERROR(MATCH(1,Tableau353034[perf MdMET],0)),"-",MATCH(1,Tableau353034[perf MdMET],0))</f>
        <v>-</v>
      </c>
      <c r="AK29" s="160"/>
      <c r="AL29" s="2" t="str">
        <f>IF(ISERROR(MATCH(1,Tableau353034[perf MdMAT],0)),"-",MATCH(1,Tableau353034[perf MdMAT],0))</f>
        <v>-</v>
      </c>
      <c r="AM29" s="161"/>
      <c r="AN29" s="2" t="str">
        <f>IF(ISERROR(MATCH(1,Tableau353034[perf MdTAV],0)),"-",MATCH(1,Tableau353034[perf MdTAV],0))</f>
        <v>-</v>
      </c>
      <c r="AO29" s="162"/>
      <c r="AP29" s="2" t="str">
        <f>IF(ISERROR(MATCH(1,Tableau353034[perf MdTET],0)),"-",MATCH(1,Tableau353034[perf MdTET],0))</f>
        <v>-</v>
      </c>
      <c r="AQ29" s="163"/>
      <c r="AR29" s="2" t="str">
        <f>IF(ISERROR(MATCH(1,Tableau353034[perf MdTAT],0)),"-",MATCH(1,Tableau353034[perf MdTAT],0))</f>
        <v>-</v>
      </c>
      <c r="AU29" s="4" t="s">
        <v>83</v>
      </c>
      <c r="AV29" s="6" t="str">
        <f>IF(ISERROR(SMALL(AV37:AV39,1)),"-",SMALL(AV37:AV39,1))</f>
        <v>-</v>
      </c>
      <c r="BA29" t="s">
        <v>19</v>
      </c>
      <c r="BB29">
        <f t="shared" si="10"/>
        <v>2295.8569288698118</v>
      </c>
      <c r="BC29">
        <f>SUM(E5,G5,I5,K5,M5,O5,S5,U5,W5,Y5,AA5,AC5,AG5,AI5,AK5,AM5,AO5,AQ5)</f>
        <v>0</v>
      </c>
      <c r="BD29">
        <f t="shared" si="9"/>
        <v>0</v>
      </c>
    </row>
    <row r="30" spans="1:56" ht="19.5" thickTop="1" thickBot="1" x14ac:dyDescent="0.4">
      <c r="AU30" s="4" t="s">
        <v>84</v>
      </c>
      <c r="AV30" s="6">
        <f>IF(ISERROR(SMALL(AV34:AV36,1)),"-",SMALL(AV34:AV36,1))</f>
        <v>21</v>
      </c>
      <c r="BA30" t="s">
        <v>18</v>
      </c>
      <c r="BB30">
        <f t="shared" si="10"/>
        <v>3214.1997004177365</v>
      </c>
      <c r="BC30">
        <f>SUM(E4,G4,I4,K4,M4,O4,S4,U4,W4,Y4,AA4,AC4,AG4,AI4,AK4,AM4,AO4,AQ4)</f>
        <v>0</v>
      </c>
      <c r="BD30">
        <f t="shared" si="9"/>
        <v>0</v>
      </c>
    </row>
    <row r="31" spans="1:56" ht="19.5" thickTop="1" thickBot="1" x14ac:dyDescent="0.4">
      <c r="AU31" s="4" t="s">
        <v>85</v>
      </c>
      <c r="AV31" s="6">
        <f>IF(ISERROR(SMALL((AV34,AV37),1)),"-",SMALL((AV34,AV37),1))</f>
        <v>21</v>
      </c>
      <c r="BA31" t="s">
        <v>17</v>
      </c>
      <c r="BB31">
        <f t="shared" si="10"/>
        <v>4499.8795805848304</v>
      </c>
      <c r="BC31">
        <f>SUM(E3,G3,I3,K3,M3,O3,S3,U3,W3,Y3,AA3,AC3,AG3,AI3,AK3,AM3,AO3,AQ3)</f>
        <v>0</v>
      </c>
      <c r="BD31">
        <f t="shared" si="9"/>
        <v>0</v>
      </c>
    </row>
    <row r="32" spans="1:56" ht="19.5" thickTop="1" thickBot="1" x14ac:dyDescent="0.4">
      <c r="AU32" s="4" t="s">
        <v>86</v>
      </c>
      <c r="AV32" s="6" t="str">
        <f>IF(ISERROR(SMALL((AV35,AV38),1)),"-",SMALL((AV35,AV38),1))</f>
        <v>-</v>
      </c>
      <c r="BA32" s="13" t="s">
        <v>95</v>
      </c>
      <c r="BB32" s="13"/>
      <c r="BC32" s="13"/>
      <c r="BD32">
        <f>SUM(BD6:BD31)</f>
        <v>869.35542018059982</v>
      </c>
    </row>
    <row r="33" spans="47:48" ht="18.75" thickTop="1" x14ac:dyDescent="0.35">
      <c r="AU33" s="4" t="s">
        <v>87</v>
      </c>
      <c r="AV33" s="6" t="str">
        <f>IF(ISERROR(SMALL((AV36,AV48),1)),"-",SMALL((AV36,AV48),1))</f>
        <v>-</v>
      </c>
    </row>
    <row r="34" spans="47:48" ht="16.5" x14ac:dyDescent="0.3">
      <c r="AU34" s="4" t="s">
        <v>50</v>
      </c>
      <c r="AV34" s="10">
        <f>IF(ISERROR(MATCH(1,Tableau353033[.],0)),"-",MATCH(1,Tableau353033[.],0))</f>
        <v>21</v>
      </c>
    </row>
    <row r="35" spans="47:48" ht="16.5" x14ac:dyDescent="0.3">
      <c r="AU35" s="4" t="s">
        <v>51</v>
      </c>
      <c r="AV35" s="10" t="str">
        <f>IF(ISERROR(MATCH(1,Tableau353033[perf DaMET],0)),"-",MATCH(1,Tableau353033[perf DaMET],0))</f>
        <v>-</v>
      </c>
    </row>
    <row r="36" spans="47:48" ht="16.5" x14ac:dyDescent="0.3">
      <c r="AU36" s="4" t="s">
        <v>52</v>
      </c>
      <c r="AV36" s="10" t="str">
        <f>IF(ISERROR(MATCH(1,Tableau353033[,],0)),"-",MATCH(1,Tableau353033[,],0))</f>
        <v>-</v>
      </c>
    </row>
    <row r="37" spans="47:48" ht="16.5" x14ac:dyDescent="0.3">
      <c r="AU37" s="4" t="s">
        <v>53</v>
      </c>
      <c r="AV37" s="10" t="str">
        <f>IF(ISERROR(MATCH(1,Tableau353033[perf DaTAV],0)),"-",MATCH(1,Tableau353033[perf DaTAV],0))</f>
        <v>-</v>
      </c>
    </row>
    <row r="38" spans="47:48" ht="16.5" x14ac:dyDescent="0.3">
      <c r="AU38" s="4" t="s">
        <v>54</v>
      </c>
      <c r="AV38" s="10" t="str">
        <f>IF(ISERROR(MATCH(1,Tableau353033[perf DaTET],0)),"-",MATCH(1,Tableau353033[perf DaTET],0))</f>
        <v>-</v>
      </c>
    </row>
    <row r="39" spans="47:48" ht="17.25" thickBot="1" x14ac:dyDescent="0.35">
      <c r="AU39" s="4" t="s">
        <v>55</v>
      </c>
      <c r="AV39" s="10" t="str">
        <f>IF(ISERROR(MATCH(1,Tableau353033[Colonne1],0)),"-",MATCH(1,Tableau353033[Colonne1],0))</f>
        <v>-</v>
      </c>
    </row>
    <row r="40" spans="47:48" ht="19.5" thickTop="1" thickBot="1" x14ac:dyDescent="0.4">
      <c r="AU40" s="4" t="s">
        <v>88</v>
      </c>
      <c r="AV40" s="6" t="str">
        <f>IF(ISERROR(SMALL(AV46:AV51,1)),"-",SMALL(AV46:AV51,1))</f>
        <v>-</v>
      </c>
    </row>
    <row r="41" spans="47:48" ht="19.5" thickTop="1" thickBot="1" x14ac:dyDescent="0.4">
      <c r="AU41" s="4" t="s">
        <v>89</v>
      </c>
      <c r="AV41" s="6" t="str">
        <f>IF(ISERROR(SMALL(AV49:AV51,1)),"-",SMALL(AV49:AV51,1))</f>
        <v>-</v>
      </c>
    </row>
    <row r="42" spans="47:48" ht="19.5" thickTop="1" thickBot="1" x14ac:dyDescent="0.4">
      <c r="AU42" s="4" t="s">
        <v>90</v>
      </c>
      <c r="AV42" s="6" t="str">
        <f>IF(ISERROR(SMALL(AV46:AV48,1)),"-",SMALL(AV46:AV48,1))</f>
        <v>-</v>
      </c>
    </row>
    <row r="43" spans="47:48" ht="19.5" thickTop="1" thickBot="1" x14ac:dyDescent="0.4">
      <c r="AU43" s="4" t="s">
        <v>91</v>
      </c>
      <c r="AV43" s="6" t="str">
        <f>IF(ISERROR(SMALL((AV46,AV49),1)),"-",SMALL((AV46,AV49),1))</f>
        <v>-</v>
      </c>
    </row>
    <row r="44" spans="47:48" ht="19.5" thickTop="1" thickBot="1" x14ac:dyDescent="0.4">
      <c r="AU44" s="4" t="s">
        <v>92</v>
      </c>
      <c r="AV44" s="6" t="str">
        <f>IF(ISERROR(SMALL((AV47,AV50),1)),"-",SMALL((AV47,AV50),1))</f>
        <v>-</v>
      </c>
    </row>
    <row r="45" spans="47:48" ht="18.75" thickTop="1" x14ac:dyDescent="0.35">
      <c r="AU45" s="4" t="s">
        <v>93</v>
      </c>
      <c r="AV45" s="6" t="str">
        <f>IF(ISERROR(SMALL((AV48,AV51),1)),"-",SMALL((AV48,AV51),1))</f>
        <v>-</v>
      </c>
    </row>
    <row r="46" spans="47:48" ht="16.5" x14ac:dyDescent="0.3">
      <c r="AU46" s="4" t="s">
        <v>56</v>
      </c>
      <c r="AV46" s="8" t="str">
        <f>IF(ISERROR(MATCH(1,Tableau353034[perf MdMAV],0)),"-",MATCH(1,Tableau353034[perf MdMAV],0))</f>
        <v>-</v>
      </c>
    </row>
    <row r="47" spans="47:48" ht="16.5" x14ac:dyDescent="0.3">
      <c r="AU47" s="4" t="s">
        <v>57</v>
      </c>
      <c r="AV47" s="8" t="str">
        <f>IF(ISERROR(MATCH(1,Tableau353034[perf MdMET],0)),"-",MATCH(1,Tableau353034[perf MdMET],0))</f>
        <v>-</v>
      </c>
    </row>
    <row r="48" spans="47:48" ht="16.5" x14ac:dyDescent="0.3">
      <c r="AU48" s="4" t="s">
        <v>58</v>
      </c>
      <c r="AV48" s="8" t="str">
        <f>IF(ISERROR(MATCH(1,Tableau353034[perf MdMAT],0)),"-",MATCH(1,Tableau353034[perf MdMAT],0))</f>
        <v>-</v>
      </c>
    </row>
    <row r="49" spans="47:48" ht="16.5" x14ac:dyDescent="0.3">
      <c r="AU49" s="4" t="s">
        <v>59</v>
      </c>
      <c r="AV49" s="8" t="str">
        <f>IF(ISERROR(MATCH(1,Tableau353034[perf MdTAV],0)),"-",MATCH(1,Tableau353034[perf MdTAV],0))</f>
        <v>-</v>
      </c>
    </row>
    <row r="50" spans="47:48" ht="16.5" x14ac:dyDescent="0.3">
      <c r="AU50" s="4" t="s">
        <v>60</v>
      </c>
      <c r="AV50" s="8" t="str">
        <f>IF(ISERROR(MATCH(1,Tableau353034[perf MdTET],0)),"-",MATCH(1,Tableau353034[perf MdTET],0))</f>
        <v>-</v>
      </c>
    </row>
    <row r="51" spans="47:48" ht="16.5" x14ac:dyDescent="0.3">
      <c r="AU51" s="4" t="s">
        <v>61</v>
      </c>
      <c r="AV51" s="8" t="str">
        <f>IF(ISERROR(MATCH(1,Tableau353034[perf MdTAT],0)),"-",MATCH(1,Tableau353034[perf MdTAT],0))</f>
        <v>-</v>
      </c>
    </row>
    <row r="52" spans="47:48" x14ac:dyDescent="0.25">
      <c r="AU52" s="11" t="s">
        <v>63</v>
      </c>
      <c r="AV52" s="12">
        <f>SUM(E3:E28,G3:G28,I3:I28,K3:K28,M3:M28,O3:O28,S3:S28,U3:U28,W3:W28,Y3:Y28,AA3:AA28,AC3:AC28,AG3:AG28,AI3:AI28,AK3:AK28,AM3:AM28,AO3:AO28,AQ3:AQ28)</f>
        <v>12</v>
      </c>
    </row>
    <row r="53" spans="47:48" x14ac:dyDescent="0.25">
      <c r="AU53" s="11" t="s">
        <v>98</v>
      </c>
      <c r="AV53">
        <f>SUM(BD6:BD31)</f>
        <v>869.35542018059982</v>
      </c>
    </row>
  </sheetData>
  <pageMargins left="0.7" right="0.7" top="0.75" bottom="0.75" header="0.3" footer="0.3"/>
  <pageSetup paperSize="9" orientation="portrait" r:id="rId1"/>
  <drawing r:id="rId2"/>
  <legacyDrawing r:id="rId3"/>
  <tableParts count="5">
    <tablePart r:id="rId4"/>
    <tablePart r:id="rId5"/>
    <tablePart r:id="rId6"/>
    <tablePart r:id="rId7"/>
    <tablePart r:id="rId8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H50"/>
  <sheetViews>
    <sheetView topLeftCell="A28" workbookViewId="0">
      <selection activeCell="B49" sqref="B49"/>
    </sheetView>
  </sheetViews>
  <sheetFormatPr baseColWidth="10" defaultRowHeight="15" x14ac:dyDescent="0.25"/>
  <cols>
    <col min="1" max="1" width="38.5703125" bestFit="1" customWidth="1"/>
    <col min="4" max="4" width="36.140625" bestFit="1" customWidth="1"/>
    <col min="7" max="7" width="34.5703125" bestFit="1" customWidth="1"/>
  </cols>
  <sheetData>
    <row r="1" spans="1:8" ht="15.75" thickBot="1" x14ac:dyDescent="0.3">
      <c r="A1" s="35" t="s">
        <v>116</v>
      </c>
      <c r="B1" s="177" t="s">
        <v>117</v>
      </c>
      <c r="C1" s="177" t="s">
        <v>118</v>
      </c>
      <c r="D1" s="318"/>
      <c r="E1" s="318"/>
      <c r="G1" s="318"/>
      <c r="H1" s="318"/>
    </row>
    <row r="2" spans="1:8" ht="19.5" thickTop="1" thickBot="1" x14ac:dyDescent="0.4">
      <c r="A2" s="176" t="s">
        <v>71</v>
      </c>
      <c r="B2" s="6">
        <f>IF(ISERROR(SMALL((B14,B26,B38),1)),"-",SMALL((B14,B26,B38),1))</f>
        <v>9</v>
      </c>
      <c r="C2" s="35">
        <v>6</v>
      </c>
    </row>
    <row r="3" spans="1:8" ht="19.5" thickTop="1" thickBot="1" x14ac:dyDescent="0.4">
      <c r="A3" s="166" t="s">
        <v>72</v>
      </c>
      <c r="B3" s="6">
        <f>(IF(ISERROR(SMALL((B27,B15,B39),1)),"-",SMALL((B27,B15,B39),1)))</f>
        <v>21</v>
      </c>
      <c r="C3" s="35"/>
    </row>
    <row r="4" spans="1:8" ht="19.5" thickTop="1" thickBot="1" x14ac:dyDescent="0.4">
      <c r="A4" s="176" t="s">
        <v>73</v>
      </c>
      <c r="B4" s="6">
        <f>IF(ISERROR(SMALL((B16,B28,B40),1)),"-",SMALL((B16,B28,B40),1))</f>
        <v>20</v>
      </c>
      <c r="C4" s="35"/>
    </row>
    <row r="5" spans="1:8" ht="19.5" thickTop="1" thickBot="1" x14ac:dyDescent="0.4">
      <c r="A5" s="166" t="s">
        <v>74</v>
      </c>
      <c r="B5" s="6">
        <f>IF(ISERROR(SMALL((B17,B29,B41),1)),"-",SMALL((B17,B29,B41),1))</f>
        <v>9</v>
      </c>
      <c r="C5" s="35"/>
    </row>
    <row r="6" spans="1:8" ht="19.5" thickTop="1" thickBot="1" x14ac:dyDescent="0.4">
      <c r="A6" s="166" t="s">
        <v>75</v>
      </c>
      <c r="B6" s="6">
        <f>IF(ISERROR(SMALL((B18,B30,B42),1)),"-",SMALL((B18,B30,B42),1))</f>
        <v>10</v>
      </c>
      <c r="C6" s="35"/>
    </row>
    <row r="7" spans="1:8" ht="19.5" thickTop="1" thickBot="1" x14ac:dyDescent="0.4">
      <c r="A7" s="166" t="s">
        <v>76</v>
      </c>
      <c r="B7" s="6">
        <f>IF(ISERROR(SMALL((B22,B34,B46),1)),"-",SMALL((B22,B34,B46),1))</f>
        <v>20</v>
      </c>
      <c r="C7" s="35"/>
    </row>
    <row r="8" spans="1:8" ht="19.5" thickTop="1" thickBot="1" x14ac:dyDescent="0.4">
      <c r="A8" s="166" t="s">
        <v>77</v>
      </c>
      <c r="B8" s="6">
        <f>IF(ISERROR(SMALL((B23,B35,B47),1)),"-",SMALL((B23,B35,B47),1))</f>
        <v>9</v>
      </c>
      <c r="C8" s="35"/>
    </row>
    <row r="9" spans="1:8" ht="19.5" thickTop="1" thickBot="1" x14ac:dyDescent="0.4">
      <c r="A9" s="166" t="s">
        <v>78</v>
      </c>
      <c r="B9" s="6">
        <f>IF(ISERROR(SMALL((B24,B36,B48),1)),"-",SMALL((B24,B36,B48),1))</f>
        <v>10</v>
      </c>
      <c r="C9" s="35"/>
    </row>
    <row r="10" spans="1:8" ht="19.5" thickTop="1" thickBot="1" x14ac:dyDescent="0.4">
      <c r="A10" s="166" t="s">
        <v>79</v>
      </c>
      <c r="B10" s="6">
        <f>IF(ISERROR(SMALL((B19,B31,B43),1)),"-",SMALL((B19,B31,B43),1))</f>
        <v>21</v>
      </c>
      <c r="C10" s="35"/>
    </row>
    <row r="11" spans="1:8" ht="19.5" thickTop="1" thickBot="1" x14ac:dyDescent="0.4">
      <c r="A11" s="166" t="s">
        <v>80</v>
      </c>
      <c r="B11" s="6" t="str">
        <f>IF(ISERROR(SMALL((B20,B32,B44),1)),"-",SMALL((B20,B32,B44),1))</f>
        <v>-</v>
      </c>
      <c r="C11" s="35"/>
    </row>
    <row r="12" spans="1:8" ht="19.5" thickTop="1" thickBot="1" x14ac:dyDescent="0.4">
      <c r="A12" s="166" t="s">
        <v>81</v>
      </c>
      <c r="B12" s="6" t="str">
        <f>IF(ISERROR(SMALL((B21,B33,B45),1)),"-",SMALL((B21,B33,B45),1))</f>
        <v>-</v>
      </c>
      <c r="C12" s="35"/>
    </row>
    <row r="13" spans="1:8" ht="19.5" thickTop="1" thickBot="1" x14ac:dyDescent="0.4">
      <c r="A13" s="174" t="s">
        <v>65</v>
      </c>
      <c r="B13" s="175">
        <f>IF(ISERROR(SMALL(B19:B24,1)),"-",SMALL(B19:B24,1))</f>
        <v>9</v>
      </c>
      <c r="C13" s="35"/>
      <c r="D13" s="178"/>
    </row>
    <row r="14" spans="1:8" ht="19.5" thickTop="1" thickBot="1" x14ac:dyDescent="0.4">
      <c r="A14" s="168" t="s">
        <v>66</v>
      </c>
      <c r="B14" s="6">
        <f>IF(ISERROR(SMALL((B22,B23,B24),1)),"-",SMALL((B22,B23,B24),1))</f>
        <v>9</v>
      </c>
      <c r="C14" s="35"/>
    </row>
    <row r="15" spans="1:8" ht="19.5" thickTop="1" thickBot="1" x14ac:dyDescent="0.4">
      <c r="A15" s="169" t="s">
        <v>67</v>
      </c>
      <c r="B15" s="6" t="str">
        <f>IF(ISERROR(SMALL((B19,B20,B21),1)),"-",SMALL((B19,B20,B21),1))</f>
        <v>-</v>
      </c>
      <c r="C15" s="35"/>
      <c r="D15" s="318"/>
      <c r="E15" s="318"/>
    </row>
    <row r="16" spans="1:8" ht="19.5" thickTop="1" thickBot="1" x14ac:dyDescent="0.4">
      <c r="A16" s="168" t="s">
        <v>68</v>
      </c>
      <c r="B16" s="6">
        <f>IF(ISERROR(SMALL((B19,B22),1)),"-",SMALL((B19,B22),1))</f>
        <v>20</v>
      </c>
      <c r="C16" s="35"/>
    </row>
    <row r="17" spans="1:3" ht="19.5" thickTop="1" thickBot="1" x14ac:dyDescent="0.4">
      <c r="A17" s="169" t="s">
        <v>69</v>
      </c>
      <c r="B17" s="6">
        <f>IF(ISERROR(SMALL((B20,B23),1)),"-",SMALL((B20,B23),1))</f>
        <v>9</v>
      </c>
      <c r="C17" s="35"/>
    </row>
    <row r="18" spans="1:3" ht="18.75" thickTop="1" x14ac:dyDescent="0.35">
      <c r="A18" s="168" t="s">
        <v>70</v>
      </c>
      <c r="B18" s="6">
        <f>IF(ISERROR(SMALL((B21,B24),1)),"-",SMALL((B21,B24),1))</f>
        <v>10</v>
      </c>
      <c r="C18" s="35"/>
    </row>
    <row r="19" spans="1:3" ht="17.25" thickBot="1" x14ac:dyDescent="0.35">
      <c r="A19" s="170" t="s">
        <v>44</v>
      </c>
      <c r="B19" s="8" t="str">
        <f>IF(ISERROR(MATCH(1,Tableau3530[Colonne1],0)),"-",MATCH(1,Tableau3530[Colonne1],0))</f>
        <v>-</v>
      </c>
      <c r="C19" s="35"/>
    </row>
    <row r="20" spans="1:3" ht="19.5" thickTop="1" thickBot="1" x14ac:dyDescent="0.4">
      <c r="A20" s="168" t="s">
        <v>45</v>
      </c>
      <c r="B20" s="9" t="str">
        <f>IF(ISERROR(MATCH(1,Tableau3530[Colonne2],0)),"-",MATCH(1,Tableau3530[Colonne2],0))</f>
        <v>-</v>
      </c>
      <c r="C20" s="35"/>
    </row>
    <row r="21" spans="1:3" ht="19.5" thickTop="1" thickBot="1" x14ac:dyDescent="0.4">
      <c r="A21" s="169" t="s">
        <v>46</v>
      </c>
      <c r="B21" s="9" t="str">
        <f>IF(ISERROR(MATCH(1,Tableau3530[perf DEMAT],0)),"-",MATCH(1,Tableau3530[perf DEMAT],0))</f>
        <v>-</v>
      </c>
      <c r="C21" s="35"/>
    </row>
    <row r="22" spans="1:3" ht="18.75" thickTop="1" x14ac:dyDescent="0.35">
      <c r="A22" s="168" t="s">
        <v>47</v>
      </c>
      <c r="B22" s="9">
        <f>IF(ISERROR(MATCH(1,Tableau3530[perf DeTAV],0)),"-",MATCH(1,Tableau3530[perf DeTAV],0))</f>
        <v>20</v>
      </c>
      <c r="C22" s="35"/>
    </row>
    <row r="23" spans="1:3" ht="16.5" x14ac:dyDescent="0.3">
      <c r="A23" s="170" t="s">
        <v>48</v>
      </c>
      <c r="B23" s="171">
        <f>IF(ISERROR(MATCH(1,Tableau3530[Colonne3],0)),"-",MATCH(1,Tableau3530[Colonne3],0))</f>
        <v>9</v>
      </c>
      <c r="C23" s="35"/>
    </row>
    <row r="24" spans="1:3" ht="17.25" thickBot="1" x14ac:dyDescent="0.35">
      <c r="A24" s="172" t="s">
        <v>49</v>
      </c>
      <c r="B24" s="171">
        <f>IF(ISERROR(MATCH(1,Tableau3530[perf DeTAT],0)),"-",MATCH(1,Tableau3530[perf DeTAT],0))</f>
        <v>10</v>
      </c>
      <c r="C24" s="35"/>
    </row>
    <row r="25" spans="1:3" ht="19.5" thickTop="1" thickBot="1" x14ac:dyDescent="0.4">
      <c r="A25" s="174" t="s">
        <v>82</v>
      </c>
      <c r="B25" s="175">
        <f>IF(ISERROR(SMALL((B31:B36),1)),"-",SMALL((B31:B36),1))</f>
        <v>21</v>
      </c>
      <c r="C25" s="35"/>
    </row>
    <row r="26" spans="1:3" ht="19.5" thickTop="1" thickBot="1" x14ac:dyDescent="0.4">
      <c r="A26" s="168" t="s">
        <v>83</v>
      </c>
      <c r="B26" s="6" t="str">
        <f>IF(ISERROR(SMALL(B34:B36,1)),"-",SMALL(B34:B36,1))</f>
        <v>-</v>
      </c>
      <c r="C26" s="35"/>
    </row>
    <row r="27" spans="1:3" ht="19.5" thickTop="1" thickBot="1" x14ac:dyDescent="0.4">
      <c r="A27" s="169" t="s">
        <v>84</v>
      </c>
      <c r="B27" s="6">
        <f>IF(ISERROR(SMALL(B31:B33,1)),"-",SMALL(B31:B33,1))</f>
        <v>21</v>
      </c>
      <c r="C27" s="35"/>
    </row>
    <row r="28" spans="1:3" ht="19.5" thickTop="1" thickBot="1" x14ac:dyDescent="0.4">
      <c r="A28" s="168" t="s">
        <v>85</v>
      </c>
      <c r="B28" s="6">
        <f>IF(ISERROR(SMALL((B31,B34),1)),"-",SMALL((B31,B34),1))</f>
        <v>21</v>
      </c>
      <c r="C28" s="35"/>
    </row>
    <row r="29" spans="1:3" ht="19.5" thickTop="1" thickBot="1" x14ac:dyDescent="0.4">
      <c r="A29" s="169" t="s">
        <v>86</v>
      </c>
      <c r="B29" s="6" t="str">
        <f>IF(ISERROR(SMALL((B32,B35),1)),"-",SMALL((B32,B35),1))</f>
        <v>-</v>
      </c>
      <c r="C29" s="35"/>
    </row>
    <row r="30" spans="1:3" ht="18.75" thickTop="1" x14ac:dyDescent="0.35">
      <c r="A30" s="168" t="s">
        <v>87</v>
      </c>
      <c r="B30" s="6" t="str">
        <f>IF(ISERROR(SMALL((B33,B45),1)),"-",SMALL((B33,B45),1))</f>
        <v>-</v>
      </c>
      <c r="C30" s="35"/>
    </row>
    <row r="31" spans="1:3" ht="16.5" x14ac:dyDescent="0.3">
      <c r="A31" s="170" t="s">
        <v>50</v>
      </c>
      <c r="B31" s="173">
        <f>IF(ISERROR(MATCH(1,Tableau353033[.],0)),"-",MATCH(1,Tableau353033[.],0))</f>
        <v>21</v>
      </c>
      <c r="C31" s="35"/>
    </row>
    <row r="32" spans="1:3" ht="16.5" x14ac:dyDescent="0.3">
      <c r="A32" s="172" t="s">
        <v>51</v>
      </c>
      <c r="B32" s="173" t="str">
        <f>IF(ISERROR(MATCH(1,Tableau353033[perf DaMET],0)),"-",MATCH(1,Tableau353033[perf DaMET],0))</f>
        <v>-</v>
      </c>
      <c r="C32" s="35"/>
    </row>
    <row r="33" spans="1:3" ht="16.5" x14ac:dyDescent="0.3">
      <c r="A33" s="170" t="s">
        <v>52</v>
      </c>
      <c r="B33" s="173" t="str">
        <f>IF(ISERROR(MATCH(1,Tableau353033[,],0)),"-",MATCH(1,Tableau353033[,],0))</f>
        <v>-</v>
      </c>
      <c r="C33" s="35"/>
    </row>
    <row r="34" spans="1:3" ht="16.5" x14ac:dyDescent="0.3">
      <c r="A34" s="172" t="s">
        <v>53</v>
      </c>
      <c r="B34" s="173" t="str">
        <f>IF(ISERROR(MATCH(1,Tableau353033[perf DaTAV],0)),"-",MATCH(1,Tableau353033[perf DaTAV],0))</f>
        <v>-</v>
      </c>
      <c r="C34" s="35"/>
    </row>
    <row r="35" spans="1:3" ht="16.5" x14ac:dyDescent="0.3">
      <c r="A35" s="170" t="s">
        <v>54</v>
      </c>
      <c r="B35" s="173" t="str">
        <f>IF(ISERROR(MATCH(1,Tableau353033[perf DaTET],0)),"-",MATCH(1,Tableau353033[perf DaTET],0))</f>
        <v>-</v>
      </c>
      <c r="C35" s="35"/>
    </row>
    <row r="36" spans="1:3" ht="17.25" thickBot="1" x14ac:dyDescent="0.35">
      <c r="A36" s="172" t="s">
        <v>55</v>
      </c>
      <c r="B36" s="173" t="str">
        <f>IF(ISERROR(MATCH(1,Tableau353033[Colonne1],0)),"-",MATCH(1,Tableau353033[Colonne1],0))</f>
        <v>-</v>
      </c>
      <c r="C36" s="35"/>
    </row>
    <row r="37" spans="1:3" ht="19.5" thickTop="1" thickBot="1" x14ac:dyDescent="0.4">
      <c r="A37" s="174" t="s">
        <v>88</v>
      </c>
      <c r="B37" s="175" t="str">
        <f>IF(ISERROR(SMALL(B43:B48,1)),"-",SMALL(B43:B48,1))</f>
        <v>-</v>
      </c>
      <c r="C37" s="35"/>
    </row>
    <row r="38" spans="1:3" ht="19.5" thickTop="1" thickBot="1" x14ac:dyDescent="0.4">
      <c r="A38" s="168" t="s">
        <v>89</v>
      </c>
      <c r="B38" s="6" t="str">
        <f>IF(ISERROR(SMALL(B46:B48,1)),"-",SMALL(B46:B48,1))</f>
        <v>-</v>
      </c>
      <c r="C38" s="35"/>
    </row>
    <row r="39" spans="1:3" ht="19.5" thickTop="1" thickBot="1" x14ac:dyDescent="0.4">
      <c r="A39" s="169" t="s">
        <v>90</v>
      </c>
      <c r="B39" s="6" t="str">
        <f>IF(ISERROR(SMALL(B43:B45,1)),"-",SMALL(B43:B45,1))</f>
        <v>-</v>
      </c>
      <c r="C39" s="35"/>
    </row>
    <row r="40" spans="1:3" ht="19.5" thickTop="1" thickBot="1" x14ac:dyDescent="0.4">
      <c r="A40" s="168" t="s">
        <v>91</v>
      </c>
      <c r="B40" s="6" t="str">
        <f>IF(ISERROR(SMALL((B43,B46),1)),"-",SMALL((B43,B46),1))</f>
        <v>-</v>
      </c>
      <c r="C40" s="35"/>
    </row>
    <row r="41" spans="1:3" ht="19.5" thickTop="1" thickBot="1" x14ac:dyDescent="0.4">
      <c r="A41" s="169" t="s">
        <v>92</v>
      </c>
      <c r="B41" s="6" t="str">
        <f>IF(ISERROR(SMALL((B44,B47),1)),"-",SMALL((B44,B47),1))</f>
        <v>-</v>
      </c>
      <c r="C41" s="35"/>
    </row>
    <row r="42" spans="1:3" ht="18.75" thickTop="1" x14ac:dyDescent="0.35">
      <c r="A42" s="168" t="s">
        <v>93</v>
      </c>
      <c r="B42" s="6" t="str">
        <f>IF(ISERROR(SMALL((B45,B48),1)),"-",SMALL((B45,B48),1))</f>
        <v>-</v>
      </c>
      <c r="C42" s="35"/>
    </row>
    <row r="43" spans="1:3" ht="16.5" x14ac:dyDescent="0.3">
      <c r="A43" s="170" t="s">
        <v>56</v>
      </c>
      <c r="B43" s="171" t="str">
        <f>IF(ISERROR(MATCH(1,Tableau353034[perf MdMAV],0)),"-",MATCH(1,Tableau353034[perf MdMAV],0))</f>
        <v>-</v>
      </c>
      <c r="C43" s="35"/>
    </row>
    <row r="44" spans="1:3" ht="16.5" x14ac:dyDescent="0.3">
      <c r="A44" s="172" t="s">
        <v>57</v>
      </c>
      <c r="B44" s="171" t="str">
        <f>IF(ISERROR(MATCH(1,Tableau353034[perf MdMET],0)),"-",MATCH(1,Tableau353034[perf MdMET],0))</f>
        <v>-</v>
      </c>
      <c r="C44" s="35"/>
    </row>
    <row r="45" spans="1:3" ht="16.5" x14ac:dyDescent="0.3">
      <c r="A45" s="170" t="s">
        <v>58</v>
      </c>
      <c r="B45" s="171" t="str">
        <f>IF(ISERROR(MATCH(1,Tableau353034[perf MdMAT],0)),"-",MATCH(1,Tableau353034[perf MdMAT],0))</f>
        <v>-</v>
      </c>
      <c r="C45" s="35"/>
    </row>
    <row r="46" spans="1:3" ht="16.5" x14ac:dyDescent="0.3">
      <c r="A46" s="172" t="s">
        <v>59</v>
      </c>
      <c r="B46" s="171" t="str">
        <f>IF(ISERROR(MATCH(1,Tableau353034[perf MdTAV],0)),"-",MATCH(1,Tableau353034[perf MdTAV],0))</f>
        <v>-</v>
      </c>
      <c r="C46" s="35"/>
    </row>
    <row r="47" spans="1:3" ht="16.5" x14ac:dyDescent="0.3">
      <c r="A47" s="170" t="s">
        <v>60</v>
      </c>
      <c r="B47" s="171" t="str">
        <f>IF(ISERROR(MATCH(1,Tableau353034[perf MdTET],0)),"-",MATCH(1,Tableau353034[perf MdTET],0))</f>
        <v>-</v>
      </c>
      <c r="C47" s="35"/>
    </row>
    <row r="48" spans="1:3" ht="16.5" x14ac:dyDescent="0.3">
      <c r="A48" s="172" t="s">
        <v>61</v>
      </c>
      <c r="B48" s="171" t="str">
        <f>IF(ISERROR(MATCH(1,Tableau353034[perf MdTAT],0)),"-",MATCH(1,Tableau353034[perf MdTAT],0))</f>
        <v>-</v>
      </c>
      <c r="C48" s="35"/>
    </row>
    <row r="49" spans="1:3" x14ac:dyDescent="0.25">
      <c r="A49" s="167" t="s">
        <v>63</v>
      </c>
      <c r="B49" s="12" t="e">
        <f>SUM(#REF!,#REF!,#REF!,#REF!,#REF!,#REF!,#REF!,#REF!,#REF!,#REF!,#REF!,#REF!,#REF!,#REF!,#REF!,#REF!,#REF!,#REF!)</f>
        <v>#REF!</v>
      </c>
      <c r="C49" s="35"/>
    </row>
    <row r="50" spans="1:3" x14ac:dyDescent="0.25">
      <c r="A50" s="167" t="s">
        <v>98</v>
      </c>
      <c r="B50">
        <f>SUM(I3:I28)</f>
        <v>0</v>
      </c>
      <c r="C50" s="35"/>
    </row>
  </sheetData>
  <mergeCells count="3">
    <mergeCell ref="D15:E15"/>
    <mergeCell ref="D1:E1"/>
    <mergeCell ref="G1:H1"/>
  </mergeCells>
  <hyperlinks>
    <hyperlink ref="A2" location="Feuil3!A70" display="Perf en tête"/>
    <hyperlink ref="A4" location="Feuil3!G28" display="Perf à vue"/>
  </hyperlinks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workbookViewId="0">
      <selection activeCell="D18" sqref="D18"/>
    </sheetView>
  </sheetViews>
  <sheetFormatPr baseColWidth="10" defaultRowHeight="15" x14ac:dyDescent="0.25"/>
  <sheetData>
    <row r="1" spans="1:6" x14ac:dyDescent="0.25">
      <c r="B1" t="str">
        <f>Tableau35307[[#Headers],[Dévers en moulinette à vue]]</f>
        <v>Dévers en moulinette à vue</v>
      </c>
      <c r="C1" t="str">
        <f>Tableau35307[[#Headers],[Dévers en moulinette en travail]]</f>
        <v>Dévers en moulinette en travail</v>
      </c>
      <c r="D1" t="s">
        <v>139</v>
      </c>
      <c r="E1" t="s">
        <v>140</v>
      </c>
      <c r="F1" t="s">
        <v>141</v>
      </c>
    </row>
    <row r="2" spans="1:6" x14ac:dyDescent="0.25">
      <c r="A2" t="s">
        <v>17</v>
      </c>
      <c r="B2">
        <f ca="1">RANDBETWEEN(0,10)</f>
        <v>10</v>
      </c>
      <c r="C2">
        <f t="shared" ref="C2:F17" ca="1" si="0">RANDBETWEEN(0,10)</f>
        <v>7</v>
      </c>
      <c r="D2">
        <f t="shared" ca="1" si="0"/>
        <v>7</v>
      </c>
      <c r="E2">
        <f t="shared" ca="1" si="0"/>
        <v>10</v>
      </c>
      <c r="F2">
        <f t="shared" ca="1" si="0"/>
        <v>3</v>
      </c>
    </row>
    <row r="3" spans="1:6" x14ac:dyDescent="0.25">
      <c r="A3" t="s">
        <v>18</v>
      </c>
      <c r="B3">
        <f t="shared" ref="B3:F27" ca="1" si="1">RANDBETWEEN(0,10)</f>
        <v>10</v>
      </c>
      <c r="C3">
        <f t="shared" ca="1" si="0"/>
        <v>10</v>
      </c>
      <c r="D3">
        <f t="shared" ca="1" si="0"/>
        <v>9</v>
      </c>
      <c r="E3">
        <f t="shared" ca="1" si="0"/>
        <v>0</v>
      </c>
      <c r="F3">
        <f t="shared" ca="1" si="0"/>
        <v>7</v>
      </c>
    </row>
    <row r="4" spans="1:6" x14ac:dyDescent="0.25">
      <c r="A4" t="s">
        <v>19</v>
      </c>
      <c r="B4">
        <f t="shared" ca="1" si="1"/>
        <v>7</v>
      </c>
      <c r="C4">
        <f t="shared" ca="1" si="0"/>
        <v>1</v>
      </c>
      <c r="D4">
        <f t="shared" ca="1" si="0"/>
        <v>9</v>
      </c>
      <c r="E4">
        <f t="shared" ca="1" si="0"/>
        <v>9</v>
      </c>
      <c r="F4">
        <f t="shared" ca="1" si="0"/>
        <v>2</v>
      </c>
    </row>
    <row r="5" spans="1:6" x14ac:dyDescent="0.25">
      <c r="A5" t="s">
        <v>20</v>
      </c>
      <c r="B5">
        <f t="shared" ca="1" si="1"/>
        <v>10</v>
      </c>
      <c r="C5">
        <f t="shared" ca="1" si="0"/>
        <v>1</v>
      </c>
      <c r="D5">
        <f t="shared" ca="1" si="0"/>
        <v>4</v>
      </c>
      <c r="E5">
        <f t="shared" ca="1" si="0"/>
        <v>0</v>
      </c>
      <c r="F5">
        <f t="shared" ca="1" si="0"/>
        <v>1</v>
      </c>
    </row>
    <row r="6" spans="1:6" x14ac:dyDescent="0.25">
      <c r="A6" t="s">
        <v>15</v>
      </c>
      <c r="B6">
        <f t="shared" ca="1" si="1"/>
        <v>5</v>
      </c>
      <c r="C6">
        <f t="shared" ca="1" si="0"/>
        <v>6</v>
      </c>
      <c r="D6">
        <f t="shared" ca="1" si="0"/>
        <v>1</v>
      </c>
      <c r="E6">
        <f t="shared" ca="1" si="0"/>
        <v>1</v>
      </c>
      <c r="F6">
        <f t="shared" ca="1" si="0"/>
        <v>9</v>
      </c>
    </row>
    <row r="7" spans="1:6" x14ac:dyDescent="0.25">
      <c r="A7" t="s">
        <v>21</v>
      </c>
      <c r="B7">
        <f t="shared" ca="1" si="1"/>
        <v>6</v>
      </c>
      <c r="C7">
        <f t="shared" ca="1" si="0"/>
        <v>1</v>
      </c>
      <c r="D7">
        <f t="shared" ca="1" si="0"/>
        <v>9</v>
      </c>
      <c r="E7">
        <f t="shared" ca="1" si="0"/>
        <v>9</v>
      </c>
      <c r="F7">
        <f t="shared" ca="1" si="0"/>
        <v>4</v>
      </c>
    </row>
    <row r="8" spans="1:6" x14ac:dyDescent="0.25">
      <c r="A8" t="s">
        <v>13</v>
      </c>
      <c r="B8">
        <f t="shared" ca="1" si="1"/>
        <v>5</v>
      </c>
      <c r="C8">
        <f t="shared" ca="1" si="0"/>
        <v>5</v>
      </c>
      <c r="D8">
        <f t="shared" ca="1" si="0"/>
        <v>6</v>
      </c>
      <c r="E8">
        <f t="shared" ca="1" si="0"/>
        <v>8</v>
      </c>
      <c r="F8">
        <f t="shared" ca="1" si="0"/>
        <v>6</v>
      </c>
    </row>
    <row r="9" spans="1:6" x14ac:dyDescent="0.25">
      <c r="A9" t="s">
        <v>22</v>
      </c>
      <c r="B9">
        <f t="shared" ca="1" si="1"/>
        <v>9</v>
      </c>
      <c r="C9">
        <f t="shared" ca="1" si="0"/>
        <v>6</v>
      </c>
      <c r="D9">
        <f t="shared" ca="1" si="0"/>
        <v>8</v>
      </c>
      <c r="E9">
        <f t="shared" ca="1" si="0"/>
        <v>2</v>
      </c>
      <c r="F9">
        <f t="shared" ca="1" si="0"/>
        <v>4</v>
      </c>
    </row>
    <row r="10" spans="1:6" x14ac:dyDescent="0.25">
      <c r="A10" t="s">
        <v>8</v>
      </c>
      <c r="B10">
        <f t="shared" ca="1" si="1"/>
        <v>2</v>
      </c>
      <c r="C10">
        <f t="shared" ca="1" si="0"/>
        <v>9</v>
      </c>
      <c r="D10">
        <f t="shared" ca="1" si="0"/>
        <v>1</v>
      </c>
      <c r="E10">
        <f t="shared" ca="1" si="0"/>
        <v>6</v>
      </c>
      <c r="F10">
        <f t="shared" ca="1" si="0"/>
        <v>0</v>
      </c>
    </row>
    <row r="11" spans="1:6" x14ac:dyDescent="0.25">
      <c r="A11" t="s">
        <v>23</v>
      </c>
      <c r="B11">
        <f t="shared" ca="1" si="1"/>
        <v>9</v>
      </c>
      <c r="C11">
        <f t="shared" ca="1" si="0"/>
        <v>0</v>
      </c>
      <c r="D11">
        <f t="shared" ca="1" si="0"/>
        <v>8</v>
      </c>
      <c r="E11">
        <f t="shared" ca="1" si="0"/>
        <v>7</v>
      </c>
      <c r="F11">
        <f t="shared" ca="1" si="0"/>
        <v>9</v>
      </c>
    </row>
    <row r="12" spans="1:6" x14ac:dyDescent="0.25">
      <c r="A12" t="s">
        <v>7</v>
      </c>
      <c r="B12">
        <f t="shared" ca="1" si="1"/>
        <v>6</v>
      </c>
      <c r="C12">
        <f t="shared" ca="1" si="0"/>
        <v>2</v>
      </c>
      <c r="D12">
        <f t="shared" ca="1" si="0"/>
        <v>7</v>
      </c>
      <c r="E12">
        <f t="shared" ca="1" si="0"/>
        <v>4</v>
      </c>
      <c r="F12">
        <f t="shared" ca="1" si="0"/>
        <v>8</v>
      </c>
    </row>
    <row r="13" spans="1:6" x14ac:dyDescent="0.25">
      <c r="A13" t="s">
        <v>24</v>
      </c>
      <c r="B13">
        <f t="shared" ca="1" si="1"/>
        <v>9</v>
      </c>
      <c r="C13">
        <f t="shared" ca="1" si="0"/>
        <v>7</v>
      </c>
      <c r="D13">
        <f t="shared" ca="1" si="0"/>
        <v>8</v>
      </c>
      <c r="E13">
        <f t="shared" ca="1" si="0"/>
        <v>4</v>
      </c>
      <c r="F13">
        <f t="shared" ca="1" si="0"/>
        <v>10</v>
      </c>
    </row>
    <row r="14" spans="1:6" x14ac:dyDescent="0.25">
      <c r="A14" t="s">
        <v>6</v>
      </c>
      <c r="B14">
        <f t="shared" ca="1" si="1"/>
        <v>6</v>
      </c>
      <c r="C14">
        <f t="shared" ca="1" si="0"/>
        <v>0</v>
      </c>
      <c r="D14">
        <f t="shared" ca="1" si="0"/>
        <v>8</v>
      </c>
      <c r="E14">
        <f t="shared" ca="1" si="0"/>
        <v>3</v>
      </c>
      <c r="F14">
        <f t="shared" ca="1" si="0"/>
        <v>2</v>
      </c>
    </row>
    <row r="15" spans="1:6" x14ac:dyDescent="0.25">
      <c r="A15" t="s">
        <v>25</v>
      </c>
      <c r="B15">
        <f t="shared" ca="1" si="1"/>
        <v>3</v>
      </c>
      <c r="C15">
        <f t="shared" ca="1" si="0"/>
        <v>7</v>
      </c>
      <c r="D15">
        <f t="shared" ca="1" si="0"/>
        <v>8</v>
      </c>
      <c r="E15">
        <f t="shared" ca="1" si="0"/>
        <v>5</v>
      </c>
      <c r="F15">
        <f t="shared" ca="1" si="0"/>
        <v>1</v>
      </c>
    </row>
    <row r="16" spans="1:6" x14ac:dyDescent="0.25">
      <c r="A16" t="s">
        <v>5</v>
      </c>
      <c r="B16">
        <f t="shared" ca="1" si="1"/>
        <v>1</v>
      </c>
      <c r="C16">
        <f t="shared" ca="1" si="0"/>
        <v>9</v>
      </c>
      <c r="D16">
        <f t="shared" ca="1" si="0"/>
        <v>0</v>
      </c>
      <c r="E16">
        <f t="shared" ca="1" si="0"/>
        <v>7</v>
      </c>
      <c r="F16">
        <f t="shared" ca="1" si="0"/>
        <v>9</v>
      </c>
    </row>
    <row r="17" spans="1:6" x14ac:dyDescent="0.25">
      <c r="A17" t="s">
        <v>26</v>
      </c>
      <c r="B17">
        <f t="shared" ca="1" si="1"/>
        <v>9</v>
      </c>
      <c r="C17">
        <f t="shared" ca="1" si="0"/>
        <v>4</v>
      </c>
      <c r="D17">
        <f t="shared" ca="1" si="0"/>
        <v>6</v>
      </c>
      <c r="E17">
        <f t="shared" ca="1" si="0"/>
        <v>8</v>
      </c>
      <c r="F17">
        <f t="shared" ca="1" si="0"/>
        <v>9</v>
      </c>
    </row>
    <row r="18" spans="1:6" x14ac:dyDescent="0.25">
      <c r="A18" t="s">
        <v>4</v>
      </c>
      <c r="B18">
        <f t="shared" ca="1" si="1"/>
        <v>7</v>
      </c>
      <c r="C18">
        <f t="shared" ca="1" si="1"/>
        <v>1</v>
      </c>
      <c r="D18">
        <f t="shared" ca="1" si="1"/>
        <v>9</v>
      </c>
      <c r="E18">
        <f t="shared" ca="1" si="1"/>
        <v>5</v>
      </c>
      <c r="F18">
        <f t="shared" ca="1" si="1"/>
        <v>5</v>
      </c>
    </row>
    <row r="19" spans="1:6" x14ac:dyDescent="0.25">
      <c r="A19" t="s">
        <v>27</v>
      </c>
      <c r="B19">
        <f t="shared" ca="1" si="1"/>
        <v>9</v>
      </c>
      <c r="C19">
        <f t="shared" ca="1" si="1"/>
        <v>8</v>
      </c>
      <c r="D19">
        <f t="shared" ca="1" si="1"/>
        <v>8</v>
      </c>
      <c r="E19">
        <f t="shared" ca="1" si="1"/>
        <v>7</v>
      </c>
      <c r="F19">
        <f t="shared" ca="1" si="1"/>
        <v>10</v>
      </c>
    </row>
    <row r="20" spans="1:6" x14ac:dyDescent="0.25">
      <c r="A20" t="s">
        <v>3</v>
      </c>
      <c r="B20">
        <f t="shared" ca="1" si="1"/>
        <v>3</v>
      </c>
      <c r="C20">
        <f t="shared" ca="1" si="1"/>
        <v>6</v>
      </c>
      <c r="D20">
        <f t="shared" ca="1" si="1"/>
        <v>10</v>
      </c>
      <c r="E20">
        <f t="shared" ca="1" si="1"/>
        <v>10</v>
      </c>
      <c r="F20">
        <f t="shared" ca="1" si="1"/>
        <v>8</v>
      </c>
    </row>
    <row r="21" spans="1:6" x14ac:dyDescent="0.25">
      <c r="A21" t="s">
        <v>28</v>
      </c>
      <c r="B21">
        <f t="shared" ca="1" si="1"/>
        <v>0</v>
      </c>
      <c r="C21">
        <f t="shared" ca="1" si="1"/>
        <v>7</v>
      </c>
      <c r="D21">
        <f t="shared" ca="1" si="1"/>
        <v>10</v>
      </c>
      <c r="E21">
        <f t="shared" ca="1" si="1"/>
        <v>9</v>
      </c>
      <c r="F21">
        <f t="shared" ca="1" si="1"/>
        <v>3</v>
      </c>
    </row>
    <row r="22" spans="1:6" x14ac:dyDescent="0.25">
      <c r="A22" t="s">
        <v>2</v>
      </c>
      <c r="B22">
        <f t="shared" ca="1" si="1"/>
        <v>6</v>
      </c>
      <c r="C22">
        <f t="shared" ca="1" si="1"/>
        <v>2</v>
      </c>
      <c r="D22">
        <f t="shared" ca="1" si="1"/>
        <v>2</v>
      </c>
      <c r="E22">
        <f t="shared" ca="1" si="1"/>
        <v>3</v>
      </c>
      <c r="F22">
        <f t="shared" ca="1" si="1"/>
        <v>4</v>
      </c>
    </row>
    <row r="23" spans="1:6" x14ac:dyDescent="0.25">
      <c r="A23" t="s">
        <v>29</v>
      </c>
      <c r="B23">
        <f t="shared" ca="1" si="1"/>
        <v>0</v>
      </c>
      <c r="C23">
        <f t="shared" ca="1" si="1"/>
        <v>2</v>
      </c>
      <c r="D23">
        <f t="shared" ca="1" si="1"/>
        <v>2</v>
      </c>
      <c r="E23">
        <f t="shared" ca="1" si="1"/>
        <v>0</v>
      </c>
      <c r="F23">
        <f t="shared" ca="1" si="1"/>
        <v>10</v>
      </c>
    </row>
    <row r="24" spans="1:6" x14ac:dyDescent="0.25">
      <c r="A24" t="s">
        <v>1</v>
      </c>
      <c r="B24">
        <f t="shared" ca="1" si="1"/>
        <v>5</v>
      </c>
      <c r="C24">
        <f t="shared" ca="1" si="1"/>
        <v>1</v>
      </c>
      <c r="D24">
        <f t="shared" ca="1" si="1"/>
        <v>10</v>
      </c>
      <c r="E24">
        <f t="shared" ca="1" si="1"/>
        <v>4</v>
      </c>
      <c r="F24">
        <f t="shared" ca="1" si="1"/>
        <v>9</v>
      </c>
    </row>
    <row r="25" spans="1:6" x14ac:dyDescent="0.25">
      <c r="A25" t="s">
        <v>30</v>
      </c>
      <c r="B25">
        <f t="shared" ca="1" si="1"/>
        <v>6</v>
      </c>
      <c r="C25">
        <f t="shared" ca="1" si="1"/>
        <v>6</v>
      </c>
      <c r="D25">
        <f t="shared" ca="1" si="1"/>
        <v>7</v>
      </c>
      <c r="E25">
        <f t="shared" ca="1" si="1"/>
        <v>0</v>
      </c>
      <c r="F25">
        <f t="shared" ca="1" si="1"/>
        <v>3</v>
      </c>
    </row>
    <row r="26" spans="1:6" x14ac:dyDescent="0.25">
      <c r="A26" t="s">
        <v>0</v>
      </c>
      <c r="B26">
        <f t="shared" ca="1" si="1"/>
        <v>8</v>
      </c>
      <c r="C26">
        <f t="shared" ca="1" si="1"/>
        <v>0</v>
      </c>
      <c r="D26">
        <f t="shared" ca="1" si="1"/>
        <v>10</v>
      </c>
      <c r="E26">
        <f t="shared" ca="1" si="1"/>
        <v>5</v>
      </c>
      <c r="F26">
        <f t="shared" ca="1" si="1"/>
        <v>2</v>
      </c>
    </row>
    <row r="27" spans="1:6" x14ac:dyDescent="0.25">
      <c r="A27">
        <v>4</v>
      </c>
      <c r="B27">
        <f t="shared" ca="1" si="1"/>
        <v>2</v>
      </c>
      <c r="C27">
        <f t="shared" ca="1" si="1"/>
        <v>8</v>
      </c>
      <c r="D27">
        <f t="shared" ca="1" si="1"/>
        <v>10</v>
      </c>
      <c r="E27">
        <f t="shared" ca="1" si="1"/>
        <v>4</v>
      </c>
      <c r="F27">
        <f t="shared" ca="1" si="1"/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Calendrier</vt:lpstr>
      <vt:lpstr>progression</vt:lpstr>
      <vt:lpstr>04fevr  (2)</vt:lpstr>
      <vt:lpstr>09 fevr </vt:lpstr>
      <vt:lpstr>Feuil3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Jean-Eric Pelouas</cp:lastModifiedBy>
  <dcterms:created xsi:type="dcterms:W3CDTF">2014-02-05T15:24:29Z</dcterms:created>
  <dcterms:modified xsi:type="dcterms:W3CDTF">2014-02-19T04:29:46Z</dcterms:modified>
</cp:coreProperties>
</file>