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80" yWindow="-90" windowWidth="19440" windowHeight="12240" activeTab="1"/>
  </bookViews>
  <sheets>
    <sheet name="Feuil2" sheetId="5" r:id="rId1"/>
    <sheet name="Feuil1" sheetId="1" r:id="rId2"/>
    <sheet name="DV-IDENTITY-0" sheetId="6" state="veryHidden" r:id="rId3"/>
  </sheets>
  <calcPr calcId="145621"/>
  <pivotCaches>
    <pivotCache cacheId="12" r:id="rId4"/>
  </pivotCaches>
</workbook>
</file>

<file path=xl/calcChain.xml><?xml version="1.0" encoding="utf-8"?>
<calcChain xmlns="http://schemas.openxmlformats.org/spreadsheetml/2006/main">
  <c r="J35" i="1" l="1"/>
  <c r="K35" i="1"/>
  <c r="M35" i="1"/>
  <c r="I35" i="1"/>
  <c r="N35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" i="1"/>
  <c r="A17" i="6" l="1"/>
  <c r="B17" i="6"/>
  <c r="C17" i="6"/>
  <c r="D17" i="6"/>
  <c r="E17" i="6"/>
  <c r="F17" i="6"/>
  <c r="G17" i="6"/>
  <c r="H17" i="6"/>
  <c r="I17" i="6"/>
  <c r="A16" i="6"/>
  <c r="B16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AT16" i="6"/>
  <c r="AU16" i="6"/>
  <c r="AV16" i="6"/>
  <c r="AW16" i="6"/>
  <c r="AX16" i="6"/>
  <c r="AY16" i="6"/>
  <c r="AZ16" i="6"/>
  <c r="BA16" i="6"/>
  <c r="BB16" i="6"/>
  <c r="BC16" i="6"/>
  <c r="BD16" i="6"/>
  <c r="BE16" i="6"/>
  <c r="BF16" i="6"/>
  <c r="BG16" i="6"/>
  <c r="BH16" i="6"/>
  <c r="BI16" i="6"/>
  <c r="BJ16" i="6"/>
  <c r="BK16" i="6"/>
  <c r="BL16" i="6"/>
  <c r="BM16" i="6"/>
  <c r="BN16" i="6"/>
  <c r="BO16" i="6"/>
  <c r="BP16" i="6"/>
  <c r="BQ16" i="6"/>
  <c r="BR16" i="6"/>
  <c r="BS16" i="6"/>
  <c r="BT16" i="6"/>
  <c r="BU16" i="6"/>
  <c r="BV16" i="6"/>
  <c r="BW16" i="6"/>
  <c r="BX16" i="6"/>
  <c r="BY16" i="6"/>
  <c r="BZ16" i="6"/>
  <c r="CA16" i="6"/>
  <c r="CB16" i="6"/>
  <c r="CC16" i="6"/>
  <c r="CD16" i="6"/>
  <c r="CE16" i="6"/>
  <c r="CF16" i="6"/>
  <c r="CG16" i="6"/>
  <c r="CH16" i="6"/>
  <c r="CI16" i="6"/>
  <c r="CJ16" i="6"/>
  <c r="CK16" i="6"/>
  <c r="CL16" i="6"/>
  <c r="CM16" i="6"/>
  <c r="CN16" i="6"/>
  <c r="CO16" i="6"/>
  <c r="CP16" i="6"/>
  <c r="CQ16" i="6"/>
  <c r="CR16" i="6"/>
  <c r="CS16" i="6"/>
  <c r="CT16" i="6"/>
  <c r="CU16" i="6"/>
  <c r="CV16" i="6"/>
  <c r="CW16" i="6"/>
  <c r="CX16" i="6"/>
  <c r="CY16" i="6"/>
  <c r="CZ16" i="6"/>
  <c r="DA16" i="6"/>
  <c r="DB16" i="6"/>
  <c r="DC16" i="6"/>
  <c r="DD16" i="6"/>
  <c r="DE16" i="6"/>
  <c r="DF16" i="6"/>
  <c r="DG16" i="6"/>
  <c r="DH16" i="6"/>
  <c r="DI16" i="6"/>
  <c r="DJ16" i="6"/>
  <c r="DK16" i="6"/>
  <c r="DL16" i="6"/>
  <c r="DM16" i="6"/>
  <c r="DN16" i="6"/>
  <c r="DO16" i="6"/>
  <c r="DP16" i="6"/>
  <c r="DR16" i="6"/>
  <c r="DS16" i="6"/>
  <c r="DT16" i="6"/>
  <c r="DU16" i="6"/>
  <c r="DV16" i="6"/>
  <c r="DW16" i="6"/>
  <c r="DX16" i="6"/>
  <c r="DY16" i="6"/>
  <c r="DZ16" i="6"/>
  <c r="A15" i="6"/>
  <c r="B15" i="6"/>
  <c r="C15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BD15" i="6"/>
  <c r="BE15" i="6"/>
  <c r="BF15" i="6"/>
  <c r="BG15" i="6"/>
  <c r="BH15" i="6"/>
  <c r="BI15" i="6"/>
  <c r="BJ15" i="6"/>
  <c r="BK15" i="6"/>
  <c r="BL15" i="6"/>
  <c r="BM15" i="6"/>
  <c r="BN15" i="6"/>
  <c r="BO15" i="6"/>
  <c r="BP15" i="6"/>
  <c r="BQ15" i="6"/>
  <c r="BR15" i="6"/>
  <c r="BS15" i="6"/>
  <c r="BT15" i="6"/>
  <c r="BU15" i="6"/>
  <c r="BV15" i="6"/>
  <c r="BW15" i="6"/>
  <c r="BX15" i="6"/>
  <c r="BY15" i="6"/>
  <c r="BZ15" i="6"/>
  <c r="CA15" i="6"/>
  <c r="CB15" i="6"/>
  <c r="CC15" i="6"/>
  <c r="CD15" i="6"/>
  <c r="CE15" i="6"/>
  <c r="CF15" i="6"/>
  <c r="CG15" i="6"/>
  <c r="CH15" i="6"/>
  <c r="CI15" i="6"/>
  <c r="CJ15" i="6"/>
  <c r="CK15" i="6"/>
  <c r="CL15" i="6"/>
  <c r="CM15" i="6"/>
  <c r="CN15" i="6"/>
  <c r="CO15" i="6"/>
  <c r="CP15" i="6"/>
  <c r="CQ15" i="6"/>
  <c r="CR15" i="6"/>
  <c r="CS15" i="6"/>
  <c r="CT15" i="6"/>
  <c r="CU15" i="6"/>
  <c r="CV15" i="6"/>
  <c r="CW15" i="6"/>
  <c r="CX15" i="6"/>
  <c r="CY15" i="6"/>
  <c r="CZ15" i="6"/>
  <c r="DA15" i="6"/>
  <c r="DB15" i="6"/>
  <c r="DC15" i="6"/>
  <c r="DD15" i="6"/>
  <c r="DE15" i="6"/>
  <c r="DF15" i="6"/>
  <c r="DG15" i="6"/>
  <c r="DH15" i="6"/>
  <c r="DI15" i="6"/>
  <c r="DJ15" i="6"/>
  <c r="DK15" i="6"/>
  <c r="DL15" i="6"/>
  <c r="DM15" i="6"/>
  <c r="DN15" i="6"/>
  <c r="DO15" i="6"/>
  <c r="DP15" i="6"/>
  <c r="DQ15" i="6"/>
  <c r="DR15" i="6"/>
  <c r="DS15" i="6"/>
  <c r="DT15" i="6"/>
  <c r="DU15" i="6"/>
  <c r="DV15" i="6"/>
  <c r="DW15" i="6"/>
  <c r="DX15" i="6"/>
  <c r="DY15" i="6"/>
  <c r="DZ15" i="6"/>
  <c r="EA15" i="6"/>
  <c r="EB15" i="6"/>
  <c r="EC15" i="6"/>
  <c r="ED15" i="6"/>
  <c r="EE15" i="6"/>
  <c r="EF15" i="6"/>
  <c r="EG15" i="6"/>
  <c r="EH15" i="6"/>
  <c r="EI15" i="6"/>
  <c r="EJ15" i="6"/>
  <c r="EK15" i="6"/>
  <c r="EL15" i="6"/>
  <c r="EM15" i="6"/>
  <c r="EN15" i="6"/>
  <c r="EO15" i="6"/>
  <c r="EP15" i="6"/>
  <c r="EQ15" i="6"/>
  <c r="ER15" i="6"/>
  <c r="ES15" i="6"/>
  <c r="ET15" i="6"/>
  <c r="EU15" i="6"/>
  <c r="EV15" i="6"/>
  <c r="EW15" i="6"/>
  <c r="EX15" i="6"/>
  <c r="EY15" i="6"/>
  <c r="EZ15" i="6"/>
  <c r="FA15" i="6"/>
  <c r="FB15" i="6"/>
  <c r="FC15" i="6"/>
  <c r="FD15" i="6"/>
  <c r="FE15" i="6"/>
  <c r="FF15" i="6"/>
  <c r="FG15" i="6"/>
  <c r="FH15" i="6"/>
  <c r="FI15" i="6"/>
  <c r="FJ15" i="6"/>
  <c r="FK15" i="6"/>
  <c r="FL15" i="6"/>
  <c r="FM15" i="6"/>
  <c r="FN15" i="6"/>
  <c r="FO15" i="6"/>
  <c r="FP15" i="6"/>
  <c r="FQ15" i="6"/>
  <c r="FR15" i="6"/>
  <c r="FS15" i="6"/>
  <c r="FT15" i="6"/>
  <c r="FU15" i="6"/>
  <c r="FV15" i="6"/>
  <c r="FW15" i="6"/>
  <c r="FX15" i="6"/>
  <c r="FY15" i="6"/>
  <c r="FZ15" i="6"/>
  <c r="GA15" i="6"/>
  <c r="GB15" i="6"/>
  <c r="GC15" i="6"/>
  <c r="GD15" i="6"/>
  <c r="GE15" i="6"/>
  <c r="GF15" i="6"/>
  <c r="GG15" i="6"/>
  <c r="GH15" i="6"/>
  <c r="GI15" i="6"/>
  <c r="GJ15" i="6"/>
  <c r="GK15" i="6"/>
  <c r="GL15" i="6"/>
  <c r="GM15" i="6"/>
  <c r="GN15" i="6"/>
  <c r="GO15" i="6"/>
  <c r="GP15" i="6"/>
  <c r="GQ15" i="6"/>
  <c r="GR15" i="6"/>
  <c r="GS15" i="6"/>
  <c r="GT15" i="6"/>
  <c r="GU15" i="6"/>
  <c r="GV15" i="6"/>
  <c r="GW15" i="6"/>
  <c r="GX15" i="6"/>
  <c r="GY15" i="6"/>
  <c r="GZ15" i="6"/>
  <c r="HA15" i="6"/>
  <c r="HB15" i="6"/>
  <c r="HC15" i="6"/>
  <c r="HD15" i="6"/>
  <c r="HE15" i="6"/>
  <c r="HF15" i="6"/>
  <c r="HG15" i="6"/>
  <c r="HH15" i="6"/>
  <c r="HI15" i="6"/>
  <c r="HJ15" i="6"/>
  <c r="HK15" i="6"/>
  <c r="HL15" i="6"/>
  <c r="HM15" i="6"/>
  <c r="HN15" i="6"/>
  <c r="HO15" i="6"/>
  <c r="HP15" i="6"/>
  <c r="HQ15" i="6"/>
  <c r="HR15" i="6"/>
  <c r="HS15" i="6"/>
  <c r="HT15" i="6"/>
  <c r="HU15" i="6"/>
  <c r="HV15" i="6"/>
  <c r="HW15" i="6"/>
  <c r="HX15" i="6"/>
  <c r="HY15" i="6"/>
  <c r="HZ15" i="6"/>
  <c r="IA15" i="6"/>
  <c r="IB15" i="6"/>
  <c r="IC15" i="6"/>
  <c r="ID15" i="6"/>
  <c r="IE15" i="6"/>
  <c r="IF15" i="6"/>
  <c r="IG15" i="6"/>
  <c r="IH15" i="6"/>
  <c r="II15" i="6"/>
  <c r="IJ15" i="6"/>
  <c r="IK15" i="6"/>
  <c r="IL15" i="6"/>
  <c r="IM15" i="6"/>
  <c r="IN15" i="6"/>
  <c r="IO15" i="6"/>
  <c r="IP15" i="6"/>
  <c r="IQ15" i="6"/>
  <c r="IR15" i="6"/>
  <c r="IS15" i="6"/>
  <c r="IT15" i="6"/>
  <c r="IU15" i="6"/>
  <c r="IV15" i="6"/>
  <c r="A14" i="6"/>
  <c r="B14" i="6"/>
  <c r="C14" i="6"/>
  <c r="D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F14" i="6"/>
  <c r="BG14" i="6"/>
  <c r="BH14" i="6"/>
  <c r="BI14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I14" i="6"/>
  <c r="CJ14" i="6"/>
  <c r="CK14" i="6"/>
  <c r="CL14" i="6"/>
  <c r="CM14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M14" i="6"/>
  <c r="DN14" i="6"/>
  <c r="DO14" i="6"/>
  <c r="DP14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P14" i="6"/>
  <c r="EQ14" i="6"/>
  <c r="ER14" i="6"/>
  <c r="ES14" i="6"/>
  <c r="ET14" i="6"/>
  <c r="EU14" i="6"/>
  <c r="EV14" i="6"/>
  <c r="EW14" i="6"/>
  <c r="EX14" i="6"/>
  <c r="EY14" i="6"/>
  <c r="EZ14" i="6"/>
  <c r="FA14" i="6"/>
  <c r="FB14" i="6"/>
  <c r="FC14" i="6"/>
  <c r="FD14" i="6"/>
  <c r="FE14" i="6"/>
  <c r="FF14" i="6"/>
  <c r="FG14" i="6"/>
  <c r="FH14" i="6"/>
  <c r="FI14" i="6"/>
  <c r="FJ14" i="6"/>
  <c r="FK14" i="6"/>
  <c r="FL14" i="6"/>
  <c r="FM14" i="6"/>
  <c r="FN14" i="6"/>
  <c r="FO14" i="6"/>
  <c r="FP14" i="6"/>
  <c r="FQ14" i="6"/>
  <c r="FR14" i="6"/>
  <c r="FS14" i="6"/>
  <c r="FT14" i="6"/>
  <c r="FU14" i="6"/>
  <c r="FV14" i="6"/>
  <c r="FW14" i="6"/>
  <c r="FX14" i="6"/>
  <c r="FY14" i="6"/>
  <c r="FZ14" i="6"/>
  <c r="GA14" i="6"/>
  <c r="GB14" i="6"/>
  <c r="GC14" i="6"/>
  <c r="GD14" i="6"/>
  <c r="GE14" i="6"/>
  <c r="GF14" i="6"/>
  <c r="GG14" i="6"/>
  <c r="GH14" i="6"/>
  <c r="GI14" i="6"/>
  <c r="GJ14" i="6"/>
  <c r="GK14" i="6"/>
  <c r="GL14" i="6"/>
  <c r="GM14" i="6"/>
  <c r="GN14" i="6"/>
  <c r="GO14" i="6"/>
  <c r="GP14" i="6"/>
  <c r="GQ14" i="6"/>
  <c r="GR14" i="6"/>
  <c r="GS14" i="6"/>
  <c r="GT14" i="6"/>
  <c r="GU14" i="6"/>
  <c r="GV14" i="6"/>
  <c r="GW14" i="6"/>
  <c r="GX14" i="6"/>
  <c r="GY14" i="6"/>
  <c r="GZ14" i="6"/>
  <c r="HA14" i="6"/>
  <c r="HB14" i="6"/>
  <c r="HC14" i="6"/>
  <c r="HD14" i="6"/>
  <c r="HE14" i="6"/>
  <c r="HF14" i="6"/>
  <c r="HG14" i="6"/>
  <c r="HH14" i="6"/>
  <c r="HI14" i="6"/>
  <c r="HJ14" i="6"/>
  <c r="HK14" i="6"/>
  <c r="HL14" i="6"/>
  <c r="HM14" i="6"/>
  <c r="HN14" i="6"/>
  <c r="HO14" i="6"/>
  <c r="HP14" i="6"/>
  <c r="HQ14" i="6"/>
  <c r="HR14" i="6"/>
  <c r="HS14" i="6"/>
  <c r="HT14" i="6"/>
  <c r="HU14" i="6"/>
  <c r="HV14" i="6"/>
  <c r="HW14" i="6"/>
  <c r="HX14" i="6"/>
  <c r="HY14" i="6"/>
  <c r="HZ14" i="6"/>
  <c r="IA14" i="6"/>
  <c r="IB14" i="6"/>
  <c r="IC14" i="6"/>
  <c r="ID14" i="6"/>
  <c r="IE14" i="6"/>
  <c r="IF14" i="6"/>
  <c r="IG14" i="6"/>
  <c r="IH14" i="6"/>
  <c r="II14" i="6"/>
  <c r="IJ14" i="6"/>
  <c r="IK14" i="6"/>
  <c r="IL14" i="6"/>
  <c r="IM14" i="6"/>
  <c r="IN14" i="6"/>
  <c r="IO14" i="6"/>
  <c r="IP14" i="6"/>
  <c r="IQ14" i="6"/>
  <c r="IR14" i="6"/>
  <c r="IS14" i="6"/>
  <c r="IT14" i="6"/>
  <c r="IU14" i="6"/>
  <c r="IV14" i="6"/>
  <c r="A13" i="6"/>
  <c r="B13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CI13" i="6"/>
  <c r="CJ13" i="6"/>
  <c r="CK13" i="6"/>
  <c r="CL13" i="6"/>
  <c r="CM13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DL13" i="6"/>
  <c r="DM13" i="6"/>
  <c r="DN13" i="6"/>
  <c r="DO13" i="6"/>
  <c r="DP13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EP13" i="6"/>
  <c r="EQ13" i="6"/>
  <c r="ER13" i="6"/>
  <c r="ES13" i="6"/>
  <c r="ET13" i="6"/>
  <c r="EU13" i="6"/>
  <c r="EV13" i="6"/>
  <c r="EW13" i="6"/>
  <c r="EX13" i="6"/>
  <c r="EY13" i="6"/>
  <c r="EZ13" i="6"/>
  <c r="FA13" i="6"/>
  <c r="FB13" i="6"/>
  <c r="FC13" i="6"/>
  <c r="FD13" i="6"/>
  <c r="FE13" i="6"/>
  <c r="FF13" i="6"/>
  <c r="FG13" i="6"/>
  <c r="FH13" i="6"/>
  <c r="FI13" i="6"/>
  <c r="FJ13" i="6"/>
  <c r="FK13" i="6"/>
  <c r="FL13" i="6"/>
  <c r="FM13" i="6"/>
  <c r="FN13" i="6"/>
  <c r="FO13" i="6"/>
  <c r="FP13" i="6"/>
  <c r="FQ13" i="6"/>
  <c r="FR13" i="6"/>
  <c r="FS13" i="6"/>
  <c r="FT13" i="6"/>
  <c r="FU13" i="6"/>
  <c r="FV13" i="6"/>
  <c r="FW13" i="6"/>
  <c r="FX13" i="6"/>
  <c r="FY13" i="6"/>
  <c r="FZ13" i="6"/>
  <c r="GA13" i="6"/>
  <c r="GB13" i="6"/>
  <c r="GC13" i="6"/>
  <c r="GD13" i="6"/>
  <c r="GE13" i="6"/>
  <c r="GF13" i="6"/>
  <c r="GG13" i="6"/>
  <c r="GH13" i="6"/>
  <c r="GI13" i="6"/>
  <c r="GJ13" i="6"/>
  <c r="GK13" i="6"/>
  <c r="GL13" i="6"/>
  <c r="GM13" i="6"/>
  <c r="GN13" i="6"/>
  <c r="GO13" i="6"/>
  <c r="GP13" i="6"/>
  <c r="GQ13" i="6"/>
  <c r="GR13" i="6"/>
  <c r="GS13" i="6"/>
  <c r="GT13" i="6"/>
  <c r="GU13" i="6"/>
  <c r="GV13" i="6"/>
  <c r="GW13" i="6"/>
  <c r="GX13" i="6"/>
  <c r="GY13" i="6"/>
  <c r="GZ13" i="6"/>
  <c r="HA13" i="6"/>
  <c r="HB13" i="6"/>
  <c r="HC13" i="6"/>
  <c r="HD13" i="6"/>
  <c r="HE13" i="6"/>
  <c r="HF13" i="6"/>
  <c r="HG13" i="6"/>
  <c r="HH13" i="6"/>
  <c r="HI13" i="6"/>
  <c r="HJ13" i="6"/>
  <c r="HK13" i="6"/>
  <c r="HL13" i="6"/>
  <c r="HM13" i="6"/>
  <c r="HN13" i="6"/>
  <c r="HO13" i="6"/>
  <c r="HP13" i="6"/>
  <c r="HQ13" i="6"/>
  <c r="HR13" i="6"/>
  <c r="HS13" i="6"/>
  <c r="HT13" i="6"/>
  <c r="HU13" i="6"/>
  <c r="HV13" i="6"/>
  <c r="HW13" i="6"/>
  <c r="HX13" i="6"/>
  <c r="HY13" i="6"/>
  <c r="HZ13" i="6"/>
  <c r="IA13" i="6"/>
  <c r="IB13" i="6"/>
  <c r="IC13" i="6"/>
  <c r="ID13" i="6"/>
  <c r="IE13" i="6"/>
  <c r="IF13" i="6"/>
  <c r="IG13" i="6"/>
  <c r="IH13" i="6"/>
  <c r="II13" i="6"/>
  <c r="IJ13" i="6"/>
  <c r="IK13" i="6"/>
  <c r="IL13" i="6"/>
  <c r="IM13" i="6"/>
  <c r="IN13" i="6"/>
  <c r="IO13" i="6"/>
  <c r="IP13" i="6"/>
  <c r="IQ13" i="6"/>
  <c r="IR13" i="6"/>
  <c r="IS13" i="6"/>
  <c r="IT13" i="6"/>
  <c r="IU13" i="6"/>
  <c r="IV13" i="6"/>
  <c r="A12" i="6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CI12" i="6"/>
  <c r="CJ12" i="6"/>
  <c r="CK12" i="6"/>
  <c r="CL12" i="6"/>
  <c r="CM12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DL12" i="6"/>
  <c r="DM12" i="6"/>
  <c r="DN12" i="6"/>
  <c r="DO12" i="6"/>
  <c r="DP12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EP12" i="6"/>
  <c r="EQ12" i="6"/>
  <c r="ER12" i="6"/>
  <c r="ES12" i="6"/>
  <c r="ET12" i="6"/>
  <c r="EU12" i="6"/>
  <c r="EV12" i="6"/>
  <c r="EW12" i="6"/>
  <c r="EX12" i="6"/>
  <c r="EY12" i="6"/>
  <c r="EZ12" i="6"/>
  <c r="FA12" i="6"/>
  <c r="FB12" i="6"/>
  <c r="FC12" i="6"/>
  <c r="FD12" i="6"/>
  <c r="FE12" i="6"/>
  <c r="FF12" i="6"/>
  <c r="FG12" i="6"/>
  <c r="FH12" i="6"/>
  <c r="FI12" i="6"/>
  <c r="FJ12" i="6"/>
  <c r="FK12" i="6"/>
  <c r="FL12" i="6"/>
  <c r="FM12" i="6"/>
  <c r="FN12" i="6"/>
  <c r="FO12" i="6"/>
  <c r="FP12" i="6"/>
  <c r="FQ12" i="6"/>
  <c r="FR12" i="6"/>
  <c r="FS12" i="6"/>
  <c r="FT12" i="6"/>
  <c r="FU12" i="6"/>
  <c r="FV12" i="6"/>
  <c r="FW12" i="6"/>
  <c r="FX12" i="6"/>
  <c r="FY12" i="6"/>
  <c r="FZ12" i="6"/>
  <c r="GA12" i="6"/>
  <c r="GB12" i="6"/>
  <c r="GC12" i="6"/>
  <c r="GD12" i="6"/>
  <c r="GE12" i="6"/>
  <c r="GF12" i="6"/>
  <c r="GG12" i="6"/>
  <c r="GH12" i="6"/>
  <c r="GI12" i="6"/>
  <c r="GJ12" i="6"/>
  <c r="GK12" i="6"/>
  <c r="GL12" i="6"/>
  <c r="GM12" i="6"/>
  <c r="GN12" i="6"/>
  <c r="GO12" i="6"/>
  <c r="GP12" i="6"/>
  <c r="GQ12" i="6"/>
  <c r="GR12" i="6"/>
  <c r="GS12" i="6"/>
  <c r="GT12" i="6"/>
  <c r="GU12" i="6"/>
  <c r="GV12" i="6"/>
  <c r="GW12" i="6"/>
  <c r="GX12" i="6"/>
  <c r="GY12" i="6"/>
  <c r="GZ12" i="6"/>
  <c r="HA12" i="6"/>
  <c r="HB12" i="6"/>
  <c r="HC12" i="6"/>
  <c r="HD12" i="6"/>
  <c r="HE12" i="6"/>
  <c r="HF12" i="6"/>
  <c r="HG12" i="6"/>
  <c r="HH12" i="6"/>
  <c r="HI12" i="6"/>
  <c r="HJ12" i="6"/>
  <c r="HK12" i="6"/>
  <c r="HL12" i="6"/>
  <c r="HM12" i="6"/>
  <c r="HN12" i="6"/>
  <c r="HO12" i="6"/>
  <c r="HP12" i="6"/>
  <c r="HQ12" i="6"/>
  <c r="HR12" i="6"/>
  <c r="HS12" i="6"/>
  <c r="HT12" i="6"/>
  <c r="HU12" i="6"/>
  <c r="HV12" i="6"/>
  <c r="HW12" i="6"/>
  <c r="HX12" i="6"/>
  <c r="HY12" i="6"/>
  <c r="HZ12" i="6"/>
  <c r="IA12" i="6"/>
  <c r="IB12" i="6"/>
  <c r="IC12" i="6"/>
  <c r="ID12" i="6"/>
  <c r="IE12" i="6"/>
  <c r="IF12" i="6"/>
  <c r="IG12" i="6"/>
  <c r="IH12" i="6"/>
  <c r="II12" i="6"/>
  <c r="IJ12" i="6"/>
  <c r="IK12" i="6"/>
  <c r="IL12" i="6"/>
  <c r="IM12" i="6"/>
  <c r="IN12" i="6"/>
  <c r="IO12" i="6"/>
  <c r="IP12" i="6"/>
  <c r="IQ12" i="6"/>
  <c r="IR12" i="6"/>
  <c r="IS12" i="6"/>
  <c r="IT12" i="6"/>
  <c r="IU12" i="6"/>
  <c r="IV12" i="6"/>
  <c r="A11" i="6"/>
  <c r="B11" i="6"/>
  <c r="C11" i="6"/>
  <c r="D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CI11" i="6"/>
  <c r="CJ11" i="6"/>
  <c r="CK11" i="6"/>
  <c r="CL11" i="6"/>
  <c r="CM11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DL11" i="6"/>
  <c r="DM11" i="6"/>
  <c r="DN11" i="6"/>
  <c r="DO11" i="6"/>
  <c r="DP11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EP11" i="6"/>
  <c r="EQ11" i="6"/>
  <c r="ER11" i="6"/>
  <c r="ES11" i="6"/>
  <c r="ET11" i="6"/>
  <c r="EU11" i="6"/>
  <c r="EV11" i="6"/>
  <c r="EW11" i="6"/>
  <c r="EX11" i="6"/>
  <c r="EY11" i="6"/>
  <c r="EZ11" i="6"/>
  <c r="FA11" i="6"/>
  <c r="FB11" i="6"/>
  <c r="FC11" i="6"/>
  <c r="FD11" i="6"/>
  <c r="FE11" i="6"/>
  <c r="FF11" i="6"/>
  <c r="FG11" i="6"/>
  <c r="FH11" i="6"/>
  <c r="FI11" i="6"/>
  <c r="FJ11" i="6"/>
  <c r="FK11" i="6"/>
  <c r="FL11" i="6"/>
  <c r="FM11" i="6"/>
  <c r="FN11" i="6"/>
  <c r="FO11" i="6"/>
  <c r="FP11" i="6"/>
  <c r="FQ11" i="6"/>
  <c r="FR11" i="6"/>
  <c r="FS11" i="6"/>
  <c r="FT11" i="6"/>
  <c r="FU11" i="6"/>
  <c r="FV11" i="6"/>
  <c r="FW11" i="6"/>
  <c r="FX11" i="6"/>
  <c r="FY11" i="6"/>
  <c r="FZ11" i="6"/>
  <c r="GA11" i="6"/>
  <c r="GB11" i="6"/>
  <c r="GC11" i="6"/>
  <c r="GD11" i="6"/>
  <c r="GE11" i="6"/>
  <c r="GF11" i="6"/>
  <c r="GG11" i="6"/>
  <c r="GH11" i="6"/>
  <c r="GI11" i="6"/>
  <c r="GJ11" i="6"/>
  <c r="GK11" i="6"/>
  <c r="GL11" i="6"/>
  <c r="GM11" i="6"/>
  <c r="GN11" i="6"/>
  <c r="GO11" i="6"/>
  <c r="GP11" i="6"/>
  <c r="GQ11" i="6"/>
  <c r="GR11" i="6"/>
  <c r="GS11" i="6"/>
  <c r="GT11" i="6"/>
  <c r="GU11" i="6"/>
  <c r="GV11" i="6"/>
  <c r="GW11" i="6"/>
  <c r="GX11" i="6"/>
  <c r="GY11" i="6"/>
  <c r="GZ11" i="6"/>
  <c r="HA11" i="6"/>
  <c r="HB11" i="6"/>
  <c r="HC11" i="6"/>
  <c r="HD11" i="6"/>
  <c r="HE11" i="6"/>
  <c r="HF11" i="6"/>
  <c r="HG11" i="6"/>
  <c r="HH11" i="6"/>
  <c r="HI11" i="6"/>
  <c r="HJ11" i="6"/>
  <c r="HK11" i="6"/>
  <c r="HL11" i="6"/>
  <c r="HM11" i="6"/>
  <c r="HN11" i="6"/>
  <c r="HO11" i="6"/>
  <c r="HP11" i="6"/>
  <c r="HQ11" i="6"/>
  <c r="HR11" i="6"/>
  <c r="HS11" i="6"/>
  <c r="HT11" i="6"/>
  <c r="HU11" i="6"/>
  <c r="HV11" i="6"/>
  <c r="HW11" i="6"/>
  <c r="HX11" i="6"/>
  <c r="HY11" i="6"/>
  <c r="HZ11" i="6"/>
  <c r="IA11" i="6"/>
  <c r="IB11" i="6"/>
  <c r="IC11" i="6"/>
  <c r="ID11" i="6"/>
  <c r="IE11" i="6"/>
  <c r="IF11" i="6"/>
  <c r="IG11" i="6"/>
  <c r="IH11" i="6"/>
  <c r="II11" i="6"/>
  <c r="IJ11" i="6"/>
  <c r="IK11" i="6"/>
  <c r="IL11" i="6"/>
  <c r="IM11" i="6"/>
  <c r="IN11" i="6"/>
  <c r="IO11" i="6"/>
  <c r="IP11" i="6"/>
  <c r="IQ11" i="6"/>
  <c r="IR11" i="6"/>
  <c r="IS11" i="6"/>
  <c r="IT11" i="6"/>
  <c r="IU11" i="6"/>
  <c r="IV11" i="6"/>
  <c r="A10" i="6"/>
  <c r="B10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CI10" i="6"/>
  <c r="CJ10" i="6"/>
  <c r="CK10" i="6"/>
  <c r="CL10" i="6"/>
  <c r="CM10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DL10" i="6"/>
  <c r="DM10" i="6"/>
  <c r="DN10" i="6"/>
  <c r="DO10" i="6"/>
  <c r="DP10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EP10" i="6"/>
  <c r="EQ10" i="6"/>
  <c r="ER10" i="6"/>
  <c r="ES10" i="6"/>
  <c r="ET10" i="6"/>
  <c r="EU10" i="6"/>
  <c r="EV10" i="6"/>
  <c r="EW10" i="6"/>
  <c r="EX10" i="6"/>
  <c r="EY10" i="6"/>
  <c r="EZ10" i="6"/>
  <c r="FA10" i="6"/>
  <c r="FB10" i="6"/>
  <c r="FC10" i="6"/>
  <c r="FD10" i="6"/>
  <c r="FE10" i="6"/>
  <c r="FF10" i="6"/>
  <c r="FG10" i="6"/>
  <c r="FH10" i="6"/>
  <c r="FI10" i="6"/>
  <c r="FJ10" i="6"/>
  <c r="FK10" i="6"/>
  <c r="FL10" i="6"/>
  <c r="FM10" i="6"/>
  <c r="FN10" i="6"/>
  <c r="FO10" i="6"/>
  <c r="FP10" i="6"/>
  <c r="FQ10" i="6"/>
  <c r="FR10" i="6"/>
  <c r="FS10" i="6"/>
  <c r="FT10" i="6"/>
  <c r="FU10" i="6"/>
  <c r="FV10" i="6"/>
  <c r="FW10" i="6"/>
  <c r="FX10" i="6"/>
  <c r="FY10" i="6"/>
  <c r="FZ10" i="6"/>
  <c r="GA10" i="6"/>
  <c r="GB10" i="6"/>
  <c r="GC10" i="6"/>
  <c r="GD10" i="6"/>
  <c r="GE10" i="6"/>
  <c r="GF10" i="6"/>
  <c r="GG10" i="6"/>
  <c r="GH10" i="6"/>
  <c r="GI10" i="6"/>
  <c r="GJ10" i="6"/>
  <c r="GK10" i="6"/>
  <c r="GL10" i="6"/>
  <c r="GM10" i="6"/>
  <c r="GN10" i="6"/>
  <c r="GO10" i="6"/>
  <c r="GP10" i="6"/>
  <c r="GQ10" i="6"/>
  <c r="GR10" i="6"/>
  <c r="GS10" i="6"/>
  <c r="GT10" i="6"/>
  <c r="GU10" i="6"/>
  <c r="GV10" i="6"/>
  <c r="GW10" i="6"/>
  <c r="GX10" i="6"/>
  <c r="GY10" i="6"/>
  <c r="GZ10" i="6"/>
  <c r="HA10" i="6"/>
  <c r="HB10" i="6"/>
  <c r="HC10" i="6"/>
  <c r="HD10" i="6"/>
  <c r="HE10" i="6"/>
  <c r="HF10" i="6"/>
  <c r="HG10" i="6"/>
  <c r="HH10" i="6"/>
  <c r="HI10" i="6"/>
  <c r="HJ10" i="6"/>
  <c r="HK10" i="6"/>
  <c r="HL10" i="6"/>
  <c r="HM10" i="6"/>
  <c r="HN10" i="6"/>
  <c r="HO10" i="6"/>
  <c r="HP10" i="6"/>
  <c r="HQ10" i="6"/>
  <c r="HR10" i="6"/>
  <c r="HS10" i="6"/>
  <c r="HT10" i="6"/>
  <c r="HU10" i="6"/>
  <c r="HV10" i="6"/>
  <c r="HW10" i="6"/>
  <c r="HX10" i="6"/>
  <c r="HY10" i="6"/>
  <c r="HZ10" i="6"/>
  <c r="IA10" i="6"/>
  <c r="IB10" i="6"/>
  <c r="IC10" i="6"/>
  <c r="ID10" i="6"/>
  <c r="IE10" i="6"/>
  <c r="IF10" i="6"/>
  <c r="IG10" i="6"/>
  <c r="IH10" i="6"/>
  <c r="II10" i="6"/>
  <c r="IJ10" i="6"/>
  <c r="IK10" i="6"/>
  <c r="IL10" i="6"/>
  <c r="IM10" i="6"/>
  <c r="IN10" i="6"/>
  <c r="IO10" i="6"/>
  <c r="IP10" i="6"/>
  <c r="IQ10" i="6"/>
  <c r="IR10" i="6"/>
  <c r="IS10" i="6"/>
  <c r="IT10" i="6"/>
  <c r="IU10" i="6"/>
  <c r="IV10" i="6"/>
  <c r="A9" i="6"/>
  <c r="B9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CI9" i="6"/>
  <c r="CJ9" i="6"/>
  <c r="CK9" i="6"/>
  <c r="CL9" i="6"/>
  <c r="CM9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DL9" i="6"/>
  <c r="DM9" i="6"/>
  <c r="DN9" i="6"/>
  <c r="DO9" i="6"/>
  <c r="DP9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EP9" i="6"/>
  <c r="EQ9" i="6"/>
  <c r="ER9" i="6"/>
  <c r="ES9" i="6"/>
  <c r="ET9" i="6"/>
  <c r="EU9" i="6"/>
  <c r="EV9" i="6"/>
  <c r="EW9" i="6"/>
  <c r="EX9" i="6"/>
  <c r="EY9" i="6"/>
  <c r="EZ9" i="6"/>
  <c r="FA9" i="6"/>
  <c r="FB9" i="6"/>
  <c r="FC9" i="6"/>
  <c r="FD9" i="6"/>
  <c r="FE9" i="6"/>
  <c r="FF9" i="6"/>
  <c r="FG9" i="6"/>
  <c r="FH9" i="6"/>
  <c r="FI9" i="6"/>
  <c r="FJ9" i="6"/>
  <c r="FK9" i="6"/>
  <c r="FL9" i="6"/>
  <c r="FM9" i="6"/>
  <c r="FN9" i="6"/>
  <c r="FO9" i="6"/>
  <c r="FP9" i="6"/>
  <c r="FQ9" i="6"/>
  <c r="FR9" i="6"/>
  <c r="FS9" i="6"/>
  <c r="FT9" i="6"/>
  <c r="FU9" i="6"/>
  <c r="FV9" i="6"/>
  <c r="FW9" i="6"/>
  <c r="FX9" i="6"/>
  <c r="FY9" i="6"/>
  <c r="FZ9" i="6"/>
  <c r="GA9" i="6"/>
  <c r="GB9" i="6"/>
  <c r="GC9" i="6"/>
  <c r="GD9" i="6"/>
  <c r="GE9" i="6"/>
  <c r="GF9" i="6"/>
  <c r="GG9" i="6"/>
  <c r="GH9" i="6"/>
  <c r="GI9" i="6"/>
  <c r="GJ9" i="6"/>
  <c r="GK9" i="6"/>
  <c r="GL9" i="6"/>
  <c r="GM9" i="6"/>
  <c r="GN9" i="6"/>
  <c r="GO9" i="6"/>
  <c r="GP9" i="6"/>
  <c r="GQ9" i="6"/>
  <c r="GR9" i="6"/>
  <c r="GS9" i="6"/>
  <c r="GT9" i="6"/>
  <c r="GU9" i="6"/>
  <c r="GV9" i="6"/>
  <c r="GW9" i="6"/>
  <c r="GX9" i="6"/>
  <c r="GY9" i="6"/>
  <c r="GZ9" i="6"/>
  <c r="HA9" i="6"/>
  <c r="HB9" i="6"/>
  <c r="HC9" i="6"/>
  <c r="HD9" i="6"/>
  <c r="HE9" i="6"/>
  <c r="HF9" i="6"/>
  <c r="HG9" i="6"/>
  <c r="HH9" i="6"/>
  <c r="HI9" i="6"/>
  <c r="HJ9" i="6"/>
  <c r="HK9" i="6"/>
  <c r="HL9" i="6"/>
  <c r="HM9" i="6"/>
  <c r="HN9" i="6"/>
  <c r="HO9" i="6"/>
  <c r="HP9" i="6"/>
  <c r="HQ9" i="6"/>
  <c r="HR9" i="6"/>
  <c r="HS9" i="6"/>
  <c r="HT9" i="6"/>
  <c r="HU9" i="6"/>
  <c r="HV9" i="6"/>
  <c r="HW9" i="6"/>
  <c r="HX9" i="6"/>
  <c r="HY9" i="6"/>
  <c r="HZ9" i="6"/>
  <c r="IA9" i="6"/>
  <c r="IB9" i="6"/>
  <c r="IC9" i="6"/>
  <c r="ID9" i="6"/>
  <c r="IE9" i="6"/>
  <c r="IF9" i="6"/>
  <c r="IG9" i="6"/>
  <c r="IH9" i="6"/>
  <c r="II9" i="6"/>
  <c r="IJ9" i="6"/>
  <c r="IK9" i="6"/>
  <c r="IL9" i="6"/>
  <c r="IM9" i="6"/>
  <c r="IN9" i="6"/>
  <c r="IO9" i="6"/>
  <c r="IP9" i="6"/>
  <c r="IQ9" i="6"/>
  <c r="IR9" i="6"/>
  <c r="IS9" i="6"/>
  <c r="IT9" i="6"/>
  <c r="IU9" i="6"/>
  <c r="IV9" i="6"/>
  <c r="A8" i="6"/>
  <c r="B8" i="6"/>
  <c r="C8" i="6"/>
  <c r="D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CI8" i="6"/>
  <c r="CJ8" i="6"/>
  <c r="CK8" i="6"/>
  <c r="CL8" i="6"/>
  <c r="CM8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DL8" i="6"/>
  <c r="DM8" i="6"/>
  <c r="DN8" i="6"/>
  <c r="DO8" i="6"/>
  <c r="DP8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EP8" i="6"/>
  <c r="EQ8" i="6"/>
  <c r="ER8" i="6"/>
  <c r="ES8" i="6"/>
  <c r="ET8" i="6"/>
  <c r="EU8" i="6"/>
  <c r="EV8" i="6"/>
  <c r="EW8" i="6"/>
  <c r="EX8" i="6"/>
  <c r="EY8" i="6"/>
  <c r="EZ8" i="6"/>
  <c r="FA8" i="6"/>
  <c r="FB8" i="6"/>
  <c r="FC8" i="6"/>
  <c r="FD8" i="6"/>
  <c r="FE8" i="6"/>
  <c r="FF8" i="6"/>
  <c r="FG8" i="6"/>
  <c r="FH8" i="6"/>
  <c r="FI8" i="6"/>
  <c r="FJ8" i="6"/>
  <c r="FK8" i="6"/>
  <c r="FL8" i="6"/>
  <c r="FM8" i="6"/>
  <c r="FN8" i="6"/>
  <c r="FO8" i="6"/>
  <c r="FP8" i="6"/>
  <c r="FQ8" i="6"/>
  <c r="FR8" i="6"/>
  <c r="FS8" i="6"/>
  <c r="FT8" i="6"/>
  <c r="FU8" i="6"/>
  <c r="FV8" i="6"/>
  <c r="FW8" i="6"/>
  <c r="FX8" i="6"/>
  <c r="FY8" i="6"/>
  <c r="FZ8" i="6"/>
  <c r="GA8" i="6"/>
  <c r="GB8" i="6"/>
  <c r="GC8" i="6"/>
  <c r="GD8" i="6"/>
  <c r="GE8" i="6"/>
  <c r="GF8" i="6"/>
  <c r="GG8" i="6"/>
  <c r="GH8" i="6"/>
  <c r="GI8" i="6"/>
  <c r="GJ8" i="6"/>
  <c r="GK8" i="6"/>
  <c r="GL8" i="6"/>
  <c r="GM8" i="6"/>
  <c r="GN8" i="6"/>
  <c r="GO8" i="6"/>
  <c r="GP8" i="6"/>
  <c r="GQ8" i="6"/>
  <c r="GR8" i="6"/>
  <c r="GS8" i="6"/>
  <c r="GT8" i="6"/>
  <c r="GU8" i="6"/>
  <c r="GV8" i="6"/>
  <c r="GW8" i="6"/>
  <c r="GX8" i="6"/>
  <c r="GY8" i="6"/>
  <c r="GZ8" i="6"/>
  <c r="HA8" i="6"/>
  <c r="HB8" i="6"/>
  <c r="HC8" i="6"/>
  <c r="HD8" i="6"/>
  <c r="HE8" i="6"/>
  <c r="HF8" i="6"/>
  <c r="HG8" i="6"/>
  <c r="HH8" i="6"/>
  <c r="HI8" i="6"/>
  <c r="HJ8" i="6"/>
  <c r="HK8" i="6"/>
  <c r="HL8" i="6"/>
  <c r="HM8" i="6"/>
  <c r="HN8" i="6"/>
  <c r="HO8" i="6"/>
  <c r="HP8" i="6"/>
  <c r="HQ8" i="6"/>
  <c r="HR8" i="6"/>
  <c r="HS8" i="6"/>
  <c r="HT8" i="6"/>
  <c r="HU8" i="6"/>
  <c r="HV8" i="6"/>
  <c r="HW8" i="6"/>
  <c r="HX8" i="6"/>
  <c r="HY8" i="6"/>
  <c r="HZ8" i="6"/>
  <c r="IA8" i="6"/>
  <c r="IB8" i="6"/>
  <c r="IC8" i="6"/>
  <c r="ID8" i="6"/>
  <c r="IE8" i="6"/>
  <c r="IF8" i="6"/>
  <c r="IG8" i="6"/>
  <c r="IH8" i="6"/>
  <c r="II8" i="6"/>
  <c r="IJ8" i="6"/>
  <c r="IK8" i="6"/>
  <c r="IL8" i="6"/>
  <c r="IM8" i="6"/>
  <c r="IN8" i="6"/>
  <c r="IO8" i="6"/>
  <c r="IP8" i="6"/>
  <c r="IQ8" i="6"/>
  <c r="IR8" i="6"/>
  <c r="IS8" i="6"/>
  <c r="IT8" i="6"/>
  <c r="IU8" i="6"/>
  <c r="IV8" i="6"/>
  <c r="A7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CI7" i="6"/>
  <c r="CJ7" i="6"/>
  <c r="CK7" i="6"/>
  <c r="CL7" i="6"/>
  <c r="CM7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DL7" i="6"/>
  <c r="DM7" i="6"/>
  <c r="DN7" i="6"/>
  <c r="DO7" i="6"/>
  <c r="DP7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EP7" i="6"/>
  <c r="EQ7" i="6"/>
  <c r="ER7" i="6"/>
  <c r="ES7" i="6"/>
  <c r="ET7" i="6"/>
  <c r="EU7" i="6"/>
  <c r="EV7" i="6"/>
  <c r="EW7" i="6"/>
  <c r="EX7" i="6"/>
  <c r="EY7" i="6"/>
  <c r="EZ7" i="6"/>
  <c r="FA7" i="6"/>
  <c r="FB7" i="6"/>
  <c r="FC7" i="6"/>
  <c r="FD7" i="6"/>
  <c r="FE7" i="6"/>
  <c r="FF7" i="6"/>
  <c r="FG7" i="6"/>
  <c r="FH7" i="6"/>
  <c r="FI7" i="6"/>
  <c r="FJ7" i="6"/>
  <c r="FK7" i="6"/>
  <c r="FL7" i="6"/>
  <c r="FM7" i="6"/>
  <c r="FN7" i="6"/>
  <c r="FO7" i="6"/>
  <c r="FP7" i="6"/>
  <c r="FQ7" i="6"/>
  <c r="FR7" i="6"/>
  <c r="FS7" i="6"/>
  <c r="FT7" i="6"/>
  <c r="FU7" i="6"/>
  <c r="FV7" i="6"/>
  <c r="FW7" i="6"/>
  <c r="FX7" i="6"/>
  <c r="FY7" i="6"/>
  <c r="FZ7" i="6"/>
  <c r="GA7" i="6"/>
  <c r="GB7" i="6"/>
  <c r="GC7" i="6"/>
  <c r="GD7" i="6"/>
  <c r="GE7" i="6"/>
  <c r="GF7" i="6"/>
  <c r="GG7" i="6"/>
  <c r="GH7" i="6"/>
  <c r="GI7" i="6"/>
  <c r="GJ7" i="6"/>
  <c r="GK7" i="6"/>
  <c r="GL7" i="6"/>
  <c r="GM7" i="6"/>
  <c r="GN7" i="6"/>
  <c r="GO7" i="6"/>
  <c r="GP7" i="6"/>
  <c r="GQ7" i="6"/>
  <c r="GR7" i="6"/>
  <c r="GS7" i="6"/>
  <c r="GT7" i="6"/>
  <c r="GU7" i="6"/>
  <c r="GV7" i="6"/>
  <c r="GW7" i="6"/>
  <c r="GX7" i="6"/>
  <c r="GY7" i="6"/>
  <c r="GZ7" i="6"/>
  <c r="HA7" i="6"/>
  <c r="HB7" i="6"/>
  <c r="HC7" i="6"/>
  <c r="HD7" i="6"/>
  <c r="HE7" i="6"/>
  <c r="HF7" i="6"/>
  <c r="HG7" i="6"/>
  <c r="HH7" i="6"/>
  <c r="HI7" i="6"/>
  <c r="HJ7" i="6"/>
  <c r="HK7" i="6"/>
  <c r="HL7" i="6"/>
  <c r="HM7" i="6"/>
  <c r="HN7" i="6"/>
  <c r="HO7" i="6"/>
  <c r="HP7" i="6"/>
  <c r="HQ7" i="6"/>
  <c r="HR7" i="6"/>
  <c r="HS7" i="6"/>
  <c r="HT7" i="6"/>
  <c r="HU7" i="6"/>
  <c r="HV7" i="6"/>
  <c r="HW7" i="6"/>
  <c r="HX7" i="6"/>
  <c r="HY7" i="6"/>
  <c r="HZ7" i="6"/>
  <c r="IA7" i="6"/>
  <c r="IB7" i="6"/>
  <c r="IC7" i="6"/>
  <c r="ID7" i="6"/>
  <c r="IE7" i="6"/>
  <c r="IF7" i="6"/>
  <c r="IG7" i="6"/>
  <c r="IH7" i="6"/>
  <c r="II7" i="6"/>
  <c r="IJ7" i="6"/>
  <c r="IK7" i="6"/>
  <c r="IL7" i="6"/>
  <c r="IM7" i="6"/>
  <c r="IN7" i="6"/>
  <c r="IO7" i="6"/>
  <c r="IP7" i="6"/>
  <c r="IQ7" i="6"/>
  <c r="IR7" i="6"/>
  <c r="IS7" i="6"/>
  <c r="IT7" i="6"/>
  <c r="IU7" i="6"/>
  <c r="IV7" i="6"/>
  <c r="A6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AU6" i="6"/>
  <c r="AV6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J6" i="6"/>
  <c r="BK6" i="6"/>
  <c r="BL6" i="6"/>
  <c r="BM6" i="6"/>
  <c r="BN6" i="6"/>
  <c r="BO6" i="6"/>
  <c r="BP6" i="6"/>
  <c r="BQ6" i="6"/>
  <c r="BR6" i="6"/>
  <c r="BS6" i="6"/>
  <c r="BT6" i="6"/>
  <c r="BU6" i="6"/>
  <c r="BV6" i="6"/>
  <c r="BW6" i="6"/>
  <c r="BX6" i="6"/>
  <c r="BY6" i="6"/>
  <c r="BZ6" i="6"/>
  <c r="CA6" i="6"/>
  <c r="CB6" i="6"/>
  <c r="CC6" i="6"/>
  <c r="CD6" i="6"/>
  <c r="CE6" i="6"/>
  <c r="CF6" i="6"/>
  <c r="CG6" i="6"/>
  <c r="CH6" i="6"/>
  <c r="CI6" i="6"/>
  <c r="CJ6" i="6"/>
  <c r="CK6" i="6"/>
  <c r="CL6" i="6"/>
  <c r="CM6" i="6"/>
  <c r="CN6" i="6"/>
  <c r="CO6" i="6"/>
  <c r="CP6" i="6"/>
  <c r="CQ6" i="6"/>
  <c r="CR6" i="6"/>
  <c r="CS6" i="6"/>
  <c r="CT6" i="6"/>
  <c r="CU6" i="6"/>
  <c r="CV6" i="6"/>
  <c r="CW6" i="6"/>
  <c r="CX6" i="6"/>
  <c r="CY6" i="6"/>
  <c r="CZ6" i="6"/>
  <c r="DA6" i="6"/>
  <c r="DB6" i="6"/>
  <c r="DC6" i="6"/>
  <c r="DD6" i="6"/>
  <c r="DE6" i="6"/>
  <c r="DF6" i="6"/>
  <c r="DG6" i="6"/>
  <c r="DH6" i="6"/>
  <c r="DI6" i="6"/>
  <c r="DJ6" i="6"/>
  <c r="DK6" i="6"/>
  <c r="DL6" i="6"/>
  <c r="DM6" i="6"/>
  <c r="DN6" i="6"/>
  <c r="DO6" i="6"/>
  <c r="DP6" i="6"/>
  <c r="DQ6" i="6"/>
  <c r="DR6" i="6"/>
  <c r="DS6" i="6"/>
  <c r="DT6" i="6"/>
  <c r="DU6" i="6"/>
  <c r="DV6" i="6"/>
  <c r="DW6" i="6"/>
  <c r="DX6" i="6"/>
  <c r="DY6" i="6"/>
  <c r="DZ6" i="6"/>
  <c r="EA6" i="6"/>
  <c r="EB6" i="6"/>
  <c r="EC6" i="6"/>
  <c r="ED6" i="6"/>
  <c r="EE6" i="6"/>
  <c r="EF6" i="6"/>
  <c r="EG6" i="6"/>
  <c r="EH6" i="6"/>
  <c r="EI6" i="6"/>
  <c r="EJ6" i="6"/>
  <c r="EK6" i="6"/>
  <c r="EL6" i="6"/>
  <c r="EM6" i="6"/>
  <c r="EN6" i="6"/>
  <c r="EO6" i="6"/>
  <c r="EP6" i="6"/>
  <c r="EQ6" i="6"/>
  <c r="ER6" i="6"/>
  <c r="ES6" i="6"/>
  <c r="ET6" i="6"/>
  <c r="EU6" i="6"/>
  <c r="EV6" i="6"/>
  <c r="EW6" i="6"/>
  <c r="EX6" i="6"/>
  <c r="EY6" i="6"/>
  <c r="EZ6" i="6"/>
  <c r="FA6" i="6"/>
  <c r="FB6" i="6"/>
  <c r="FC6" i="6"/>
  <c r="FD6" i="6"/>
  <c r="FE6" i="6"/>
  <c r="FF6" i="6"/>
  <c r="FG6" i="6"/>
  <c r="FH6" i="6"/>
  <c r="FI6" i="6"/>
  <c r="FJ6" i="6"/>
  <c r="FK6" i="6"/>
  <c r="FL6" i="6"/>
  <c r="FM6" i="6"/>
  <c r="FN6" i="6"/>
  <c r="FO6" i="6"/>
  <c r="FP6" i="6"/>
  <c r="FQ6" i="6"/>
  <c r="FR6" i="6"/>
  <c r="FS6" i="6"/>
  <c r="FT6" i="6"/>
  <c r="FU6" i="6"/>
  <c r="FV6" i="6"/>
  <c r="FW6" i="6"/>
  <c r="FX6" i="6"/>
  <c r="FY6" i="6"/>
  <c r="FZ6" i="6"/>
  <c r="GA6" i="6"/>
  <c r="GB6" i="6"/>
  <c r="GC6" i="6"/>
  <c r="GD6" i="6"/>
  <c r="GE6" i="6"/>
  <c r="GF6" i="6"/>
  <c r="GG6" i="6"/>
  <c r="GH6" i="6"/>
  <c r="GI6" i="6"/>
  <c r="GJ6" i="6"/>
  <c r="GK6" i="6"/>
  <c r="GL6" i="6"/>
  <c r="GM6" i="6"/>
  <c r="GN6" i="6"/>
  <c r="GO6" i="6"/>
  <c r="GP6" i="6"/>
  <c r="GQ6" i="6"/>
  <c r="GR6" i="6"/>
  <c r="GS6" i="6"/>
  <c r="GT6" i="6"/>
  <c r="GU6" i="6"/>
  <c r="GV6" i="6"/>
  <c r="GW6" i="6"/>
  <c r="GX6" i="6"/>
  <c r="GY6" i="6"/>
  <c r="GZ6" i="6"/>
  <c r="HA6" i="6"/>
  <c r="HB6" i="6"/>
  <c r="HC6" i="6"/>
  <c r="HD6" i="6"/>
  <c r="HE6" i="6"/>
  <c r="HF6" i="6"/>
  <c r="HG6" i="6"/>
  <c r="HH6" i="6"/>
  <c r="HI6" i="6"/>
  <c r="HJ6" i="6"/>
  <c r="HK6" i="6"/>
  <c r="HL6" i="6"/>
  <c r="HM6" i="6"/>
  <c r="HN6" i="6"/>
  <c r="HO6" i="6"/>
  <c r="HP6" i="6"/>
  <c r="HQ6" i="6"/>
  <c r="HR6" i="6"/>
  <c r="HS6" i="6"/>
  <c r="HT6" i="6"/>
  <c r="HU6" i="6"/>
  <c r="HV6" i="6"/>
  <c r="HW6" i="6"/>
  <c r="HX6" i="6"/>
  <c r="HY6" i="6"/>
  <c r="HZ6" i="6"/>
  <c r="IA6" i="6"/>
  <c r="IB6" i="6"/>
  <c r="IC6" i="6"/>
  <c r="ID6" i="6"/>
  <c r="IE6" i="6"/>
  <c r="IF6" i="6"/>
  <c r="IG6" i="6"/>
  <c r="IH6" i="6"/>
  <c r="II6" i="6"/>
  <c r="IJ6" i="6"/>
  <c r="IK6" i="6"/>
  <c r="IL6" i="6"/>
  <c r="IM6" i="6"/>
  <c r="IN6" i="6"/>
  <c r="IO6" i="6"/>
  <c r="IP6" i="6"/>
  <c r="IQ6" i="6"/>
  <c r="IR6" i="6"/>
  <c r="IS6" i="6"/>
  <c r="IT6" i="6"/>
  <c r="IU6" i="6"/>
  <c r="IV6" i="6"/>
  <c r="A5" i="6"/>
  <c r="B5" i="6"/>
  <c r="C5" i="6"/>
  <c r="D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AW5" i="6"/>
  <c r="AX5" i="6"/>
  <c r="AY5" i="6"/>
  <c r="AZ5" i="6"/>
  <c r="BA5" i="6"/>
  <c r="BB5" i="6"/>
  <c r="BC5" i="6"/>
  <c r="BD5" i="6"/>
  <c r="BE5" i="6"/>
  <c r="BF5" i="6"/>
  <c r="BG5" i="6"/>
  <c r="BH5" i="6"/>
  <c r="BI5" i="6"/>
  <c r="BJ5" i="6"/>
  <c r="BK5" i="6"/>
  <c r="BL5" i="6"/>
  <c r="BM5" i="6"/>
  <c r="BN5" i="6"/>
  <c r="BO5" i="6"/>
  <c r="BP5" i="6"/>
  <c r="BQ5" i="6"/>
  <c r="BR5" i="6"/>
  <c r="BS5" i="6"/>
  <c r="BT5" i="6"/>
  <c r="BU5" i="6"/>
  <c r="BV5" i="6"/>
  <c r="BW5" i="6"/>
  <c r="BX5" i="6"/>
  <c r="BY5" i="6"/>
  <c r="BZ5" i="6"/>
  <c r="CA5" i="6"/>
  <c r="CB5" i="6"/>
  <c r="CC5" i="6"/>
  <c r="CD5" i="6"/>
  <c r="CE5" i="6"/>
  <c r="CF5" i="6"/>
  <c r="CG5" i="6"/>
  <c r="CH5" i="6"/>
  <c r="CI5" i="6"/>
  <c r="CJ5" i="6"/>
  <c r="CK5" i="6"/>
  <c r="CL5" i="6"/>
  <c r="CM5" i="6"/>
  <c r="CN5" i="6"/>
  <c r="CO5" i="6"/>
  <c r="CP5" i="6"/>
  <c r="CQ5" i="6"/>
  <c r="CR5" i="6"/>
  <c r="CS5" i="6"/>
  <c r="CT5" i="6"/>
  <c r="CU5" i="6"/>
  <c r="CV5" i="6"/>
  <c r="CW5" i="6"/>
  <c r="CX5" i="6"/>
  <c r="CY5" i="6"/>
  <c r="CZ5" i="6"/>
  <c r="DA5" i="6"/>
  <c r="DB5" i="6"/>
  <c r="DC5" i="6"/>
  <c r="DD5" i="6"/>
  <c r="DE5" i="6"/>
  <c r="DF5" i="6"/>
  <c r="DG5" i="6"/>
  <c r="DH5" i="6"/>
  <c r="DI5" i="6"/>
  <c r="DJ5" i="6"/>
  <c r="DK5" i="6"/>
  <c r="DL5" i="6"/>
  <c r="DM5" i="6"/>
  <c r="DN5" i="6"/>
  <c r="DO5" i="6"/>
  <c r="DP5" i="6"/>
  <c r="DQ5" i="6"/>
  <c r="DR5" i="6"/>
  <c r="DS5" i="6"/>
  <c r="DT5" i="6"/>
  <c r="DU5" i="6"/>
  <c r="DV5" i="6"/>
  <c r="DW5" i="6"/>
  <c r="DX5" i="6"/>
  <c r="DY5" i="6"/>
  <c r="DZ5" i="6"/>
  <c r="EA5" i="6"/>
  <c r="EB5" i="6"/>
  <c r="EC5" i="6"/>
  <c r="ED5" i="6"/>
  <c r="EE5" i="6"/>
  <c r="EF5" i="6"/>
  <c r="EG5" i="6"/>
  <c r="EH5" i="6"/>
  <c r="EI5" i="6"/>
  <c r="EJ5" i="6"/>
  <c r="EK5" i="6"/>
  <c r="EL5" i="6"/>
  <c r="EM5" i="6"/>
  <c r="EN5" i="6"/>
  <c r="EO5" i="6"/>
  <c r="EP5" i="6"/>
  <c r="EQ5" i="6"/>
  <c r="ER5" i="6"/>
  <c r="ES5" i="6"/>
  <c r="ET5" i="6"/>
  <c r="EU5" i="6"/>
  <c r="EV5" i="6"/>
  <c r="EW5" i="6"/>
  <c r="EX5" i="6"/>
  <c r="EY5" i="6"/>
  <c r="EZ5" i="6"/>
  <c r="FA5" i="6"/>
  <c r="FB5" i="6"/>
  <c r="FC5" i="6"/>
  <c r="FD5" i="6"/>
  <c r="FE5" i="6"/>
  <c r="FF5" i="6"/>
  <c r="FG5" i="6"/>
  <c r="FH5" i="6"/>
  <c r="FI5" i="6"/>
  <c r="FJ5" i="6"/>
  <c r="FK5" i="6"/>
  <c r="FL5" i="6"/>
  <c r="FM5" i="6"/>
  <c r="FN5" i="6"/>
  <c r="FO5" i="6"/>
  <c r="FP5" i="6"/>
  <c r="FQ5" i="6"/>
  <c r="FR5" i="6"/>
  <c r="FS5" i="6"/>
  <c r="FT5" i="6"/>
  <c r="FU5" i="6"/>
  <c r="FV5" i="6"/>
  <c r="FW5" i="6"/>
  <c r="FX5" i="6"/>
  <c r="FY5" i="6"/>
  <c r="FZ5" i="6"/>
  <c r="GA5" i="6"/>
  <c r="GB5" i="6"/>
  <c r="GC5" i="6"/>
  <c r="GD5" i="6"/>
  <c r="GE5" i="6"/>
  <c r="GF5" i="6"/>
  <c r="GG5" i="6"/>
  <c r="GH5" i="6"/>
  <c r="GI5" i="6"/>
  <c r="GJ5" i="6"/>
  <c r="GK5" i="6"/>
  <c r="GL5" i="6"/>
  <c r="GM5" i="6"/>
  <c r="GN5" i="6"/>
  <c r="GO5" i="6"/>
  <c r="GP5" i="6"/>
  <c r="GQ5" i="6"/>
  <c r="GR5" i="6"/>
  <c r="GS5" i="6"/>
  <c r="GT5" i="6"/>
  <c r="GU5" i="6"/>
  <c r="GV5" i="6"/>
  <c r="GW5" i="6"/>
  <c r="GX5" i="6"/>
  <c r="GY5" i="6"/>
  <c r="GZ5" i="6"/>
  <c r="HA5" i="6"/>
  <c r="HB5" i="6"/>
  <c r="HC5" i="6"/>
  <c r="HD5" i="6"/>
  <c r="HE5" i="6"/>
  <c r="HF5" i="6"/>
  <c r="HG5" i="6"/>
  <c r="HH5" i="6"/>
  <c r="HI5" i="6"/>
  <c r="HJ5" i="6"/>
  <c r="HK5" i="6"/>
  <c r="HL5" i="6"/>
  <c r="HM5" i="6"/>
  <c r="HN5" i="6"/>
  <c r="HO5" i="6"/>
  <c r="HP5" i="6"/>
  <c r="HQ5" i="6"/>
  <c r="HR5" i="6"/>
  <c r="HS5" i="6"/>
  <c r="HT5" i="6"/>
  <c r="HU5" i="6"/>
  <c r="HV5" i="6"/>
  <c r="HW5" i="6"/>
  <c r="HX5" i="6"/>
  <c r="HY5" i="6"/>
  <c r="HZ5" i="6"/>
  <c r="IA5" i="6"/>
  <c r="IB5" i="6"/>
  <c r="IC5" i="6"/>
  <c r="ID5" i="6"/>
  <c r="IE5" i="6"/>
  <c r="IF5" i="6"/>
  <c r="IG5" i="6"/>
  <c r="IH5" i="6"/>
  <c r="II5" i="6"/>
  <c r="IJ5" i="6"/>
  <c r="IK5" i="6"/>
  <c r="IL5" i="6"/>
  <c r="IM5" i="6"/>
  <c r="IN5" i="6"/>
  <c r="IO5" i="6"/>
  <c r="IP5" i="6"/>
  <c r="IQ5" i="6"/>
  <c r="IR5" i="6"/>
  <c r="IS5" i="6"/>
  <c r="IT5" i="6"/>
  <c r="IU5" i="6"/>
  <c r="IV5" i="6"/>
  <c r="A4" i="6"/>
  <c r="B4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L4" i="6"/>
  <c r="BM4" i="6"/>
  <c r="BN4" i="6"/>
  <c r="BO4" i="6"/>
  <c r="BP4" i="6"/>
  <c r="BQ4" i="6"/>
  <c r="BR4" i="6"/>
  <c r="BS4" i="6"/>
  <c r="BT4" i="6"/>
  <c r="BU4" i="6"/>
  <c r="BV4" i="6"/>
  <c r="BW4" i="6"/>
  <c r="BX4" i="6"/>
  <c r="BY4" i="6"/>
  <c r="BZ4" i="6"/>
  <c r="CA4" i="6"/>
  <c r="CB4" i="6"/>
  <c r="CC4" i="6"/>
  <c r="CD4" i="6"/>
  <c r="CE4" i="6"/>
  <c r="CF4" i="6"/>
  <c r="CG4" i="6"/>
  <c r="CH4" i="6"/>
  <c r="CI4" i="6"/>
  <c r="CJ4" i="6"/>
  <c r="CK4" i="6"/>
  <c r="CL4" i="6"/>
  <c r="CM4" i="6"/>
  <c r="CN4" i="6"/>
  <c r="CO4" i="6"/>
  <c r="CP4" i="6"/>
  <c r="CQ4" i="6"/>
  <c r="CR4" i="6"/>
  <c r="CS4" i="6"/>
  <c r="CT4" i="6"/>
  <c r="CU4" i="6"/>
  <c r="CV4" i="6"/>
  <c r="CW4" i="6"/>
  <c r="CX4" i="6"/>
  <c r="CY4" i="6"/>
  <c r="CZ4" i="6"/>
  <c r="DA4" i="6"/>
  <c r="DB4" i="6"/>
  <c r="DC4" i="6"/>
  <c r="DD4" i="6"/>
  <c r="DE4" i="6"/>
  <c r="DF4" i="6"/>
  <c r="DG4" i="6"/>
  <c r="DH4" i="6"/>
  <c r="DI4" i="6"/>
  <c r="DJ4" i="6"/>
  <c r="DK4" i="6"/>
  <c r="DL4" i="6"/>
  <c r="DM4" i="6"/>
  <c r="DN4" i="6"/>
  <c r="DO4" i="6"/>
  <c r="DP4" i="6"/>
  <c r="DQ4" i="6"/>
  <c r="DR4" i="6"/>
  <c r="DS4" i="6"/>
  <c r="DT4" i="6"/>
  <c r="DU4" i="6"/>
  <c r="DV4" i="6"/>
  <c r="DW4" i="6"/>
  <c r="DX4" i="6"/>
  <c r="DY4" i="6"/>
  <c r="DZ4" i="6"/>
  <c r="EA4" i="6"/>
  <c r="EB4" i="6"/>
  <c r="EC4" i="6"/>
  <c r="ED4" i="6"/>
  <c r="EE4" i="6"/>
  <c r="EF4" i="6"/>
  <c r="EG4" i="6"/>
  <c r="EH4" i="6"/>
  <c r="EI4" i="6"/>
  <c r="EJ4" i="6"/>
  <c r="EK4" i="6"/>
  <c r="EL4" i="6"/>
  <c r="EM4" i="6"/>
  <c r="EN4" i="6"/>
  <c r="EO4" i="6"/>
  <c r="EP4" i="6"/>
  <c r="EQ4" i="6"/>
  <c r="ER4" i="6"/>
  <c r="ES4" i="6"/>
  <c r="ET4" i="6"/>
  <c r="EU4" i="6"/>
  <c r="EV4" i="6"/>
  <c r="EW4" i="6"/>
  <c r="EX4" i="6"/>
  <c r="EY4" i="6"/>
  <c r="EZ4" i="6"/>
  <c r="FA4" i="6"/>
  <c r="FB4" i="6"/>
  <c r="FC4" i="6"/>
  <c r="FD4" i="6"/>
  <c r="FE4" i="6"/>
  <c r="FF4" i="6"/>
  <c r="FG4" i="6"/>
  <c r="FH4" i="6"/>
  <c r="FI4" i="6"/>
  <c r="FJ4" i="6"/>
  <c r="FK4" i="6"/>
  <c r="FL4" i="6"/>
  <c r="FM4" i="6"/>
  <c r="FN4" i="6"/>
  <c r="FO4" i="6"/>
  <c r="FP4" i="6"/>
  <c r="FQ4" i="6"/>
  <c r="FR4" i="6"/>
  <c r="FS4" i="6"/>
  <c r="FT4" i="6"/>
  <c r="FU4" i="6"/>
  <c r="FV4" i="6"/>
  <c r="FW4" i="6"/>
  <c r="FX4" i="6"/>
  <c r="FY4" i="6"/>
  <c r="FZ4" i="6"/>
  <c r="GA4" i="6"/>
  <c r="GB4" i="6"/>
  <c r="GC4" i="6"/>
  <c r="GD4" i="6"/>
  <c r="GE4" i="6"/>
  <c r="GF4" i="6"/>
  <c r="GG4" i="6"/>
  <c r="GH4" i="6"/>
  <c r="GI4" i="6"/>
  <c r="GJ4" i="6"/>
  <c r="GK4" i="6"/>
  <c r="GL4" i="6"/>
  <c r="GM4" i="6"/>
  <c r="GN4" i="6"/>
  <c r="GO4" i="6"/>
  <c r="GP4" i="6"/>
  <c r="GQ4" i="6"/>
  <c r="GR4" i="6"/>
  <c r="GS4" i="6"/>
  <c r="GT4" i="6"/>
  <c r="GU4" i="6"/>
  <c r="GV4" i="6"/>
  <c r="GW4" i="6"/>
  <c r="GX4" i="6"/>
  <c r="GY4" i="6"/>
  <c r="GZ4" i="6"/>
  <c r="HA4" i="6"/>
  <c r="HB4" i="6"/>
  <c r="HC4" i="6"/>
  <c r="HD4" i="6"/>
  <c r="HE4" i="6"/>
  <c r="HF4" i="6"/>
  <c r="HG4" i="6"/>
  <c r="HH4" i="6"/>
  <c r="HI4" i="6"/>
  <c r="HJ4" i="6"/>
  <c r="HK4" i="6"/>
  <c r="HL4" i="6"/>
  <c r="HM4" i="6"/>
  <c r="HN4" i="6"/>
  <c r="HO4" i="6"/>
  <c r="HP4" i="6"/>
  <c r="HQ4" i="6"/>
  <c r="HR4" i="6"/>
  <c r="HS4" i="6"/>
  <c r="HT4" i="6"/>
  <c r="HU4" i="6"/>
  <c r="HV4" i="6"/>
  <c r="HW4" i="6"/>
  <c r="HX4" i="6"/>
  <c r="HY4" i="6"/>
  <c r="HZ4" i="6"/>
  <c r="IA4" i="6"/>
  <c r="IB4" i="6"/>
  <c r="IC4" i="6"/>
  <c r="ID4" i="6"/>
  <c r="IE4" i="6"/>
  <c r="IF4" i="6"/>
  <c r="IG4" i="6"/>
  <c r="IH4" i="6"/>
  <c r="II4" i="6"/>
  <c r="IJ4" i="6"/>
  <c r="IK4" i="6"/>
  <c r="IL4" i="6"/>
  <c r="IM4" i="6"/>
  <c r="IN4" i="6"/>
  <c r="IO4" i="6"/>
  <c r="IP4" i="6"/>
  <c r="IQ4" i="6"/>
  <c r="IR4" i="6"/>
  <c r="IS4" i="6"/>
  <c r="IT4" i="6"/>
  <c r="IU4" i="6"/>
  <c r="IV4" i="6"/>
  <c r="A3" i="6"/>
  <c r="B3" i="6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J3" i="6"/>
  <c r="BK3" i="6"/>
  <c r="BL3" i="6"/>
  <c r="BM3" i="6"/>
  <c r="BN3" i="6"/>
  <c r="BO3" i="6"/>
  <c r="BP3" i="6"/>
  <c r="BQ3" i="6"/>
  <c r="BR3" i="6"/>
  <c r="BS3" i="6"/>
  <c r="BT3" i="6"/>
  <c r="BU3" i="6"/>
  <c r="BV3" i="6"/>
  <c r="BW3" i="6"/>
  <c r="BX3" i="6"/>
  <c r="BY3" i="6"/>
  <c r="BZ3" i="6"/>
  <c r="CA3" i="6"/>
  <c r="CB3" i="6"/>
  <c r="CC3" i="6"/>
  <c r="CD3" i="6"/>
  <c r="CE3" i="6"/>
  <c r="CF3" i="6"/>
  <c r="CG3" i="6"/>
  <c r="CH3" i="6"/>
  <c r="CI3" i="6"/>
  <c r="CJ3" i="6"/>
  <c r="CK3" i="6"/>
  <c r="CL3" i="6"/>
  <c r="CM3" i="6"/>
  <c r="CN3" i="6"/>
  <c r="CO3" i="6"/>
  <c r="CP3" i="6"/>
  <c r="CQ3" i="6"/>
  <c r="CR3" i="6"/>
  <c r="CS3" i="6"/>
  <c r="CT3" i="6"/>
  <c r="CU3" i="6"/>
  <c r="CV3" i="6"/>
  <c r="CW3" i="6"/>
  <c r="CX3" i="6"/>
  <c r="CY3" i="6"/>
  <c r="CZ3" i="6"/>
  <c r="DA3" i="6"/>
  <c r="DB3" i="6"/>
  <c r="DC3" i="6"/>
  <c r="DD3" i="6"/>
  <c r="DE3" i="6"/>
  <c r="DF3" i="6"/>
  <c r="DG3" i="6"/>
  <c r="DH3" i="6"/>
  <c r="DI3" i="6"/>
  <c r="DJ3" i="6"/>
  <c r="DK3" i="6"/>
  <c r="DL3" i="6"/>
  <c r="DM3" i="6"/>
  <c r="DN3" i="6"/>
  <c r="DO3" i="6"/>
  <c r="DP3" i="6"/>
  <c r="DQ3" i="6"/>
  <c r="DR3" i="6"/>
  <c r="DS3" i="6"/>
  <c r="DT3" i="6"/>
  <c r="DU3" i="6"/>
  <c r="DV3" i="6"/>
  <c r="DW3" i="6"/>
  <c r="DX3" i="6"/>
  <c r="DY3" i="6"/>
  <c r="DZ3" i="6"/>
  <c r="EA3" i="6"/>
  <c r="EB3" i="6"/>
  <c r="EC3" i="6"/>
  <c r="ED3" i="6"/>
  <c r="EE3" i="6"/>
  <c r="EF3" i="6"/>
  <c r="EG3" i="6"/>
  <c r="EH3" i="6"/>
  <c r="EI3" i="6"/>
  <c r="EJ3" i="6"/>
  <c r="EK3" i="6"/>
  <c r="EL3" i="6"/>
  <c r="EM3" i="6"/>
  <c r="EN3" i="6"/>
  <c r="EO3" i="6"/>
  <c r="EP3" i="6"/>
  <c r="EQ3" i="6"/>
  <c r="ER3" i="6"/>
  <c r="ES3" i="6"/>
  <c r="ET3" i="6"/>
  <c r="EU3" i="6"/>
  <c r="EV3" i="6"/>
  <c r="EW3" i="6"/>
  <c r="EX3" i="6"/>
  <c r="EY3" i="6"/>
  <c r="EZ3" i="6"/>
  <c r="FA3" i="6"/>
  <c r="FB3" i="6"/>
  <c r="FC3" i="6"/>
  <c r="FD3" i="6"/>
  <c r="FE3" i="6"/>
  <c r="FF3" i="6"/>
  <c r="FG3" i="6"/>
  <c r="FH3" i="6"/>
  <c r="FI3" i="6"/>
  <c r="FJ3" i="6"/>
  <c r="FK3" i="6"/>
  <c r="FL3" i="6"/>
  <c r="FM3" i="6"/>
  <c r="FN3" i="6"/>
  <c r="FO3" i="6"/>
  <c r="FP3" i="6"/>
  <c r="FQ3" i="6"/>
  <c r="FR3" i="6"/>
  <c r="FS3" i="6"/>
  <c r="FT3" i="6"/>
  <c r="FU3" i="6"/>
  <c r="FV3" i="6"/>
  <c r="FW3" i="6"/>
  <c r="FX3" i="6"/>
  <c r="FY3" i="6"/>
  <c r="FZ3" i="6"/>
  <c r="GA3" i="6"/>
  <c r="GB3" i="6"/>
  <c r="GC3" i="6"/>
  <c r="GD3" i="6"/>
  <c r="GE3" i="6"/>
  <c r="GF3" i="6"/>
  <c r="GG3" i="6"/>
  <c r="GH3" i="6"/>
  <c r="GI3" i="6"/>
  <c r="GJ3" i="6"/>
  <c r="GK3" i="6"/>
  <c r="GL3" i="6"/>
  <c r="GM3" i="6"/>
  <c r="GN3" i="6"/>
  <c r="GO3" i="6"/>
  <c r="GP3" i="6"/>
  <c r="GQ3" i="6"/>
  <c r="GR3" i="6"/>
  <c r="GS3" i="6"/>
  <c r="GT3" i="6"/>
  <c r="GU3" i="6"/>
  <c r="GV3" i="6"/>
  <c r="GW3" i="6"/>
  <c r="GX3" i="6"/>
  <c r="GY3" i="6"/>
  <c r="GZ3" i="6"/>
  <c r="HA3" i="6"/>
  <c r="HB3" i="6"/>
  <c r="HC3" i="6"/>
  <c r="HD3" i="6"/>
  <c r="HE3" i="6"/>
  <c r="HF3" i="6"/>
  <c r="HG3" i="6"/>
  <c r="HH3" i="6"/>
  <c r="HI3" i="6"/>
  <c r="HJ3" i="6"/>
  <c r="HK3" i="6"/>
  <c r="HL3" i="6"/>
  <c r="HM3" i="6"/>
  <c r="HN3" i="6"/>
  <c r="HO3" i="6"/>
  <c r="HP3" i="6"/>
  <c r="HQ3" i="6"/>
  <c r="HR3" i="6"/>
  <c r="HS3" i="6"/>
  <c r="HT3" i="6"/>
  <c r="HU3" i="6"/>
  <c r="HV3" i="6"/>
  <c r="HW3" i="6"/>
  <c r="HX3" i="6"/>
  <c r="HY3" i="6"/>
  <c r="HZ3" i="6"/>
  <c r="IA3" i="6"/>
  <c r="IB3" i="6"/>
  <c r="IC3" i="6"/>
  <c r="ID3" i="6"/>
  <c r="IE3" i="6"/>
  <c r="IF3" i="6"/>
  <c r="IG3" i="6"/>
  <c r="IH3" i="6"/>
  <c r="II3" i="6"/>
  <c r="IJ3" i="6"/>
  <c r="IK3" i="6"/>
  <c r="IL3" i="6"/>
  <c r="IM3" i="6"/>
  <c r="IN3" i="6"/>
  <c r="IO3" i="6"/>
  <c r="IP3" i="6"/>
  <c r="IQ3" i="6"/>
  <c r="IR3" i="6"/>
  <c r="IS3" i="6"/>
  <c r="IT3" i="6"/>
  <c r="IU3" i="6"/>
  <c r="IV3" i="6"/>
  <c r="A2" i="6"/>
  <c r="B2" i="6"/>
  <c r="C2" i="6"/>
  <c r="D2" i="6"/>
  <c r="E2" i="6"/>
  <c r="F2" i="6"/>
  <c r="G2" i="6"/>
  <c r="H2" i="6"/>
  <c r="I2" i="6"/>
  <c r="J2" i="6"/>
  <c r="K2" i="6"/>
  <c r="L2" i="6"/>
  <c r="M2" i="6"/>
  <c r="N2" i="6"/>
  <c r="O2" i="6"/>
  <c r="P2" i="6"/>
  <c r="Q2" i="6"/>
  <c r="R2" i="6"/>
  <c r="S2" i="6"/>
  <c r="T2" i="6"/>
  <c r="U2" i="6"/>
  <c r="V2" i="6"/>
  <c r="W2" i="6"/>
  <c r="X2" i="6"/>
  <c r="Y2" i="6"/>
  <c r="Z2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AT2" i="6"/>
  <c r="AU2" i="6"/>
  <c r="AV2" i="6"/>
  <c r="AW2" i="6"/>
  <c r="AX2" i="6"/>
  <c r="AY2" i="6"/>
  <c r="AZ2" i="6"/>
  <c r="BA2" i="6"/>
  <c r="BB2" i="6"/>
  <c r="BC2" i="6"/>
  <c r="BD2" i="6"/>
  <c r="BE2" i="6"/>
  <c r="BF2" i="6"/>
  <c r="BG2" i="6"/>
  <c r="BH2" i="6"/>
  <c r="BI2" i="6"/>
  <c r="BJ2" i="6"/>
  <c r="BK2" i="6"/>
  <c r="BL2" i="6"/>
  <c r="BM2" i="6"/>
  <c r="BN2" i="6"/>
  <c r="BO2" i="6"/>
  <c r="BP2" i="6"/>
  <c r="BQ2" i="6"/>
  <c r="BR2" i="6"/>
  <c r="BS2" i="6"/>
  <c r="BT2" i="6"/>
  <c r="BU2" i="6"/>
  <c r="BV2" i="6"/>
  <c r="BW2" i="6"/>
  <c r="BX2" i="6"/>
  <c r="BY2" i="6"/>
  <c r="BZ2" i="6"/>
  <c r="CA2" i="6"/>
  <c r="CB2" i="6"/>
  <c r="CC2" i="6"/>
  <c r="CD2" i="6"/>
  <c r="CE2" i="6"/>
  <c r="CF2" i="6"/>
  <c r="CG2" i="6"/>
  <c r="CH2" i="6"/>
  <c r="CI2" i="6"/>
  <c r="CJ2" i="6"/>
  <c r="CK2" i="6"/>
  <c r="CL2" i="6"/>
  <c r="CM2" i="6"/>
  <c r="CN2" i="6"/>
  <c r="CO2" i="6"/>
  <c r="CP2" i="6"/>
  <c r="CQ2" i="6"/>
  <c r="CR2" i="6"/>
  <c r="CS2" i="6"/>
  <c r="CT2" i="6"/>
  <c r="CU2" i="6"/>
  <c r="CV2" i="6"/>
  <c r="CW2" i="6"/>
  <c r="CX2" i="6"/>
  <c r="CY2" i="6"/>
  <c r="CZ2" i="6"/>
  <c r="DA2" i="6"/>
  <c r="DB2" i="6"/>
  <c r="DC2" i="6"/>
  <c r="DD2" i="6"/>
  <c r="DE2" i="6"/>
  <c r="DF2" i="6"/>
  <c r="DG2" i="6"/>
  <c r="DH2" i="6"/>
  <c r="DI2" i="6"/>
  <c r="DJ2" i="6"/>
  <c r="DK2" i="6"/>
  <c r="DL2" i="6"/>
  <c r="DM2" i="6"/>
  <c r="DN2" i="6"/>
  <c r="DO2" i="6"/>
  <c r="DP2" i="6"/>
  <c r="DQ2" i="6"/>
  <c r="DR2" i="6"/>
  <c r="DS2" i="6"/>
  <c r="DT2" i="6"/>
  <c r="DU2" i="6"/>
  <c r="DV2" i="6"/>
  <c r="DW2" i="6"/>
  <c r="DX2" i="6"/>
  <c r="DY2" i="6"/>
  <c r="DZ2" i="6"/>
  <c r="EA2" i="6"/>
  <c r="EB2" i="6"/>
  <c r="EC2" i="6"/>
  <c r="ED2" i="6"/>
  <c r="EE2" i="6"/>
  <c r="EF2" i="6"/>
  <c r="EG2" i="6"/>
  <c r="EH2" i="6"/>
  <c r="EI2" i="6"/>
  <c r="EJ2" i="6"/>
  <c r="EK2" i="6"/>
  <c r="EL2" i="6"/>
  <c r="EM2" i="6"/>
  <c r="EN2" i="6"/>
  <c r="EO2" i="6"/>
  <c r="EP2" i="6"/>
  <c r="EQ2" i="6"/>
  <c r="ER2" i="6"/>
  <c r="ES2" i="6"/>
  <c r="ET2" i="6"/>
  <c r="EU2" i="6"/>
  <c r="EV2" i="6"/>
  <c r="EW2" i="6"/>
  <c r="EX2" i="6"/>
  <c r="EY2" i="6"/>
  <c r="EZ2" i="6"/>
  <c r="FA2" i="6"/>
  <c r="FB2" i="6"/>
  <c r="FC2" i="6"/>
  <c r="FD2" i="6"/>
  <c r="FE2" i="6"/>
  <c r="FF2" i="6"/>
  <c r="FG2" i="6"/>
  <c r="FH2" i="6"/>
  <c r="FI2" i="6"/>
  <c r="FJ2" i="6"/>
  <c r="FK2" i="6"/>
  <c r="FL2" i="6"/>
  <c r="FM2" i="6"/>
  <c r="FN2" i="6"/>
  <c r="FO2" i="6"/>
  <c r="FP2" i="6"/>
  <c r="FQ2" i="6"/>
  <c r="FR2" i="6"/>
  <c r="FS2" i="6"/>
  <c r="FT2" i="6"/>
  <c r="FU2" i="6"/>
  <c r="FV2" i="6"/>
  <c r="FW2" i="6"/>
  <c r="FX2" i="6"/>
  <c r="FY2" i="6"/>
  <c r="FZ2" i="6"/>
  <c r="GA2" i="6"/>
  <c r="GB2" i="6"/>
  <c r="GC2" i="6"/>
  <c r="GD2" i="6"/>
  <c r="GE2" i="6"/>
  <c r="GF2" i="6"/>
  <c r="GG2" i="6"/>
  <c r="GH2" i="6"/>
  <c r="GI2" i="6"/>
  <c r="GJ2" i="6"/>
  <c r="GK2" i="6"/>
  <c r="GL2" i="6"/>
  <c r="GM2" i="6"/>
  <c r="GN2" i="6"/>
  <c r="GO2" i="6"/>
  <c r="GP2" i="6"/>
  <c r="GQ2" i="6"/>
  <c r="GR2" i="6"/>
  <c r="GS2" i="6"/>
  <c r="GT2" i="6"/>
  <c r="GU2" i="6"/>
  <c r="GV2" i="6"/>
  <c r="GW2" i="6"/>
  <c r="GX2" i="6"/>
  <c r="GY2" i="6"/>
  <c r="GZ2" i="6"/>
  <c r="HA2" i="6"/>
  <c r="HB2" i="6"/>
  <c r="HC2" i="6"/>
  <c r="HD2" i="6"/>
  <c r="HE2" i="6"/>
  <c r="HF2" i="6"/>
  <c r="HG2" i="6"/>
  <c r="HH2" i="6"/>
  <c r="HI2" i="6"/>
  <c r="HJ2" i="6"/>
  <c r="HK2" i="6"/>
  <c r="HL2" i="6"/>
  <c r="HM2" i="6"/>
  <c r="HN2" i="6"/>
  <c r="HO2" i="6"/>
  <c r="HP2" i="6"/>
  <c r="HQ2" i="6"/>
  <c r="HR2" i="6"/>
  <c r="HS2" i="6"/>
  <c r="HT2" i="6"/>
  <c r="HU2" i="6"/>
  <c r="HV2" i="6"/>
  <c r="HW2" i="6"/>
  <c r="HX2" i="6"/>
  <c r="HY2" i="6"/>
  <c r="HZ2" i="6"/>
  <c r="IA2" i="6"/>
  <c r="IB2" i="6"/>
  <c r="IC2" i="6"/>
  <c r="ID2" i="6"/>
  <c r="IE2" i="6"/>
  <c r="IF2" i="6"/>
  <c r="IG2" i="6"/>
  <c r="IH2" i="6"/>
  <c r="II2" i="6"/>
  <c r="IJ2" i="6"/>
  <c r="IK2" i="6"/>
  <c r="IL2" i="6"/>
  <c r="IM2" i="6"/>
  <c r="IN2" i="6"/>
  <c r="IO2" i="6"/>
  <c r="IP2" i="6"/>
  <c r="IQ2" i="6"/>
  <c r="IR2" i="6"/>
  <c r="IS2" i="6"/>
  <c r="IT2" i="6"/>
  <c r="IU2" i="6"/>
  <c r="IV2" i="6"/>
  <c r="A1" i="6"/>
  <c r="B1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EA16" i="6"/>
  <c r="E2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DQ16" i="6" s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5" i="6" s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8" i="6" s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11" i="6"/>
  <c r="E14" i="6"/>
</calcChain>
</file>

<file path=xl/sharedStrings.xml><?xml version="1.0" encoding="utf-8"?>
<sst xmlns="http://schemas.openxmlformats.org/spreadsheetml/2006/main" count="159" uniqueCount="42">
  <si>
    <t>HomeTeam</t>
  </si>
  <si>
    <t>AwayTeam</t>
  </si>
  <si>
    <t>FTHG</t>
  </si>
  <si>
    <t>FTAG</t>
  </si>
  <si>
    <t>QPR</t>
  </si>
  <si>
    <t>Birmingham</t>
  </si>
  <si>
    <t>Wimbledon</t>
  </si>
  <si>
    <t>Tranmere</t>
  </si>
  <si>
    <t>Crewe</t>
  </si>
  <si>
    <t>Blackburn</t>
  </si>
  <si>
    <t>Norwich</t>
  </si>
  <si>
    <t>Nott'm Forest</t>
  </si>
  <si>
    <t>West Brom</t>
  </si>
  <si>
    <t>Bolton</t>
  </si>
  <si>
    <t>Grimsby</t>
  </si>
  <si>
    <t>Sheffield Weds</t>
  </si>
  <si>
    <t>Watford</t>
  </si>
  <si>
    <t>Fulham</t>
  </si>
  <si>
    <t>Stockport</t>
  </si>
  <si>
    <t>Huddersfield</t>
  </si>
  <si>
    <t>Crystal Palace</t>
  </si>
  <si>
    <t>Burnley</t>
  </si>
  <si>
    <t>Preston</t>
  </si>
  <si>
    <t>Wolves</t>
  </si>
  <si>
    <t>Sheffield United</t>
  </si>
  <si>
    <t>Portsmouth</t>
  </si>
  <si>
    <t>Gillingham</t>
  </si>
  <si>
    <t>Barnsley</t>
  </si>
  <si>
    <t>Concat</t>
  </si>
  <si>
    <t>Étiquettes de lignes</t>
  </si>
  <si>
    <t>0,0</t>
  </si>
  <si>
    <t>Total général</t>
  </si>
  <si>
    <t>AAAAAH96/YM=</t>
  </si>
  <si>
    <t>Commentaire</t>
  </si>
  <si>
    <t>mn 0</t>
  </si>
  <si>
    <t>mn 1</t>
  </si>
  <si>
    <t>mn 2</t>
  </si>
  <si>
    <t>mn 3</t>
  </si>
  <si>
    <t>gp</t>
  </si>
  <si>
    <t>Score</t>
  </si>
  <si>
    <t>Nombre de Score</t>
  </si>
  <si>
    <t>Nombre de Score2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</si>
</sst>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96.944637962966" createdVersion="4" refreshedVersion="4" minRefreshableVersion="3" recordCount="219">
  <cacheSource type="worksheet">
    <worksheetSource ref="A1:F220" sheet="Feuil1"/>
  </cacheSource>
  <cacheFields count="6">
    <cacheField name="HomeTeam" numFmtId="0">
      <sharedItems containsNonDate="0" containsString="0" containsBlank="1"/>
    </cacheField>
    <cacheField name="AwayTeam" numFmtId="0">
      <sharedItems containsNonDate="0" containsString="0" containsBlank="1"/>
    </cacheField>
    <cacheField name="FTHG" numFmtId="0">
      <sharedItems containsSemiMixedTypes="0" containsString="0" containsNumber="1" containsInteger="1" minValue="0" maxValue="8"/>
    </cacheField>
    <cacheField name="FTAG" numFmtId="0">
      <sharedItems containsSemiMixedTypes="0" containsString="0" containsNumber="1" containsInteger="1" minValue="0" maxValue="5"/>
    </cacheField>
    <cacheField name="Score" numFmtId="0">
      <sharedItems count="30">
        <s v="0,0"/>
        <s v="5,0"/>
        <s v="2,1"/>
        <s v="0,5"/>
        <s v="1,1"/>
        <s v="3,0"/>
        <s v="1,0"/>
        <s v="3,2"/>
        <s v="0,2"/>
        <s v="4,2"/>
        <s v="1,3"/>
        <s v="2,0"/>
        <s v="2,2"/>
        <s v="3,1"/>
        <s v="2,3"/>
        <s v="6,1"/>
        <s v="4,0"/>
        <s v="4,1"/>
        <s v="0,3"/>
        <s v="1,2"/>
        <s v="2,5"/>
        <s v="2,4"/>
        <s v="3,3"/>
        <s v="0,1"/>
        <s v="5,2"/>
        <s v="3,4"/>
        <s v="8,0"/>
        <s v="0,4"/>
        <s v="4,3"/>
        <s v="7,3"/>
      </sharedItems>
    </cacheField>
    <cacheField name="Commentaire" numFmtId="0">
      <sharedItems count="6">
        <s v="mn 0"/>
        <s v="gp"/>
        <s v="mn 1"/>
        <s v="mn 2"/>
        <s v="mn 3"/>
        <s v="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9">
  <r>
    <m/>
    <m/>
    <n v="0"/>
    <n v="0"/>
    <x v="0"/>
    <x v="0"/>
  </r>
  <r>
    <m/>
    <m/>
    <n v="5"/>
    <n v="0"/>
    <x v="1"/>
    <x v="1"/>
  </r>
  <r>
    <m/>
    <m/>
    <n v="2"/>
    <n v="1"/>
    <x v="2"/>
    <x v="1"/>
  </r>
  <r>
    <m/>
    <m/>
    <n v="0"/>
    <n v="5"/>
    <x v="3"/>
    <x v="1"/>
  </r>
  <r>
    <m/>
    <m/>
    <n v="1"/>
    <n v="1"/>
    <x v="4"/>
    <x v="2"/>
  </r>
  <r>
    <m/>
    <m/>
    <n v="3"/>
    <n v="0"/>
    <x v="5"/>
    <x v="1"/>
  </r>
  <r>
    <m/>
    <m/>
    <n v="1"/>
    <n v="0"/>
    <x v="6"/>
    <x v="1"/>
  </r>
  <r>
    <m/>
    <m/>
    <n v="3"/>
    <n v="2"/>
    <x v="7"/>
    <x v="1"/>
  </r>
  <r>
    <m/>
    <m/>
    <n v="0"/>
    <n v="2"/>
    <x v="8"/>
    <x v="1"/>
  </r>
  <r>
    <m/>
    <m/>
    <n v="1"/>
    <n v="0"/>
    <x v="6"/>
    <x v="1"/>
  </r>
  <r>
    <m/>
    <m/>
    <n v="4"/>
    <n v="2"/>
    <x v="9"/>
    <x v="1"/>
  </r>
  <r>
    <m/>
    <m/>
    <n v="1"/>
    <n v="3"/>
    <x v="10"/>
    <x v="1"/>
  </r>
  <r>
    <m/>
    <m/>
    <n v="2"/>
    <n v="0"/>
    <x v="11"/>
    <x v="1"/>
  </r>
  <r>
    <m/>
    <m/>
    <n v="3"/>
    <n v="2"/>
    <x v="7"/>
    <x v="1"/>
  </r>
  <r>
    <m/>
    <m/>
    <n v="1"/>
    <n v="1"/>
    <x v="4"/>
    <x v="2"/>
  </r>
  <r>
    <m/>
    <m/>
    <n v="0"/>
    <n v="2"/>
    <x v="8"/>
    <x v="1"/>
  </r>
  <r>
    <m/>
    <m/>
    <n v="3"/>
    <n v="0"/>
    <x v="5"/>
    <x v="1"/>
  </r>
  <r>
    <m/>
    <m/>
    <n v="1"/>
    <n v="1"/>
    <x v="4"/>
    <x v="2"/>
  </r>
  <r>
    <m/>
    <m/>
    <n v="2"/>
    <n v="2"/>
    <x v="12"/>
    <x v="3"/>
  </r>
  <r>
    <m/>
    <m/>
    <n v="0"/>
    <n v="0"/>
    <x v="0"/>
    <x v="0"/>
  </r>
  <r>
    <m/>
    <m/>
    <n v="3"/>
    <n v="1"/>
    <x v="13"/>
    <x v="1"/>
  </r>
  <r>
    <m/>
    <m/>
    <n v="2"/>
    <n v="2"/>
    <x v="12"/>
    <x v="3"/>
  </r>
  <r>
    <m/>
    <m/>
    <n v="1"/>
    <n v="1"/>
    <x v="4"/>
    <x v="2"/>
  </r>
  <r>
    <m/>
    <m/>
    <n v="2"/>
    <n v="0"/>
    <x v="11"/>
    <x v="1"/>
  </r>
  <r>
    <m/>
    <m/>
    <n v="3"/>
    <n v="0"/>
    <x v="5"/>
    <x v="1"/>
  </r>
  <r>
    <m/>
    <m/>
    <n v="2"/>
    <n v="2"/>
    <x v="12"/>
    <x v="3"/>
  </r>
  <r>
    <m/>
    <m/>
    <n v="0"/>
    <n v="2"/>
    <x v="8"/>
    <x v="1"/>
  </r>
  <r>
    <m/>
    <m/>
    <n v="1"/>
    <n v="1"/>
    <x v="4"/>
    <x v="2"/>
  </r>
  <r>
    <m/>
    <m/>
    <n v="2"/>
    <n v="3"/>
    <x v="14"/>
    <x v="1"/>
  </r>
  <r>
    <m/>
    <m/>
    <n v="6"/>
    <n v="1"/>
    <x v="15"/>
    <x v="1"/>
  </r>
  <r>
    <m/>
    <m/>
    <n v="2"/>
    <n v="0"/>
    <x v="11"/>
    <x v="1"/>
  </r>
  <r>
    <m/>
    <m/>
    <n v="3"/>
    <n v="0"/>
    <x v="5"/>
    <x v="1"/>
  </r>
  <r>
    <m/>
    <m/>
    <n v="4"/>
    <n v="0"/>
    <x v="16"/>
    <x v="1"/>
  </r>
  <r>
    <m/>
    <m/>
    <n v="0"/>
    <n v="0"/>
    <x v="0"/>
    <x v="0"/>
  </r>
  <r>
    <m/>
    <m/>
    <n v="0"/>
    <n v="0"/>
    <x v="0"/>
    <x v="0"/>
  </r>
  <r>
    <m/>
    <m/>
    <n v="1"/>
    <n v="1"/>
    <x v="4"/>
    <x v="2"/>
  </r>
  <r>
    <m/>
    <m/>
    <n v="1"/>
    <n v="1"/>
    <x v="4"/>
    <x v="2"/>
  </r>
  <r>
    <m/>
    <m/>
    <n v="1"/>
    <n v="3"/>
    <x v="10"/>
    <x v="1"/>
  </r>
  <r>
    <m/>
    <m/>
    <n v="2"/>
    <n v="2"/>
    <x v="12"/>
    <x v="3"/>
  </r>
  <r>
    <m/>
    <m/>
    <n v="1"/>
    <n v="0"/>
    <x v="6"/>
    <x v="1"/>
  </r>
  <r>
    <m/>
    <m/>
    <n v="4"/>
    <n v="1"/>
    <x v="17"/>
    <x v="1"/>
  </r>
  <r>
    <m/>
    <m/>
    <n v="0"/>
    <n v="3"/>
    <x v="18"/>
    <x v="1"/>
  </r>
  <r>
    <m/>
    <m/>
    <n v="1"/>
    <n v="0"/>
    <x v="6"/>
    <x v="1"/>
  </r>
  <r>
    <m/>
    <m/>
    <n v="1"/>
    <n v="1"/>
    <x v="4"/>
    <x v="2"/>
  </r>
  <r>
    <m/>
    <m/>
    <n v="1"/>
    <n v="2"/>
    <x v="19"/>
    <x v="1"/>
  </r>
  <r>
    <m/>
    <m/>
    <n v="1"/>
    <n v="2"/>
    <x v="19"/>
    <x v="1"/>
  </r>
  <r>
    <m/>
    <m/>
    <n v="1"/>
    <n v="1"/>
    <x v="4"/>
    <x v="2"/>
  </r>
  <r>
    <m/>
    <m/>
    <n v="1"/>
    <n v="0"/>
    <x v="6"/>
    <x v="1"/>
  </r>
  <r>
    <m/>
    <m/>
    <n v="2"/>
    <n v="1"/>
    <x v="2"/>
    <x v="1"/>
  </r>
  <r>
    <m/>
    <m/>
    <n v="1"/>
    <n v="2"/>
    <x v="19"/>
    <x v="1"/>
  </r>
  <r>
    <m/>
    <m/>
    <n v="3"/>
    <n v="1"/>
    <x v="13"/>
    <x v="1"/>
  </r>
  <r>
    <m/>
    <m/>
    <n v="1"/>
    <n v="2"/>
    <x v="19"/>
    <x v="1"/>
  </r>
  <r>
    <m/>
    <m/>
    <n v="2"/>
    <n v="3"/>
    <x v="14"/>
    <x v="1"/>
  </r>
  <r>
    <m/>
    <m/>
    <n v="2"/>
    <n v="5"/>
    <x v="20"/>
    <x v="1"/>
  </r>
  <r>
    <m/>
    <m/>
    <n v="2"/>
    <n v="2"/>
    <x v="12"/>
    <x v="3"/>
  </r>
  <r>
    <m/>
    <m/>
    <n v="2"/>
    <n v="0"/>
    <x v="11"/>
    <x v="1"/>
  </r>
  <r>
    <m/>
    <m/>
    <n v="1"/>
    <n v="0"/>
    <x v="6"/>
    <x v="1"/>
  </r>
  <r>
    <m/>
    <m/>
    <n v="1"/>
    <n v="1"/>
    <x v="4"/>
    <x v="2"/>
  </r>
  <r>
    <m/>
    <m/>
    <n v="1"/>
    <n v="2"/>
    <x v="19"/>
    <x v="1"/>
  </r>
  <r>
    <m/>
    <m/>
    <n v="4"/>
    <n v="1"/>
    <x v="17"/>
    <x v="1"/>
  </r>
  <r>
    <m/>
    <m/>
    <n v="3"/>
    <n v="0"/>
    <x v="5"/>
    <x v="1"/>
  </r>
  <r>
    <m/>
    <m/>
    <n v="2"/>
    <n v="2"/>
    <x v="12"/>
    <x v="3"/>
  </r>
  <r>
    <m/>
    <m/>
    <n v="3"/>
    <n v="2"/>
    <x v="7"/>
    <x v="1"/>
  </r>
  <r>
    <m/>
    <m/>
    <n v="1"/>
    <n v="3"/>
    <x v="10"/>
    <x v="1"/>
  </r>
  <r>
    <m/>
    <m/>
    <n v="2"/>
    <n v="2"/>
    <x v="12"/>
    <x v="3"/>
  </r>
  <r>
    <m/>
    <m/>
    <n v="0"/>
    <n v="0"/>
    <x v="0"/>
    <x v="0"/>
  </r>
  <r>
    <m/>
    <m/>
    <n v="0"/>
    <n v="3"/>
    <x v="18"/>
    <x v="1"/>
  </r>
  <r>
    <m/>
    <m/>
    <n v="2"/>
    <n v="2"/>
    <x v="12"/>
    <x v="3"/>
  </r>
  <r>
    <m/>
    <m/>
    <n v="2"/>
    <n v="0"/>
    <x v="11"/>
    <x v="1"/>
  </r>
  <r>
    <m/>
    <m/>
    <n v="1"/>
    <n v="0"/>
    <x v="6"/>
    <x v="1"/>
  </r>
  <r>
    <m/>
    <m/>
    <n v="1"/>
    <n v="0"/>
    <x v="6"/>
    <x v="1"/>
  </r>
  <r>
    <m/>
    <m/>
    <n v="4"/>
    <n v="2"/>
    <x v="9"/>
    <x v="1"/>
  </r>
  <r>
    <m/>
    <m/>
    <n v="1"/>
    <n v="0"/>
    <x v="6"/>
    <x v="1"/>
  </r>
  <r>
    <m/>
    <m/>
    <n v="2"/>
    <n v="1"/>
    <x v="2"/>
    <x v="1"/>
  </r>
  <r>
    <m/>
    <m/>
    <n v="2"/>
    <n v="4"/>
    <x v="21"/>
    <x v="1"/>
  </r>
  <r>
    <m/>
    <m/>
    <n v="1"/>
    <n v="2"/>
    <x v="19"/>
    <x v="1"/>
  </r>
  <r>
    <m/>
    <m/>
    <n v="4"/>
    <n v="1"/>
    <x v="17"/>
    <x v="1"/>
  </r>
  <r>
    <m/>
    <m/>
    <n v="1"/>
    <n v="1"/>
    <x v="4"/>
    <x v="2"/>
  </r>
  <r>
    <m/>
    <m/>
    <n v="1"/>
    <n v="1"/>
    <x v="4"/>
    <x v="2"/>
  </r>
  <r>
    <m/>
    <m/>
    <n v="1"/>
    <n v="0"/>
    <x v="6"/>
    <x v="1"/>
  </r>
  <r>
    <m/>
    <m/>
    <n v="1"/>
    <n v="1"/>
    <x v="4"/>
    <x v="2"/>
  </r>
  <r>
    <m/>
    <m/>
    <n v="1"/>
    <n v="0"/>
    <x v="6"/>
    <x v="1"/>
  </r>
  <r>
    <m/>
    <m/>
    <n v="3"/>
    <n v="3"/>
    <x v="22"/>
    <x v="4"/>
  </r>
  <r>
    <m/>
    <m/>
    <n v="0"/>
    <n v="0"/>
    <x v="0"/>
    <x v="0"/>
  </r>
  <r>
    <m/>
    <m/>
    <n v="2"/>
    <n v="1"/>
    <x v="2"/>
    <x v="1"/>
  </r>
  <r>
    <m/>
    <m/>
    <n v="2"/>
    <n v="3"/>
    <x v="14"/>
    <x v="1"/>
  </r>
  <r>
    <m/>
    <m/>
    <n v="2"/>
    <n v="2"/>
    <x v="12"/>
    <x v="3"/>
  </r>
  <r>
    <m/>
    <m/>
    <n v="2"/>
    <n v="1"/>
    <x v="2"/>
    <x v="1"/>
  </r>
  <r>
    <m/>
    <m/>
    <n v="1"/>
    <n v="2"/>
    <x v="19"/>
    <x v="1"/>
  </r>
  <r>
    <m/>
    <m/>
    <n v="2"/>
    <n v="2"/>
    <x v="12"/>
    <x v="3"/>
  </r>
  <r>
    <m/>
    <m/>
    <n v="2"/>
    <n v="1"/>
    <x v="2"/>
    <x v="1"/>
  </r>
  <r>
    <m/>
    <m/>
    <n v="1"/>
    <n v="0"/>
    <x v="6"/>
    <x v="1"/>
  </r>
  <r>
    <m/>
    <m/>
    <n v="0"/>
    <n v="1"/>
    <x v="23"/>
    <x v="1"/>
  </r>
  <r>
    <m/>
    <m/>
    <n v="1"/>
    <n v="1"/>
    <x v="4"/>
    <x v="2"/>
  </r>
  <r>
    <m/>
    <m/>
    <n v="0"/>
    <n v="1"/>
    <x v="23"/>
    <x v="1"/>
  </r>
  <r>
    <m/>
    <m/>
    <n v="0"/>
    <n v="0"/>
    <x v="0"/>
    <x v="0"/>
  </r>
  <r>
    <m/>
    <m/>
    <n v="1"/>
    <n v="1"/>
    <x v="4"/>
    <x v="2"/>
  </r>
  <r>
    <m/>
    <m/>
    <n v="1"/>
    <n v="1"/>
    <x v="4"/>
    <x v="2"/>
  </r>
  <r>
    <m/>
    <m/>
    <n v="2"/>
    <n v="0"/>
    <x v="11"/>
    <x v="1"/>
  </r>
  <r>
    <m/>
    <m/>
    <n v="3"/>
    <n v="3"/>
    <x v="22"/>
    <x v="4"/>
  </r>
  <r>
    <m/>
    <m/>
    <n v="2"/>
    <n v="3"/>
    <x v="14"/>
    <x v="1"/>
  </r>
  <r>
    <m/>
    <m/>
    <n v="2"/>
    <n v="1"/>
    <x v="2"/>
    <x v="1"/>
  </r>
  <r>
    <m/>
    <m/>
    <n v="0"/>
    <n v="0"/>
    <x v="0"/>
    <x v="0"/>
  </r>
  <r>
    <m/>
    <m/>
    <n v="1"/>
    <n v="1"/>
    <x v="4"/>
    <x v="2"/>
  </r>
  <r>
    <m/>
    <m/>
    <n v="1"/>
    <n v="0"/>
    <x v="6"/>
    <x v="1"/>
  </r>
  <r>
    <m/>
    <m/>
    <n v="1"/>
    <n v="2"/>
    <x v="19"/>
    <x v="1"/>
  </r>
  <r>
    <m/>
    <m/>
    <n v="1"/>
    <n v="1"/>
    <x v="4"/>
    <x v="2"/>
  </r>
  <r>
    <m/>
    <m/>
    <n v="2"/>
    <n v="1"/>
    <x v="2"/>
    <x v="1"/>
  </r>
  <r>
    <m/>
    <m/>
    <n v="0"/>
    <n v="1"/>
    <x v="23"/>
    <x v="1"/>
  </r>
  <r>
    <m/>
    <m/>
    <n v="5"/>
    <n v="2"/>
    <x v="24"/>
    <x v="1"/>
  </r>
  <r>
    <m/>
    <m/>
    <n v="3"/>
    <n v="0"/>
    <x v="5"/>
    <x v="1"/>
  </r>
  <r>
    <m/>
    <m/>
    <n v="5"/>
    <n v="0"/>
    <x v="1"/>
    <x v="1"/>
  </r>
  <r>
    <m/>
    <m/>
    <n v="1"/>
    <n v="2"/>
    <x v="19"/>
    <x v="1"/>
  </r>
  <r>
    <m/>
    <m/>
    <n v="1"/>
    <n v="0"/>
    <x v="6"/>
    <x v="1"/>
  </r>
  <r>
    <m/>
    <m/>
    <n v="1"/>
    <n v="3"/>
    <x v="10"/>
    <x v="1"/>
  </r>
  <r>
    <m/>
    <m/>
    <n v="2"/>
    <n v="1"/>
    <x v="2"/>
    <x v="1"/>
  </r>
  <r>
    <m/>
    <m/>
    <n v="2"/>
    <n v="1"/>
    <x v="2"/>
    <x v="1"/>
  </r>
  <r>
    <m/>
    <m/>
    <n v="1"/>
    <n v="3"/>
    <x v="10"/>
    <x v="1"/>
  </r>
  <r>
    <m/>
    <m/>
    <n v="1"/>
    <n v="1"/>
    <x v="4"/>
    <x v="2"/>
  </r>
  <r>
    <m/>
    <m/>
    <n v="0"/>
    <n v="0"/>
    <x v="0"/>
    <x v="0"/>
  </r>
  <r>
    <m/>
    <m/>
    <n v="1"/>
    <n v="1"/>
    <x v="4"/>
    <x v="2"/>
  </r>
  <r>
    <m/>
    <m/>
    <n v="3"/>
    <n v="1"/>
    <x v="13"/>
    <x v="1"/>
  </r>
  <r>
    <m/>
    <m/>
    <n v="1"/>
    <n v="0"/>
    <x v="6"/>
    <x v="1"/>
  </r>
  <r>
    <m/>
    <m/>
    <n v="2"/>
    <n v="4"/>
    <x v="21"/>
    <x v="1"/>
  </r>
  <r>
    <m/>
    <m/>
    <n v="3"/>
    <n v="2"/>
    <x v="7"/>
    <x v="1"/>
  </r>
  <r>
    <m/>
    <m/>
    <n v="0"/>
    <n v="0"/>
    <x v="0"/>
    <x v="0"/>
  </r>
  <r>
    <m/>
    <m/>
    <n v="2"/>
    <n v="0"/>
    <x v="11"/>
    <x v="1"/>
  </r>
  <r>
    <m/>
    <m/>
    <n v="0"/>
    <n v="0"/>
    <x v="0"/>
    <x v="0"/>
  </r>
  <r>
    <m/>
    <m/>
    <n v="3"/>
    <n v="1"/>
    <x v="13"/>
    <x v="1"/>
  </r>
  <r>
    <m/>
    <m/>
    <n v="1"/>
    <n v="0"/>
    <x v="6"/>
    <x v="1"/>
  </r>
  <r>
    <m/>
    <m/>
    <n v="0"/>
    <n v="0"/>
    <x v="0"/>
    <x v="0"/>
  </r>
  <r>
    <m/>
    <m/>
    <n v="0"/>
    <n v="0"/>
    <x v="0"/>
    <x v="0"/>
  </r>
  <r>
    <m/>
    <m/>
    <n v="1"/>
    <n v="1"/>
    <x v="4"/>
    <x v="2"/>
  </r>
  <r>
    <m/>
    <m/>
    <n v="1"/>
    <n v="0"/>
    <x v="6"/>
    <x v="1"/>
  </r>
  <r>
    <m/>
    <m/>
    <n v="1"/>
    <n v="1"/>
    <x v="4"/>
    <x v="2"/>
  </r>
  <r>
    <m/>
    <m/>
    <n v="2"/>
    <n v="1"/>
    <x v="2"/>
    <x v="1"/>
  </r>
  <r>
    <m/>
    <m/>
    <n v="3"/>
    <n v="1"/>
    <x v="13"/>
    <x v="1"/>
  </r>
  <r>
    <m/>
    <m/>
    <n v="2"/>
    <n v="1"/>
    <x v="2"/>
    <x v="1"/>
  </r>
  <r>
    <m/>
    <m/>
    <n v="0"/>
    <n v="2"/>
    <x v="8"/>
    <x v="1"/>
  </r>
  <r>
    <m/>
    <m/>
    <n v="0"/>
    <n v="2"/>
    <x v="8"/>
    <x v="1"/>
  </r>
  <r>
    <m/>
    <m/>
    <n v="0"/>
    <n v="3"/>
    <x v="18"/>
    <x v="1"/>
  </r>
  <r>
    <m/>
    <m/>
    <n v="1"/>
    <n v="0"/>
    <x v="6"/>
    <x v="1"/>
  </r>
  <r>
    <m/>
    <m/>
    <n v="1"/>
    <n v="1"/>
    <x v="4"/>
    <x v="2"/>
  </r>
  <r>
    <m/>
    <m/>
    <n v="1"/>
    <n v="1"/>
    <x v="4"/>
    <x v="2"/>
  </r>
  <r>
    <m/>
    <m/>
    <n v="3"/>
    <n v="4"/>
    <x v="25"/>
    <x v="1"/>
  </r>
  <r>
    <m/>
    <m/>
    <n v="0"/>
    <n v="1"/>
    <x v="23"/>
    <x v="1"/>
  </r>
  <r>
    <m/>
    <m/>
    <n v="3"/>
    <n v="1"/>
    <x v="13"/>
    <x v="1"/>
  </r>
  <r>
    <m/>
    <m/>
    <n v="2"/>
    <n v="1"/>
    <x v="2"/>
    <x v="1"/>
  </r>
  <r>
    <m/>
    <m/>
    <n v="3"/>
    <n v="0"/>
    <x v="5"/>
    <x v="1"/>
  </r>
  <r>
    <m/>
    <m/>
    <n v="2"/>
    <n v="0"/>
    <x v="11"/>
    <x v="1"/>
  </r>
  <r>
    <m/>
    <m/>
    <n v="0"/>
    <n v="0"/>
    <x v="0"/>
    <x v="0"/>
  </r>
  <r>
    <m/>
    <m/>
    <n v="1"/>
    <n v="0"/>
    <x v="6"/>
    <x v="1"/>
  </r>
  <r>
    <m/>
    <m/>
    <n v="1"/>
    <n v="3"/>
    <x v="10"/>
    <x v="1"/>
  </r>
  <r>
    <m/>
    <m/>
    <n v="3"/>
    <n v="4"/>
    <x v="25"/>
    <x v="1"/>
  </r>
  <r>
    <m/>
    <m/>
    <n v="2"/>
    <n v="2"/>
    <x v="12"/>
    <x v="3"/>
  </r>
  <r>
    <m/>
    <m/>
    <n v="2"/>
    <n v="1"/>
    <x v="2"/>
    <x v="1"/>
  </r>
  <r>
    <m/>
    <m/>
    <n v="2"/>
    <n v="3"/>
    <x v="14"/>
    <x v="1"/>
  </r>
  <r>
    <m/>
    <m/>
    <n v="2"/>
    <n v="3"/>
    <x v="14"/>
    <x v="1"/>
  </r>
  <r>
    <m/>
    <m/>
    <n v="2"/>
    <n v="1"/>
    <x v="2"/>
    <x v="1"/>
  </r>
  <r>
    <m/>
    <m/>
    <n v="3"/>
    <n v="0"/>
    <x v="5"/>
    <x v="1"/>
  </r>
  <r>
    <m/>
    <m/>
    <n v="1"/>
    <n v="3"/>
    <x v="10"/>
    <x v="1"/>
  </r>
  <r>
    <m/>
    <m/>
    <n v="3"/>
    <n v="1"/>
    <x v="13"/>
    <x v="1"/>
  </r>
  <r>
    <m/>
    <m/>
    <n v="1"/>
    <n v="3"/>
    <x v="10"/>
    <x v="1"/>
  </r>
  <r>
    <m/>
    <m/>
    <n v="2"/>
    <n v="1"/>
    <x v="2"/>
    <x v="1"/>
  </r>
  <r>
    <m/>
    <m/>
    <n v="2"/>
    <n v="1"/>
    <x v="2"/>
    <x v="1"/>
  </r>
  <r>
    <m/>
    <m/>
    <n v="1"/>
    <n v="1"/>
    <x v="4"/>
    <x v="2"/>
  </r>
  <r>
    <m/>
    <m/>
    <n v="1"/>
    <n v="0"/>
    <x v="6"/>
    <x v="1"/>
  </r>
  <r>
    <m/>
    <m/>
    <n v="0"/>
    <n v="0"/>
    <x v="0"/>
    <x v="0"/>
  </r>
  <r>
    <m/>
    <m/>
    <n v="2"/>
    <n v="5"/>
    <x v="20"/>
    <x v="1"/>
  </r>
  <r>
    <m/>
    <m/>
    <n v="4"/>
    <n v="0"/>
    <x v="16"/>
    <x v="1"/>
  </r>
  <r>
    <m/>
    <m/>
    <n v="1"/>
    <n v="0"/>
    <x v="6"/>
    <x v="1"/>
  </r>
  <r>
    <m/>
    <m/>
    <n v="1"/>
    <n v="0"/>
    <x v="6"/>
    <x v="1"/>
  </r>
  <r>
    <m/>
    <m/>
    <n v="0"/>
    <n v="1"/>
    <x v="23"/>
    <x v="1"/>
  </r>
  <r>
    <m/>
    <m/>
    <n v="0"/>
    <n v="0"/>
    <x v="0"/>
    <x v="0"/>
  </r>
  <r>
    <m/>
    <m/>
    <n v="2"/>
    <n v="1"/>
    <x v="2"/>
    <x v="1"/>
  </r>
  <r>
    <m/>
    <m/>
    <n v="1"/>
    <n v="2"/>
    <x v="19"/>
    <x v="1"/>
  </r>
  <r>
    <m/>
    <m/>
    <n v="0"/>
    <n v="1"/>
    <x v="23"/>
    <x v="1"/>
  </r>
  <r>
    <m/>
    <m/>
    <n v="8"/>
    <n v="0"/>
    <x v="26"/>
    <x v="1"/>
  </r>
  <r>
    <m/>
    <m/>
    <n v="1"/>
    <n v="1"/>
    <x v="4"/>
    <x v="2"/>
  </r>
  <r>
    <m/>
    <m/>
    <n v="0"/>
    <n v="4"/>
    <x v="27"/>
    <x v="1"/>
  </r>
  <r>
    <m/>
    <m/>
    <n v="2"/>
    <n v="1"/>
    <x v="2"/>
    <x v="1"/>
  </r>
  <r>
    <m/>
    <m/>
    <n v="1"/>
    <n v="1"/>
    <x v="4"/>
    <x v="2"/>
  </r>
  <r>
    <m/>
    <m/>
    <n v="4"/>
    <n v="3"/>
    <x v="28"/>
    <x v="1"/>
  </r>
  <r>
    <m/>
    <m/>
    <n v="0"/>
    <n v="1"/>
    <x v="23"/>
    <x v="1"/>
  </r>
  <r>
    <m/>
    <m/>
    <n v="1"/>
    <n v="2"/>
    <x v="19"/>
    <x v="1"/>
  </r>
  <r>
    <m/>
    <m/>
    <n v="0"/>
    <n v="0"/>
    <x v="0"/>
    <x v="0"/>
  </r>
  <r>
    <m/>
    <m/>
    <n v="3"/>
    <n v="1"/>
    <x v="13"/>
    <x v="1"/>
  </r>
  <r>
    <m/>
    <m/>
    <n v="1"/>
    <n v="0"/>
    <x v="6"/>
    <x v="1"/>
  </r>
  <r>
    <m/>
    <m/>
    <n v="7"/>
    <n v="3"/>
    <x v="29"/>
    <x v="1"/>
  </r>
  <r>
    <m/>
    <m/>
    <n v="0"/>
    <n v="3"/>
    <x v="18"/>
    <x v="1"/>
  </r>
  <r>
    <m/>
    <m/>
    <n v="1"/>
    <n v="2"/>
    <x v="19"/>
    <x v="1"/>
  </r>
  <r>
    <m/>
    <m/>
    <n v="2"/>
    <n v="0"/>
    <x v="11"/>
    <x v="1"/>
  </r>
  <r>
    <m/>
    <m/>
    <n v="3"/>
    <n v="4"/>
    <x v="25"/>
    <x v="1"/>
  </r>
  <r>
    <m/>
    <m/>
    <n v="1"/>
    <n v="0"/>
    <x v="6"/>
    <x v="1"/>
  </r>
  <r>
    <m/>
    <m/>
    <n v="3"/>
    <n v="3"/>
    <x v="22"/>
    <x v="4"/>
  </r>
  <r>
    <m/>
    <m/>
    <n v="1"/>
    <n v="2"/>
    <x v="19"/>
    <x v="1"/>
  </r>
  <r>
    <m/>
    <m/>
    <n v="1"/>
    <n v="2"/>
    <x v="19"/>
    <x v="1"/>
  </r>
  <r>
    <m/>
    <m/>
    <n v="0"/>
    <n v="3"/>
    <x v="18"/>
    <x v="1"/>
  </r>
  <r>
    <m/>
    <m/>
    <n v="3"/>
    <n v="0"/>
    <x v="5"/>
    <x v="1"/>
  </r>
  <r>
    <m/>
    <m/>
    <n v="1"/>
    <n v="1"/>
    <x v="4"/>
    <x v="2"/>
  </r>
  <r>
    <m/>
    <m/>
    <n v="2"/>
    <n v="2"/>
    <x v="12"/>
    <x v="3"/>
  </r>
  <r>
    <m/>
    <m/>
    <n v="3"/>
    <n v="1"/>
    <x v="13"/>
    <x v="1"/>
  </r>
  <r>
    <m/>
    <m/>
    <n v="1"/>
    <n v="2"/>
    <x v="19"/>
    <x v="1"/>
  </r>
  <r>
    <m/>
    <m/>
    <n v="2"/>
    <n v="1"/>
    <x v="2"/>
    <x v="1"/>
  </r>
  <r>
    <m/>
    <m/>
    <n v="0"/>
    <n v="4"/>
    <x v="27"/>
    <x v="1"/>
  </r>
  <r>
    <m/>
    <m/>
    <n v="0"/>
    <n v="1"/>
    <x v="23"/>
    <x v="1"/>
  </r>
  <r>
    <m/>
    <m/>
    <n v="3"/>
    <n v="0"/>
    <x v="5"/>
    <x v="1"/>
  </r>
  <r>
    <m/>
    <m/>
    <n v="1"/>
    <n v="2"/>
    <x v="19"/>
    <x v="1"/>
  </r>
  <r>
    <m/>
    <m/>
    <n v="0"/>
    <n v="1"/>
    <x v="23"/>
    <x v="1"/>
  </r>
  <r>
    <m/>
    <m/>
    <n v="0"/>
    <n v="0"/>
    <x v="0"/>
    <x v="0"/>
  </r>
  <r>
    <m/>
    <m/>
    <n v="1"/>
    <n v="1"/>
    <x v="4"/>
    <x v="2"/>
  </r>
  <r>
    <m/>
    <m/>
    <n v="0"/>
    <n v="0"/>
    <x v="0"/>
    <x v="0"/>
  </r>
  <r>
    <m/>
    <m/>
    <n v="0"/>
    <n v="0"/>
    <x v="0"/>
    <x v="0"/>
  </r>
  <r>
    <m/>
    <m/>
    <n v="3"/>
    <n v="2"/>
    <x v="7"/>
    <x v="1"/>
  </r>
  <r>
    <m/>
    <m/>
    <n v="0"/>
    <n v="4"/>
    <x v="27"/>
    <x v="1"/>
  </r>
  <r>
    <m/>
    <m/>
    <n v="3"/>
    <n v="0"/>
    <x v="5"/>
    <x v="1"/>
  </r>
  <r>
    <m/>
    <m/>
    <n v="0"/>
    <n v="2"/>
    <x v="8"/>
    <x v="1"/>
  </r>
  <r>
    <m/>
    <m/>
    <n v="2"/>
    <n v="1"/>
    <x v="2"/>
    <x v="1"/>
  </r>
  <r>
    <m/>
    <m/>
    <n v="2"/>
    <n v="2"/>
    <x v="1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1:J7" firstHeaderRow="0" firstDataRow="1" firstDataCol="1"/>
  <pivotFields count="6">
    <pivotField showAll="0"/>
    <pivotField showAll="0"/>
    <pivotField showAll="0"/>
    <pivotField showAll="0"/>
    <pivotField dataField="1" showAll="0" defaultSubtotal="0">
      <items count="30">
        <item x="0"/>
        <item x="23"/>
        <item x="8"/>
        <item x="18"/>
        <item x="27"/>
        <item x="3"/>
        <item x="6"/>
        <item x="4"/>
        <item x="19"/>
        <item x="10"/>
        <item x="11"/>
        <item x="2"/>
        <item x="12"/>
        <item x="14"/>
        <item x="21"/>
        <item x="20"/>
        <item x="5"/>
        <item x="13"/>
        <item x="7"/>
        <item x="22"/>
        <item x="25"/>
        <item x="16"/>
        <item x="17"/>
        <item x="9"/>
        <item x="28"/>
        <item x="1"/>
        <item x="24"/>
        <item x="15"/>
        <item x="29"/>
        <item x="26"/>
      </items>
    </pivotField>
    <pivotField axis="axisRow" showAll="0" defaultSubtotal="0">
      <items count="6">
        <item m="1" x="5"/>
        <item x="0"/>
        <item x="2"/>
        <item x="3"/>
        <item x="4"/>
        <item x="1"/>
      </items>
    </pivotField>
  </pivotFields>
  <rowFields count="1">
    <field x="5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Score" fld="4" subtotal="count" baseField="0" baseItem="0"/>
    <dataField name="Nombre de Score2" fld="4" subtotal="count" showDataAs="percentOfTotal" baseField="5" baseItem="2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E47" totalsRowShown="0">
  <autoFilter ref="A1:E47"/>
  <tableColumns count="5">
    <tableColumn id="1" name="HomeTeam"/>
    <tableColumn id="2" name="AwayTeam"/>
    <tableColumn id="3" name="FTHG"/>
    <tableColumn id="4" name="FTAG"/>
    <tableColumn id="5" name="Conc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7"/>
  <sheetViews>
    <sheetView workbookViewId="0">
      <selection sqref="A1:E47"/>
    </sheetView>
  </sheetViews>
  <sheetFormatPr baseColWidth="10" defaultRowHeight="15" x14ac:dyDescent="0.25"/>
  <cols>
    <col min="1" max="1" width="13.28515625" customWidth="1"/>
    <col min="2" max="2" width="12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28</v>
      </c>
    </row>
    <row r="2" spans="1:5" x14ac:dyDescent="0.25">
      <c r="A2" t="s">
        <v>4</v>
      </c>
      <c r="B2" t="s">
        <v>5</v>
      </c>
      <c r="C2">
        <v>0</v>
      </c>
      <c r="D2">
        <v>0</v>
      </c>
      <c r="E2" t="s">
        <v>30</v>
      </c>
    </row>
    <row r="3" spans="1:5" x14ac:dyDescent="0.25">
      <c r="A3" t="s">
        <v>6</v>
      </c>
      <c r="B3" t="s">
        <v>7</v>
      </c>
      <c r="C3">
        <v>0</v>
      </c>
      <c r="D3">
        <v>0</v>
      </c>
      <c r="E3" t="s">
        <v>30</v>
      </c>
    </row>
    <row r="4" spans="1:5" x14ac:dyDescent="0.25">
      <c r="A4" t="s">
        <v>8</v>
      </c>
      <c r="B4" t="s">
        <v>9</v>
      </c>
      <c r="C4">
        <v>0</v>
      </c>
      <c r="D4">
        <v>0</v>
      </c>
      <c r="E4" t="s">
        <v>30</v>
      </c>
    </row>
    <row r="5" spans="1:5" x14ac:dyDescent="0.25">
      <c r="A5" t="s">
        <v>10</v>
      </c>
      <c r="B5" t="s">
        <v>11</v>
      </c>
      <c r="C5">
        <v>0</v>
      </c>
      <c r="D5">
        <v>0</v>
      </c>
      <c r="E5" t="s">
        <v>30</v>
      </c>
    </row>
    <row r="6" spans="1:5" x14ac:dyDescent="0.25">
      <c r="A6" t="s">
        <v>6</v>
      </c>
      <c r="B6" t="s">
        <v>10</v>
      </c>
      <c r="C6">
        <v>0</v>
      </c>
      <c r="D6">
        <v>0</v>
      </c>
      <c r="E6" t="s">
        <v>30</v>
      </c>
    </row>
    <row r="7" spans="1:5" x14ac:dyDescent="0.25">
      <c r="A7" t="s">
        <v>15</v>
      </c>
      <c r="B7" t="s">
        <v>8</v>
      </c>
      <c r="C7">
        <v>0</v>
      </c>
      <c r="D7">
        <v>0</v>
      </c>
      <c r="E7" t="s">
        <v>30</v>
      </c>
    </row>
    <row r="8" spans="1:5" x14ac:dyDescent="0.25">
      <c r="A8" t="s">
        <v>6</v>
      </c>
      <c r="B8" t="s">
        <v>16</v>
      </c>
      <c r="C8">
        <v>0</v>
      </c>
      <c r="D8">
        <v>0</v>
      </c>
      <c r="E8" t="s">
        <v>30</v>
      </c>
    </row>
    <row r="9" spans="1:5" x14ac:dyDescent="0.25">
      <c r="A9" t="s">
        <v>23</v>
      </c>
      <c r="B9" t="s">
        <v>9</v>
      </c>
      <c r="C9">
        <v>0</v>
      </c>
      <c r="D9">
        <v>0</v>
      </c>
      <c r="E9" t="s">
        <v>30</v>
      </c>
    </row>
    <row r="10" spans="1:5" x14ac:dyDescent="0.25">
      <c r="A10" t="s">
        <v>18</v>
      </c>
      <c r="B10" t="s">
        <v>19</v>
      </c>
      <c r="C10">
        <v>0</v>
      </c>
      <c r="D10">
        <v>0</v>
      </c>
      <c r="E10" t="s">
        <v>30</v>
      </c>
    </row>
    <row r="11" spans="1:5" x14ac:dyDescent="0.25">
      <c r="A11" t="s">
        <v>21</v>
      </c>
      <c r="B11" t="s">
        <v>5</v>
      </c>
      <c r="C11">
        <v>0</v>
      </c>
      <c r="D11">
        <v>0</v>
      </c>
      <c r="E11" t="s">
        <v>30</v>
      </c>
    </row>
    <row r="12" spans="1:5" x14ac:dyDescent="0.25">
      <c r="A12" t="s">
        <v>8</v>
      </c>
      <c r="B12" t="s">
        <v>10</v>
      </c>
      <c r="C12">
        <v>0</v>
      </c>
      <c r="D12">
        <v>0</v>
      </c>
      <c r="E12" t="s">
        <v>30</v>
      </c>
    </row>
    <row r="13" spans="1:5" x14ac:dyDescent="0.25">
      <c r="A13" t="s">
        <v>5</v>
      </c>
      <c r="B13" t="s">
        <v>25</v>
      </c>
      <c r="C13">
        <v>0</v>
      </c>
      <c r="D13">
        <v>0</v>
      </c>
      <c r="E13" t="s">
        <v>30</v>
      </c>
    </row>
    <row r="14" spans="1:5" x14ac:dyDescent="0.25">
      <c r="A14" t="s">
        <v>4</v>
      </c>
      <c r="B14" t="s">
        <v>22</v>
      </c>
      <c r="C14">
        <v>0</v>
      </c>
      <c r="D14">
        <v>0</v>
      </c>
      <c r="E14" t="s">
        <v>30</v>
      </c>
    </row>
    <row r="15" spans="1:5" x14ac:dyDescent="0.25">
      <c r="A15" t="s">
        <v>23</v>
      </c>
      <c r="B15" t="s">
        <v>8</v>
      </c>
      <c r="C15">
        <v>0</v>
      </c>
      <c r="D15">
        <v>0</v>
      </c>
      <c r="E15" t="s">
        <v>30</v>
      </c>
    </row>
    <row r="16" spans="1:5" x14ac:dyDescent="0.25">
      <c r="A16" t="s">
        <v>18</v>
      </c>
      <c r="B16" t="s">
        <v>12</v>
      </c>
      <c r="C16">
        <v>0</v>
      </c>
      <c r="D16">
        <v>0</v>
      </c>
      <c r="E16" t="s">
        <v>30</v>
      </c>
    </row>
    <row r="17" spans="1:5" x14ac:dyDescent="0.25">
      <c r="A17" t="s">
        <v>18</v>
      </c>
      <c r="B17" t="s">
        <v>9</v>
      </c>
      <c r="C17">
        <v>0</v>
      </c>
      <c r="D17">
        <v>0</v>
      </c>
      <c r="E17" t="s">
        <v>30</v>
      </c>
    </row>
    <row r="18" spans="1:5" x14ac:dyDescent="0.25">
      <c r="A18" t="s">
        <v>22</v>
      </c>
      <c r="B18" t="s">
        <v>19</v>
      </c>
      <c r="C18">
        <v>0</v>
      </c>
      <c r="D18">
        <v>0</v>
      </c>
      <c r="E18" t="s">
        <v>30</v>
      </c>
    </row>
    <row r="19" spans="1:5" x14ac:dyDescent="0.25">
      <c r="A19" t="s">
        <v>17</v>
      </c>
      <c r="B19" t="s">
        <v>12</v>
      </c>
      <c r="C19">
        <v>0</v>
      </c>
      <c r="D19">
        <v>0</v>
      </c>
      <c r="E19" t="s">
        <v>30</v>
      </c>
    </row>
    <row r="20" spans="1:5" x14ac:dyDescent="0.25">
      <c r="A20" t="s">
        <v>23</v>
      </c>
      <c r="B20" t="s">
        <v>24</v>
      </c>
      <c r="C20">
        <v>0</v>
      </c>
      <c r="D20">
        <v>0</v>
      </c>
      <c r="E20" t="s">
        <v>30</v>
      </c>
    </row>
    <row r="21" spans="1:5" x14ac:dyDescent="0.25">
      <c r="A21" t="s">
        <v>20</v>
      </c>
      <c r="B21" t="s">
        <v>19</v>
      </c>
      <c r="C21">
        <v>0</v>
      </c>
      <c r="D21">
        <v>0</v>
      </c>
      <c r="E21" t="s">
        <v>30</v>
      </c>
    </row>
    <row r="22" spans="1:5" x14ac:dyDescent="0.25">
      <c r="A22" t="s">
        <v>10</v>
      </c>
      <c r="B22" t="s">
        <v>20</v>
      </c>
      <c r="C22">
        <v>0</v>
      </c>
      <c r="D22">
        <v>0</v>
      </c>
      <c r="E22" t="s">
        <v>30</v>
      </c>
    </row>
    <row r="23" spans="1:5" x14ac:dyDescent="0.25">
      <c r="A23" t="s">
        <v>22</v>
      </c>
      <c r="B23" t="s">
        <v>26</v>
      </c>
      <c r="C23">
        <v>0</v>
      </c>
      <c r="D23">
        <v>0</v>
      </c>
      <c r="E23" t="s">
        <v>30</v>
      </c>
    </row>
    <row r="24" spans="1:5" x14ac:dyDescent="0.25">
      <c r="A24" t="s">
        <v>15</v>
      </c>
      <c r="B24" t="s">
        <v>25</v>
      </c>
      <c r="C24">
        <v>0</v>
      </c>
      <c r="D24">
        <v>0</v>
      </c>
      <c r="E24" t="s">
        <v>30</v>
      </c>
    </row>
    <row r="25" spans="1:5" x14ac:dyDescent="0.25">
      <c r="A25" t="s">
        <v>18</v>
      </c>
      <c r="B25" t="s">
        <v>21</v>
      </c>
      <c r="C25">
        <v>0</v>
      </c>
      <c r="D25">
        <v>0</v>
      </c>
      <c r="E25" t="s">
        <v>30</v>
      </c>
    </row>
    <row r="26" spans="1:5" x14ac:dyDescent="0.25">
      <c r="A26" t="s">
        <v>19</v>
      </c>
      <c r="B26" t="s">
        <v>14</v>
      </c>
      <c r="C26">
        <v>0</v>
      </c>
      <c r="D26">
        <v>0</v>
      </c>
      <c r="E26" t="s">
        <v>30</v>
      </c>
    </row>
    <row r="27" spans="1:5" x14ac:dyDescent="0.25">
      <c r="A27" t="s">
        <v>26</v>
      </c>
      <c r="B27" t="s">
        <v>6</v>
      </c>
      <c r="C27">
        <v>0</v>
      </c>
      <c r="D27">
        <v>0</v>
      </c>
      <c r="E27" t="s">
        <v>30</v>
      </c>
    </row>
    <row r="28" spans="1:5" x14ac:dyDescent="0.25">
      <c r="A28" t="s">
        <v>27</v>
      </c>
      <c r="B28" t="s">
        <v>17</v>
      </c>
      <c r="C28">
        <v>0</v>
      </c>
      <c r="D28">
        <v>0</v>
      </c>
      <c r="E28" t="s">
        <v>30</v>
      </c>
    </row>
    <row r="29" spans="1:5" x14ac:dyDescent="0.25">
      <c r="A29" t="s">
        <v>11</v>
      </c>
      <c r="B29" t="s">
        <v>23</v>
      </c>
      <c r="C29">
        <v>0</v>
      </c>
      <c r="D29">
        <v>0</v>
      </c>
      <c r="E29" t="s">
        <v>30</v>
      </c>
    </row>
    <row r="30" spans="1:5" x14ac:dyDescent="0.25">
      <c r="A30" t="s">
        <v>9</v>
      </c>
      <c r="B30" t="s">
        <v>27</v>
      </c>
      <c r="C30">
        <v>0</v>
      </c>
      <c r="D30">
        <v>0</v>
      </c>
      <c r="E30" t="s">
        <v>30</v>
      </c>
    </row>
    <row r="31" spans="1:5" x14ac:dyDescent="0.25">
      <c r="A31" t="s">
        <v>13</v>
      </c>
      <c r="B31" t="s">
        <v>11</v>
      </c>
      <c r="C31">
        <v>0</v>
      </c>
      <c r="D31">
        <v>0</v>
      </c>
      <c r="E31" t="s">
        <v>30</v>
      </c>
    </row>
    <row r="32" spans="1:5" x14ac:dyDescent="0.25">
      <c r="A32" t="s">
        <v>16</v>
      </c>
      <c r="B32" t="s">
        <v>26</v>
      </c>
      <c r="C32">
        <v>0</v>
      </c>
      <c r="D32">
        <v>0</v>
      </c>
      <c r="E32" t="s">
        <v>30</v>
      </c>
    </row>
    <row r="33" spans="1:5" x14ac:dyDescent="0.25">
      <c r="A33" t="s">
        <v>19</v>
      </c>
      <c r="B33" t="s">
        <v>18</v>
      </c>
      <c r="C33">
        <v>0</v>
      </c>
      <c r="D33">
        <v>0</v>
      </c>
      <c r="E33" t="s">
        <v>30</v>
      </c>
    </row>
    <row r="34" spans="1:5" x14ac:dyDescent="0.25">
      <c r="A34" t="s">
        <v>26</v>
      </c>
      <c r="B34" t="s">
        <v>21</v>
      </c>
      <c r="C34">
        <v>0</v>
      </c>
      <c r="D34">
        <v>0</v>
      </c>
      <c r="E34" t="s">
        <v>30</v>
      </c>
    </row>
    <row r="35" spans="1:5" x14ac:dyDescent="0.25">
      <c r="A35" t="s">
        <v>26</v>
      </c>
      <c r="B35" t="s">
        <v>27</v>
      </c>
      <c r="C35">
        <v>0</v>
      </c>
      <c r="D35">
        <v>0</v>
      </c>
      <c r="E35" t="s">
        <v>30</v>
      </c>
    </row>
    <row r="36" spans="1:5" x14ac:dyDescent="0.25">
      <c r="A36" t="s">
        <v>19</v>
      </c>
      <c r="B36" t="s">
        <v>22</v>
      </c>
      <c r="C36">
        <v>0</v>
      </c>
      <c r="D36">
        <v>0</v>
      </c>
      <c r="E36" t="s">
        <v>30</v>
      </c>
    </row>
    <row r="37" spans="1:5" x14ac:dyDescent="0.25">
      <c r="A37" t="s">
        <v>25</v>
      </c>
      <c r="B37" t="s">
        <v>26</v>
      </c>
      <c r="C37">
        <v>0</v>
      </c>
      <c r="D37">
        <v>0</v>
      </c>
      <c r="E37" t="s">
        <v>30</v>
      </c>
    </row>
    <row r="38" spans="1:5" x14ac:dyDescent="0.25">
      <c r="A38" t="s">
        <v>11</v>
      </c>
      <c r="B38" t="s">
        <v>10</v>
      </c>
      <c r="C38">
        <v>0</v>
      </c>
      <c r="D38">
        <v>0</v>
      </c>
      <c r="E38" t="s">
        <v>30</v>
      </c>
    </row>
    <row r="39" spans="1:5" x14ac:dyDescent="0.25">
      <c r="A39" t="s">
        <v>23</v>
      </c>
      <c r="B39" t="s">
        <v>17</v>
      </c>
      <c r="C39">
        <v>0</v>
      </c>
      <c r="D39">
        <v>0</v>
      </c>
      <c r="E39" t="s">
        <v>30</v>
      </c>
    </row>
    <row r="40" spans="1:5" x14ac:dyDescent="0.25">
      <c r="A40" t="s">
        <v>19</v>
      </c>
      <c r="B40" t="s">
        <v>15</v>
      </c>
      <c r="C40">
        <v>0</v>
      </c>
      <c r="D40">
        <v>0</v>
      </c>
      <c r="E40" t="s">
        <v>30</v>
      </c>
    </row>
    <row r="41" spans="1:5" x14ac:dyDescent="0.25">
      <c r="A41" t="s">
        <v>25</v>
      </c>
      <c r="B41" t="s">
        <v>24</v>
      </c>
      <c r="C41">
        <v>0</v>
      </c>
      <c r="D41">
        <v>0</v>
      </c>
      <c r="E41" t="s">
        <v>30</v>
      </c>
    </row>
    <row r="42" spans="1:5" x14ac:dyDescent="0.25">
      <c r="A42" t="s">
        <v>10</v>
      </c>
      <c r="B42" t="s">
        <v>25</v>
      </c>
      <c r="C42">
        <v>0</v>
      </c>
      <c r="D42">
        <v>0</v>
      </c>
      <c r="E42" t="s">
        <v>30</v>
      </c>
    </row>
    <row r="43" spans="1:5" x14ac:dyDescent="0.25">
      <c r="A43" t="s">
        <v>10</v>
      </c>
      <c r="B43" t="s">
        <v>27</v>
      </c>
      <c r="C43">
        <v>0</v>
      </c>
      <c r="D43">
        <v>0</v>
      </c>
      <c r="E43" t="s">
        <v>30</v>
      </c>
    </row>
    <row r="44" spans="1:5" x14ac:dyDescent="0.25">
      <c r="A44" t="s">
        <v>5</v>
      </c>
      <c r="B44" t="s">
        <v>4</v>
      </c>
      <c r="C44">
        <v>0</v>
      </c>
      <c r="D44">
        <v>0</v>
      </c>
      <c r="E44" t="s">
        <v>30</v>
      </c>
    </row>
    <row r="45" spans="1:5" x14ac:dyDescent="0.25">
      <c r="A45" t="s">
        <v>6</v>
      </c>
      <c r="B45" t="s">
        <v>24</v>
      </c>
      <c r="C45">
        <v>0</v>
      </c>
      <c r="D45">
        <v>0</v>
      </c>
      <c r="E45" t="s">
        <v>30</v>
      </c>
    </row>
    <row r="46" spans="1:5" x14ac:dyDescent="0.25">
      <c r="A46" t="s">
        <v>9</v>
      </c>
      <c r="B46" t="s">
        <v>4</v>
      </c>
      <c r="C46">
        <v>0</v>
      </c>
      <c r="D46">
        <v>0</v>
      </c>
      <c r="E46" t="s">
        <v>30</v>
      </c>
    </row>
    <row r="47" spans="1:5" x14ac:dyDescent="0.25">
      <c r="A47" t="s">
        <v>27</v>
      </c>
      <c r="B47" t="s">
        <v>24</v>
      </c>
      <c r="C47">
        <v>0</v>
      </c>
      <c r="D47">
        <v>0</v>
      </c>
      <c r="E47" t="s">
        <v>30</v>
      </c>
    </row>
  </sheetData>
  <pageMargins left="0.7" right="0.7" top="0.75" bottom="0.75" header="0.3" footer="0.3"/>
  <customProperties>
    <customPr name="DVSECTION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0"/>
  <sheetViews>
    <sheetView tabSelected="1" workbookViewId="0">
      <selection activeCell="I11" sqref="I11"/>
    </sheetView>
  </sheetViews>
  <sheetFormatPr baseColWidth="10" defaultRowHeight="15" x14ac:dyDescent="0.25"/>
  <cols>
    <col min="1" max="2" width="15.5703125" bestFit="1" customWidth="1"/>
    <col min="3" max="4" width="5.5703125" bestFit="1" customWidth="1"/>
    <col min="5" max="5" width="7" bestFit="1" customWidth="1"/>
    <col min="8" max="8" width="21" customWidth="1"/>
    <col min="9" max="9" width="16.42578125" customWidth="1"/>
    <col min="10" max="11" width="17.42578125" customWidth="1"/>
    <col min="12" max="12" width="7.7109375" bestFit="1" customWidth="1"/>
    <col min="13" max="13" width="4" customWidth="1"/>
    <col min="14" max="14" width="12.5703125" customWidth="1"/>
    <col min="15" max="17" width="23.85546875" bestFit="1" customWidth="1"/>
    <col min="18" max="18" width="21.42578125" bestFit="1" customWidth="1"/>
    <col min="19" max="19" width="22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39</v>
      </c>
      <c r="F1" t="s">
        <v>33</v>
      </c>
      <c r="H1" s="1" t="s">
        <v>29</v>
      </c>
      <c r="I1" t="s">
        <v>40</v>
      </c>
      <c r="J1" t="s">
        <v>41</v>
      </c>
    </row>
    <row r="2" spans="1:12" x14ac:dyDescent="0.25">
      <c r="C2">
        <v>0</v>
      </c>
      <c r="D2">
        <v>0</v>
      </c>
      <c r="E2" t="str">
        <f>C2&amp;","&amp;D2</f>
        <v>0,0</v>
      </c>
      <c r="F2" t="str">
        <f>IF(C2=D2,"mn "&amp;C2,"gp")</f>
        <v>mn 0</v>
      </c>
      <c r="H2" s="2" t="s">
        <v>34</v>
      </c>
      <c r="I2" s="3">
        <v>20</v>
      </c>
      <c r="J2" s="5">
        <v>9.1324200913242004E-2</v>
      </c>
      <c r="L2" s="5"/>
    </row>
    <row r="3" spans="1:12" x14ac:dyDescent="0.25">
      <c r="C3">
        <v>5</v>
      </c>
      <c r="D3">
        <v>0</v>
      </c>
      <c r="E3" t="str">
        <f t="shared" ref="E3:E66" si="0">C3&amp;","&amp;D3</f>
        <v>5,0</v>
      </c>
      <c r="F3" t="str">
        <f t="shared" ref="F3:F66" si="1">IF(C3=D3,"mn "&amp;C3,"gp")</f>
        <v>gp</v>
      </c>
      <c r="H3" s="2" t="s">
        <v>35</v>
      </c>
      <c r="I3" s="3">
        <v>29</v>
      </c>
      <c r="J3" s="5">
        <v>0.13242009132420091</v>
      </c>
    </row>
    <row r="4" spans="1:12" x14ac:dyDescent="0.25">
      <c r="C4">
        <v>2</v>
      </c>
      <c r="D4">
        <v>1</v>
      </c>
      <c r="E4" t="str">
        <f t="shared" si="0"/>
        <v>2,1</v>
      </c>
      <c r="F4" t="str">
        <f t="shared" si="1"/>
        <v>gp</v>
      </c>
      <c r="H4" s="2" t="s">
        <v>36</v>
      </c>
      <c r="I4" s="3">
        <v>13</v>
      </c>
      <c r="J4" s="5">
        <v>5.9360730593607303E-2</v>
      </c>
    </row>
    <row r="5" spans="1:12" x14ac:dyDescent="0.25">
      <c r="C5">
        <v>0</v>
      </c>
      <c r="D5">
        <v>5</v>
      </c>
      <c r="E5" t="str">
        <f t="shared" si="0"/>
        <v>0,5</v>
      </c>
      <c r="F5" t="str">
        <f t="shared" si="1"/>
        <v>gp</v>
      </c>
      <c r="H5" s="2" t="s">
        <v>37</v>
      </c>
      <c r="I5" s="3">
        <v>3</v>
      </c>
      <c r="J5" s="5">
        <v>1.3698630136986301E-2</v>
      </c>
    </row>
    <row r="6" spans="1:12" x14ac:dyDescent="0.25">
      <c r="C6">
        <v>1</v>
      </c>
      <c r="D6">
        <v>1</v>
      </c>
      <c r="E6" t="str">
        <f t="shared" si="0"/>
        <v>1,1</v>
      </c>
      <c r="F6" t="str">
        <f t="shared" si="1"/>
        <v>mn 1</v>
      </c>
      <c r="H6" s="2" t="s">
        <v>38</v>
      </c>
      <c r="I6" s="3">
        <v>154</v>
      </c>
      <c r="J6" s="5">
        <v>0.70319634703196343</v>
      </c>
    </row>
    <row r="7" spans="1:12" x14ac:dyDescent="0.25">
      <c r="C7">
        <v>3</v>
      </c>
      <c r="D7">
        <v>0</v>
      </c>
      <c r="E7" t="str">
        <f t="shared" si="0"/>
        <v>3,0</v>
      </c>
      <c r="F7" t="str">
        <f t="shared" si="1"/>
        <v>gp</v>
      </c>
      <c r="H7" s="2" t="s">
        <v>31</v>
      </c>
      <c r="I7" s="3">
        <v>219</v>
      </c>
      <c r="J7" s="5">
        <v>1</v>
      </c>
    </row>
    <row r="8" spans="1:12" x14ac:dyDescent="0.25">
      <c r="C8">
        <v>1</v>
      </c>
      <c r="D8">
        <v>0</v>
      </c>
      <c r="E8" t="str">
        <f t="shared" si="0"/>
        <v>1,0</v>
      </c>
      <c r="F8" t="str">
        <f t="shared" si="1"/>
        <v>gp</v>
      </c>
    </row>
    <row r="9" spans="1:12" x14ac:dyDescent="0.25">
      <c r="C9">
        <v>3</v>
      </c>
      <c r="D9">
        <v>2</v>
      </c>
      <c r="E9" t="str">
        <f t="shared" si="0"/>
        <v>3,2</v>
      </c>
      <c r="F9" t="str">
        <f t="shared" si="1"/>
        <v>gp</v>
      </c>
    </row>
    <row r="10" spans="1:12" x14ac:dyDescent="0.25">
      <c r="C10">
        <v>0</v>
      </c>
      <c r="D10">
        <v>2</v>
      </c>
      <c r="E10" t="str">
        <f t="shared" si="0"/>
        <v>0,2</v>
      </c>
      <c r="F10" t="str">
        <f t="shared" si="1"/>
        <v>gp</v>
      </c>
    </row>
    <row r="11" spans="1:12" x14ac:dyDescent="0.25">
      <c r="C11">
        <v>1</v>
      </c>
      <c r="D11">
        <v>0</v>
      </c>
      <c r="E11" t="str">
        <f t="shared" si="0"/>
        <v>1,0</v>
      </c>
      <c r="F11" t="str">
        <f t="shared" si="1"/>
        <v>gp</v>
      </c>
    </row>
    <row r="12" spans="1:12" x14ac:dyDescent="0.25">
      <c r="C12">
        <v>4</v>
      </c>
      <c r="D12">
        <v>2</v>
      </c>
      <c r="E12" t="str">
        <f t="shared" si="0"/>
        <v>4,2</v>
      </c>
      <c r="F12" t="str">
        <f t="shared" si="1"/>
        <v>gp</v>
      </c>
    </row>
    <row r="13" spans="1:12" x14ac:dyDescent="0.25">
      <c r="C13">
        <v>1</v>
      </c>
      <c r="D13">
        <v>3</v>
      </c>
      <c r="E13" t="str">
        <f t="shared" si="0"/>
        <v>1,3</v>
      </c>
      <c r="F13" t="str">
        <f t="shared" si="1"/>
        <v>gp</v>
      </c>
    </row>
    <row r="14" spans="1:12" x14ac:dyDescent="0.25">
      <c r="C14">
        <v>2</v>
      </c>
      <c r="D14">
        <v>0</v>
      </c>
      <c r="E14" t="str">
        <f t="shared" si="0"/>
        <v>2,0</v>
      </c>
      <c r="F14" t="str">
        <f t="shared" si="1"/>
        <v>gp</v>
      </c>
    </row>
    <row r="15" spans="1:12" x14ac:dyDescent="0.25">
      <c r="C15">
        <v>3</v>
      </c>
      <c r="D15">
        <v>2</v>
      </c>
      <c r="E15" t="str">
        <f t="shared" si="0"/>
        <v>3,2</v>
      </c>
      <c r="F15" t="str">
        <f t="shared" si="1"/>
        <v>gp</v>
      </c>
    </row>
    <row r="16" spans="1:12" x14ac:dyDescent="0.25">
      <c r="C16">
        <v>1</v>
      </c>
      <c r="D16">
        <v>1</v>
      </c>
      <c r="E16" t="str">
        <f t="shared" si="0"/>
        <v>1,1</v>
      </c>
      <c r="F16" t="str">
        <f t="shared" si="1"/>
        <v>mn 1</v>
      </c>
    </row>
    <row r="17" spans="3:6" x14ac:dyDescent="0.25">
      <c r="C17">
        <v>0</v>
      </c>
      <c r="D17">
        <v>2</v>
      </c>
      <c r="E17" t="str">
        <f t="shared" si="0"/>
        <v>0,2</v>
      </c>
      <c r="F17" t="str">
        <f t="shared" si="1"/>
        <v>gp</v>
      </c>
    </row>
    <row r="18" spans="3:6" x14ac:dyDescent="0.25">
      <c r="C18">
        <v>3</v>
      </c>
      <c r="D18">
        <v>0</v>
      </c>
      <c r="E18" t="str">
        <f t="shared" si="0"/>
        <v>3,0</v>
      </c>
      <c r="F18" t="str">
        <f t="shared" si="1"/>
        <v>gp</v>
      </c>
    </row>
    <row r="19" spans="3:6" x14ac:dyDescent="0.25">
      <c r="C19">
        <v>1</v>
      </c>
      <c r="D19">
        <v>1</v>
      </c>
      <c r="E19" t="str">
        <f t="shared" si="0"/>
        <v>1,1</v>
      </c>
      <c r="F19" t="str">
        <f t="shared" si="1"/>
        <v>mn 1</v>
      </c>
    </row>
    <row r="20" spans="3:6" x14ac:dyDescent="0.25">
      <c r="C20">
        <v>2</v>
      </c>
      <c r="D20">
        <v>2</v>
      </c>
      <c r="E20" t="str">
        <f t="shared" si="0"/>
        <v>2,2</v>
      </c>
      <c r="F20" t="str">
        <f t="shared" si="1"/>
        <v>mn 2</v>
      </c>
    </row>
    <row r="21" spans="3:6" x14ac:dyDescent="0.25">
      <c r="C21">
        <v>0</v>
      </c>
      <c r="D21">
        <v>0</v>
      </c>
      <c r="E21" t="str">
        <f t="shared" si="0"/>
        <v>0,0</v>
      </c>
      <c r="F21" t="str">
        <f t="shared" si="1"/>
        <v>mn 0</v>
      </c>
    </row>
    <row r="22" spans="3:6" x14ac:dyDescent="0.25">
      <c r="C22">
        <v>3</v>
      </c>
      <c r="D22">
        <v>1</v>
      </c>
      <c r="E22" t="str">
        <f t="shared" si="0"/>
        <v>3,1</v>
      </c>
      <c r="F22" t="str">
        <f t="shared" si="1"/>
        <v>gp</v>
      </c>
    </row>
    <row r="23" spans="3:6" x14ac:dyDescent="0.25">
      <c r="C23">
        <v>2</v>
      </c>
      <c r="D23">
        <v>2</v>
      </c>
      <c r="E23" t="str">
        <f t="shared" si="0"/>
        <v>2,2</v>
      </c>
      <c r="F23" t="str">
        <f t="shared" si="1"/>
        <v>mn 2</v>
      </c>
    </row>
    <row r="24" spans="3:6" x14ac:dyDescent="0.25">
      <c r="C24">
        <v>1</v>
      </c>
      <c r="D24">
        <v>1</v>
      </c>
      <c r="E24" t="str">
        <f t="shared" si="0"/>
        <v>1,1</v>
      </c>
      <c r="F24" t="str">
        <f t="shared" si="1"/>
        <v>mn 1</v>
      </c>
    </row>
    <row r="25" spans="3:6" x14ac:dyDescent="0.25">
      <c r="C25">
        <v>2</v>
      </c>
      <c r="D25">
        <v>0</v>
      </c>
      <c r="E25" t="str">
        <f t="shared" si="0"/>
        <v>2,0</v>
      </c>
      <c r="F25" t="str">
        <f t="shared" si="1"/>
        <v>gp</v>
      </c>
    </row>
    <row r="26" spans="3:6" x14ac:dyDescent="0.25">
      <c r="C26">
        <v>3</v>
      </c>
      <c r="D26">
        <v>0</v>
      </c>
      <c r="E26" t="str">
        <f t="shared" si="0"/>
        <v>3,0</v>
      </c>
      <c r="F26" t="str">
        <f t="shared" si="1"/>
        <v>gp</v>
      </c>
    </row>
    <row r="27" spans="3:6" x14ac:dyDescent="0.25">
      <c r="C27">
        <v>2</v>
      </c>
      <c r="D27">
        <v>2</v>
      </c>
      <c r="E27" t="str">
        <f t="shared" si="0"/>
        <v>2,2</v>
      </c>
      <c r="F27" t="str">
        <f t="shared" si="1"/>
        <v>mn 2</v>
      </c>
    </row>
    <row r="28" spans="3:6" x14ac:dyDescent="0.25">
      <c r="C28">
        <v>0</v>
      </c>
      <c r="D28">
        <v>2</v>
      </c>
      <c r="E28" t="str">
        <f t="shared" si="0"/>
        <v>0,2</v>
      </c>
      <c r="F28" t="str">
        <f t="shared" si="1"/>
        <v>gp</v>
      </c>
    </row>
    <row r="29" spans="3:6" x14ac:dyDescent="0.25">
      <c r="C29">
        <v>1</v>
      </c>
      <c r="D29">
        <v>1</v>
      </c>
      <c r="E29" t="str">
        <f t="shared" si="0"/>
        <v>1,1</v>
      </c>
      <c r="F29" t="str">
        <f t="shared" si="1"/>
        <v>mn 1</v>
      </c>
    </row>
    <row r="30" spans="3:6" x14ac:dyDescent="0.25">
      <c r="C30">
        <v>2</v>
      </c>
      <c r="D30">
        <v>3</v>
      </c>
      <c r="E30" t="str">
        <f t="shared" si="0"/>
        <v>2,3</v>
      </c>
      <c r="F30" t="str">
        <f t="shared" si="1"/>
        <v>gp</v>
      </c>
    </row>
    <row r="31" spans="3:6" x14ac:dyDescent="0.25">
      <c r="C31">
        <v>6</v>
      </c>
      <c r="D31">
        <v>1</v>
      </c>
      <c r="E31" t="str">
        <f t="shared" si="0"/>
        <v>6,1</v>
      </c>
      <c r="F31" t="str">
        <f t="shared" si="1"/>
        <v>gp</v>
      </c>
    </row>
    <row r="32" spans="3:6" x14ac:dyDescent="0.25">
      <c r="C32">
        <v>2</v>
      </c>
      <c r="D32">
        <v>0</v>
      </c>
      <c r="E32" t="str">
        <f t="shared" si="0"/>
        <v>2,0</v>
      </c>
      <c r="F32" t="str">
        <f t="shared" si="1"/>
        <v>gp</v>
      </c>
    </row>
    <row r="33" spans="3:14" x14ac:dyDescent="0.25">
      <c r="C33">
        <v>3</v>
      </c>
      <c r="D33">
        <v>0</v>
      </c>
      <c r="E33" t="str">
        <f t="shared" si="0"/>
        <v>3,0</v>
      </c>
      <c r="F33" t="str">
        <f t="shared" si="1"/>
        <v>gp</v>
      </c>
    </row>
    <row r="34" spans="3:14" x14ac:dyDescent="0.25">
      <c r="C34">
        <v>4</v>
      </c>
      <c r="D34">
        <v>0</v>
      </c>
      <c r="E34" t="str">
        <f t="shared" si="0"/>
        <v>4,0</v>
      </c>
      <c r="F34" t="str">
        <f t="shared" si="1"/>
        <v>gp</v>
      </c>
    </row>
    <row r="35" spans="3:14" x14ac:dyDescent="0.25">
      <c r="C35">
        <v>0</v>
      </c>
      <c r="D35">
        <v>0</v>
      </c>
      <c r="E35" t="str">
        <f t="shared" si="0"/>
        <v>0,0</v>
      </c>
      <c r="F35" t="str">
        <f t="shared" si="1"/>
        <v>mn 0</v>
      </c>
      <c r="I35" s="4" t="e">
        <f>I33/$N$33</f>
        <v>#DIV/0!</v>
      </c>
      <c r="J35" s="4" t="e">
        <f t="shared" ref="J35:M35" si="2">J33/$N$33</f>
        <v>#DIV/0!</v>
      </c>
      <c r="K35" s="4" t="e">
        <f t="shared" si="2"/>
        <v>#DIV/0!</v>
      </c>
      <c r="L35" s="4"/>
      <c r="M35" s="4" t="e">
        <f t="shared" si="2"/>
        <v>#DIV/0!</v>
      </c>
      <c r="N35" s="4" t="e">
        <f>SUM(I35:M35)</f>
        <v>#DIV/0!</v>
      </c>
    </row>
    <row r="36" spans="3:14" x14ac:dyDescent="0.25">
      <c r="C36">
        <v>0</v>
      </c>
      <c r="D36">
        <v>0</v>
      </c>
      <c r="E36" t="str">
        <f t="shared" si="0"/>
        <v>0,0</v>
      </c>
      <c r="F36" t="str">
        <f t="shared" si="1"/>
        <v>mn 0</v>
      </c>
    </row>
    <row r="37" spans="3:14" x14ac:dyDescent="0.25">
      <c r="C37">
        <v>1</v>
      </c>
      <c r="D37">
        <v>1</v>
      </c>
      <c r="E37" t="str">
        <f t="shared" si="0"/>
        <v>1,1</v>
      </c>
      <c r="F37" t="str">
        <f t="shared" si="1"/>
        <v>mn 1</v>
      </c>
    </row>
    <row r="38" spans="3:14" x14ac:dyDescent="0.25">
      <c r="C38">
        <v>1</v>
      </c>
      <c r="D38">
        <v>1</v>
      </c>
      <c r="E38" t="str">
        <f t="shared" si="0"/>
        <v>1,1</v>
      </c>
      <c r="F38" t="str">
        <f t="shared" si="1"/>
        <v>mn 1</v>
      </c>
    </row>
    <row r="39" spans="3:14" x14ac:dyDescent="0.25">
      <c r="C39">
        <v>1</v>
      </c>
      <c r="D39">
        <v>3</v>
      </c>
      <c r="E39" t="str">
        <f t="shared" si="0"/>
        <v>1,3</v>
      </c>
      <c r="F39" t="str">
        <f t="shared" si="1"/>
        <v>gp</v>
      </c>
    </row>
    <row r="40" spans="3:14" x14ac:dyDescent="0.25">
      <c r="C40">
        <v>2</v>
      </c>
      <c r="D40">
        <v>2</v>
      </c>
      <c r="E40" t="str">
        <f t="shared" si="0"/>
        <v>2,2</v>
      </c>
      <c r="F40" t="str">
        <f t="shared" si="1"/>
        <v>mn 2</v>
      </c>
    </row>
    <row r="41" spans="3:14" x14ac:dyDescent="0.25">
      <c r="C41">
        <v>1</v>
      </c>
      <c r="D41">
        <v>0</v>
      </c>
      <c r="E41" t="str">
        <f t="shared" si="0"/>
        <v>1,0</v>
      </c>
      <c r="F41" t="str">
        <f t="shared" si="1"/>
        <v>gp</v>
      </c>
    </row>
    <row r="42" spans="3:14" x14ac:dyDescent="0.25">
      <c r="C42">
        <v>4</v>
      </c>
      <c r="D42">
        <v>1</v>
      </c>
      <c r="E42" t="str">
        <f t="shared" si="0"/>
        <v>4,1</v>
      </c>
      <c r="F42" t="str">
        <f t="shared" si="1"/>
        <v>gp</v>
      </c>
    </row>
    <row r="43" spans="3:14" x14ac:dyDescent="0.25">
      <c r="C43">
        <v>0</v>
      </c>
      <c r="D43">
        <v>3</v>
      </c>
      <c r="E43" t="str">
        <f t="shared" si="0"/>
        <v>0,3</v>
      </c>
      <c r="F43" t="str">
        <f t="shared" si="1"/>
        <v>gp</v>
      </c>
    </row>
    <row r="44" spans="3:14" x14ac:dyDescent="0.25">
      <c r="C44">
        <v>1</v>
      </c>
      <c r="D44">
        <v>0</v>
      </c>
      <c r="E44" t="str">
        <f t="shared" si="0"/>
        <v>1,0</v>
      </c>
      <c r="F44" t="str">
        <f t="shared" si="1"/>
        <v>gp</v>
      </c>
    </row>
    <row r="45" spans="3:14" x14ac:dyDescent="0.25">
      <c r="C45">
        <v>1</v>
      </c>
      <c r="D45">
        <v>1</v>
      </c>
      <c r="E45" t="str">
        <f t="shared" si="0"/>
        <v>1,1</v>
      </c>
      <c r="F45" t="str">
        <f t="shared" si="1"/>
        <v>mn 1</v>
      </c>
    </row>
    <row r="46" spans="3:14" x14ac:dyDescent="0.25">
      <c r="C46">
        <v>1</v>
      </c>
      <c r="D46">
        <v>2</v>
      </c>
      <c r="E46" t="str">
        <f t="shared" si="0"/>
        <v>1,2</v>
      </c>
      <c r="F46" t="str">
        <f t="shared" si="1"/>
        <v>gp</v>
      </c>
    </row>
    <row r="47" spans="3:14" x14ac:dyDescent="0.25">
      <c r="C47">
        <v>1</v>
      </c>
      <c r="D47">
        <v>2</v>
      </c>
      <c r="E47" t="str">
        <f t="shared" si="0"/>
        <v>1,2</v>
      </c>
      <c r="F47" t="str">
        <f t="shared" si="1"/>
        <v>gp</v>
      </c>
    </row>
    <row r="48" spans="3:14" x14ac:dyDescent="0.25">
      <c r="C48">
        <v>1</v>
      </c>
      <c r="D48">
        <v>1</v>
      </c>
      <c r="E48" t="str">
        <f t="shared" si="0"/>
        <v>1,1</v>
      </c>
      <c r="F48" t="str">
        <f t="shared" si="1"/>
        <v>mn 1</v>
      </c>
    </row>
    <row r="49" spans="3:6" x14ac:dyDescent="0.25">
      <c r="C49">
        <v>1</v>
      </c>
      <c r="D49">
        <v>0</v>
      </c>
      <c r="E49" t="str">
        <f t="shared" si="0"/>
        <v>1,0</v>
      </c>
      <c r="F49" t="str">
        <f t="shared" si="1"/>
        <v>gp</v>
      </c>
    </row>
    <row r="50" spans="3:6" x14ac:dyDescent="0.25">
      <c r="C50">
        <v>2</v>
      </c>
      <c r="D50">
        <v>1</v>
      </c>
      <c r="E50" t="str">
        <f t="shared" si="0"/>
        <v>2,1</v>
      </c>
      <c r="F50" t="str">
        <f t="shared" si="1"/>
        <v>gp</v>
      </c>
    </row>
    <row r="51" spans="3:6" x14ac:dyDescent="0.25">
      <c r="C51">
        <v>1</v>
      </c>
      <c r="D51">
        <v>2</v>
      </c>
      <c r="E51" t="str">
        <f t="shared" si="0"/>
        <v>1,2</v>
      </c>
      <c r="F51" t="str">
        <f t="shared" si="1"/>
        <v>gp</v>
      </c>
    </row>
    <row r="52" spans="3:6" x14ac:dyDescent="0.25">
      <c r="C52">
        <v>3</v>
      </c>
      <c r="D52">
        <v>1</v>
      </c>
      <c r="E52" t="str">
        <f t="shared" si="0"/>
        <v>3,1</v>
      </c>
      <c r="F52" t="str">
        <f t="shared" si="1"/>
        <v>gp</v>
      </c>
    </row>
    <row r="53" spans="3:6" x14ac:dyDescent="0.25">
      <c r="C53">
        <v>1</v>
      </c>
      <c r="D53">
        <v>2</v>
      </c>
      <c r="E53" t="str">
        <f t="shared" si="0"/>
        <v>1,2</v>
      </c>
      <c r="F53" t="str">
        <f t="shared" si="1"/>
        <v>gp</v>
      </c>
    </row>
    <row r="54" spans="3:6" x14ac:dyDescent="0.25">
      <c r="C54">
        <v>2</v>
      </c>
      <c r="D54">
        <v>3</v>
      </c>
      <c r="E54" t="str">
        <f t="shared" si="0"/>
        <v>2,3</v>
      </c>
      <c r="F54" t="str">
        <f t="shared" si="1"/>
        <v>gp</v>
      </c>
    </row>
    <row r="55" spans="3:6" x14ac:dyDescent="0.25">
      <c r="C55">
        <v>2</v>
      </c>
      <c r="D55">
        <v>5</v>
      </c>
      <c r="E55" t="str">
        <f t="shared" si="0"/>
        <v>2,5</v>
      </c>
      <c r="F55" t="str">
        <f t="shared" si="1"/>
        <v>gp</v>
      </c>
    </row>
    <row r="56" spans="3:6" x14ac:dyDescent="0.25">
      <c r="C56">
        <v>2</v>
      </c>
      <c r="D56">
        <v>2</v>
      </c>
      <c r="E56" t="str">
        <f t="shared" si="0"/>
        <v>2,2</v>
      </c>
      <c r="F56" t="str">
        <f t="shared" si="1"/>
        <v>mn 2</v>
      </c>
    </row>
    <row r="57" spans="3:6" x14ac:dyDescent="0.25">
      <c r="C57">
        <v>2</v>
      </c>
      <c r="D57">
        <v>0</v>
      </c>
      <c r="E57" t="str">
        <f t="shared" si="0"/>
        <v>2,0</v>
      </c>
      <c r="F57" t="str">
        <f t="shared" si="1"/>
        <v>gp</v>
      </c>
    </row>
    <row r="58" spans="3:6" x14ac:dyDescent="0.25">
      <c r="C58">
        <v>1</v>
      </c>
      <c r="D58">
        <v>0</v>
      </c>
      <c r="E58" t="str">
        <f t="shared" si="0"/>
        <v>1,0</v>
      </c>
      <c r="F58" t="str">
        <f t="shared" si="1"/>
        <v>gp</v>
      </c>
    </row>
    <row r="59" spans="3:6" x14ac:dyDescent="0.25">
      <c r="C59">
        <v>1</v>
      </c>
      <c r="D59">
        <v>1</v>
      </c>
      <c r="E59" t="str">
        <f t="shared" si="0"/>
        <v>1,1</v>
      </c>
      <c r="F59" t="str">
        <f t="shared" si="1"/>
        <v>mn 1</v>
      </c>
    </row>
    <row r="60" spans="3:6" x14ac:dyDescent="0.25">
      <c r="C60">
        <v>1</v>
      </c>
      <c r="D60">
        <v>2</v>
      </c>
      <c r="E60" t="str">
        <f t="shared" si="0"/>
        <v>1,2</v>
      </c>
      <c r="F60" t="str">
        <f t="shared" si="1"/>
        <v>gp</v>
      </c>
    </row>
    <row r="61" spans="3:6" x14ac:dyDescent="0.25">
      <c r="C61">
        <v>4</v>
      </c>
      <c r="D61">
        <v>1</v>
      </c>
      <c r="E61" t="str">
        <f t="shared" si="0"/>
        <v>4,1</v>
      </c>
      <c r="F61" t="str">
        <f t="shared" si="1"/>
        <v>gp</v>
      </c>
    </row>
    <row r="62" spans="3:6" x14ac:dyDescent="0.25">
      <c r="C62">
        <v>3</v>
      </c>
      <c r="D62">
        <v>0</v>
      </c>
      <c r="E62" t="str">
        <f t="shared" si="0"/>
        <v>3,0</v>
      </c>
      <c r="F62" t="str">
        <f t="shared" si="1"/>
        <v>gp</v>
      </c>
    </row>
    <row r="63" spans="3:6" x14ac:dyDescent="0.25">
      <c r="C63">
        <v>2</v>
      </c>
      <c r="D63">
        <v>2</v>
      </c>
      <c r="E63" t="str">
        <f t="shared" si="0"/>
        <v>2,2</v>
      </c>
      <c r="F63" t="str">
        <f t="shared" si="1"/>
        <v>mn 2</v>
      </c>
    </row>
    <row r="64" spans="3:6" x14ac:dyDescent="0.25">
      <c r="C64">
        <v>3</v>
      </c>
      <c r="D64">
        <v>2</v>
      </c>
      <c r="E64" t="str">
        <f t="shared" si="0"/>
        <v>3,2</v>
      </c>
      <c r="F64" t="str">
        <f t="shared" si="1"/>
        <v>gp</v>
      </c>
    </row>
    <row r="65" spans="3:6" x14ac:dyDescent="0.25">
      <c r="C65">
        <v>1</v>
      </c>
      <c r="D65">
        <v>3</v>
      </c>
      <c r="E65" t="str">
        <f t="shared" si="0"/>
        <v>1,3</v>
      </c>
      <c r="F65" t="str">
        <f t="shared" si="1"/>
        <v>gp</v>
      </c>
    </row>
    <row r="66" spans="3:6" x14ac:dyDescent="0.25">
      <c r="C66">
        <v>2</v>
      </c>
      <c r="D66">
        <v>2</v>
      </c>
      <c r="E66" t="str">
        <f t="shared" si="0"/>
        <v>2,2</v>
      </c>
      <c r="F66" t="str">
        <f t="shared" si="1"/>
        <v>mn 2</v>
      </c>
    </row>
    <row r="67" spans="3:6" x14ac:dyDescent="0.25">
      <c r="C67">
        <v>0</v>
      </c>
      <c r="D67">
        <v>0</v>
      </c>
      <c r="E67" t="str">
        <f t="shared" ref="E67:E130" si="3">C67&amp;","&amp;D67</f>
        <v>0,0</v>
      </c>
      <c r="F67" t="str">
        <f t="shared" ref="F67:F130" si="4">IF(C67=D67,"mn "&amp;C67,"gp")</f>
        <v>mn 0</v>
      </c>
    </row>
    <row r="68" spans="3:6" x14ac:dyDescent="0.25">
      <c r="C68">
        <v>0</v>
      </c>
      <c r="D68">
        <v>3</v>
      </c>
      <c r="E68" t="str">
        <f t="shared" si="3"/>
        <v>0,3</v>
      </c>
      <c r="F68" t="str">
        <f t="shared" si="4"/>
        <v>gp</v>
      </c>
    </row>
    <row r="69" spans="3:6" x14ac:dyDescent="0.25">
      <c r="C69">
        <v>2</v>
      </c>
      <c r="D69">
        <v>2</v>
      </c>
      <c r="E69" t="str">
        <f t="shared" si="3"/>
        <v>2,2</v>
      </c>
      <c r="F69" t="str">
        <f t="shared" si="4"/>
        <v>mn 2</v>
      </c>
    </row>
    <row r="70" spans="3:6" x14ac:dyDescent="0.25">
      <c r="C70">
        <v>2</v>
      </c>
      <c r="D70">
        <v>0</v>
      </c>
      <c r="E70" t="str">
        <f t="shared" si="3"/>
        <v>2,0</v>
      </c>
      <c r="F70" t="str">
        <f t="shared" si="4"/>
        <v>gp</v>
      </c>
    </row>
    <row r="71" spans="3:6" x14ac:dyDescent="0.25">
      <c r="C71">
        <v>1</v>
      </c>
      <c r="D71">
        <v>0</v>
      </c>
      <c r="E71" t="str">
        <f t="shared" si="3"/>
        <v>1,0</v>
      </c>
      <c r="F71" t="str">
        <f t="shared" si="4"/>
        <v>gp</v>
      </c>
    </row>
    <row r="72" spans="3:6" x14ac:dyDescent="0.25">
      <c r="C72">
        <v>1</v>
      </c>
      <c r="D72">
        <v>0</v>
      </c>
      <c r="E72" t="str">
        <f t="shared" si="3"/>
        <v>1,0</v>
      </c>
      <c r="F72" t="str">
        <f t="shared" si="4"/>
        <v>gp</v>
      </c>
    </row>
    <row r="73" spans="3:6" x14ac:dyDescent="0.25">
      <c r="C73">
        <v>4</v>
      </c>
      <c r="D73">
        <v>2</v>
      </c>
      <c r="E73" t="str">
        <f t="shared" si="3"/>
        <v>4,2</v>
      </c>
      <c r="F73" t="str">
        <f t="shared" si="4"/>
        <v>gp</v>
      </c>
    </row>
    <row r="74" spans="3:6" x14ac:dyDescent="0.25">
      <c r="C74">
        <v>1</v>
      </c>
      <c r="D74">
        <v>0</v>
      </c>
      <c r="E74" t="str">
        <f t="shared" si="3"/>
        <v>1,0</v>
      </c>
      <c r="F74" t="str">
        <f t="shared" si="4"/>
        <v>gp</v>
      </c>
    </row>
    <row r="75" spans="3:6" x14ac:dyDescent="0.25">
      <c r="C75">
        <v>2</v>
      </c>
      <c r="D75">
        <v>1</v>
      </c>
      <c r="E75" t="str">
        <f t="shared" si="3"/>
        <v>2,1</v>
      </c>
      <c r="F75" t="str">
        <f t="shared" si="4"/>
        <v>gp</v>
      </c>
    </row>
    <row r="76" spans="3:6" x14ac:dyDescent="0.25">
      <c r="C76">
        <v>2</v>
      </c>
      <c r="D76">
        <v>4</v>
      </c>
      <c r="E76" t="str">
        <f t="shared" si="3"/>
        <v>2,4</v>
      </c>
      <c r="F76" t="str">
        <f t="shared" si="4"/>
        <v>gp</v>
      </c>
    </row>
    <row r="77" spans="3:6" x14ac:dyDescent="0.25">
      <c r="C77">
        <v>1</v>
      </c>
      <c r="D77">
        <v>2</v>
      </c>
      <c r="E77" t="str">
        <f t="shared" si="3"/>
        <v>1,2</v>
      </c>
      <c r="F77" t="str">
        <f t="shared" si="4"/>
        <v>gp</v>
      </c>
    </row>
    <row r="78" spans="3:6" x14ac:dyDescent="0.25">
      <c r="C78">
        <v>4</v>
      </c>
      <c r="D78">
        <v>1</v>
      </c>
      <c r="E78" t="str">
        <f t="shared" si="3"/>
        <v>4,1</v>
      </c>
      <c r="F78" t="str">
        <f t="shared" si="4"/>
        <v>gp</v>
      </c>
    </row>
    <row r="79" spans="3:6" x14ac:dyDescent="0.25">
      <c r="C79">
        <v>1</v>
      </c>
      <c r="D79">
        <v>1</v>
      </c>
      <c r="E79" t="str">
        <f t="shared" si="3"/>
        <v>1,1</v>
      </c>
      <c r="F79" t="str">
        <f t="shared" si="4"/>
        <v>mn 1</v>
      </c>
    </row>
    <row r="80" spans="3:6" x14ac:dyDescent="0.25">
      <c r="C80">
        <v>1</v>
      </c>
      <c r="D80">
        <v>1</v>
      </c>
      <c r="E80" t="str">
        <f t="shared" si="3"/>
        <v>1,1</v>
      </c>
      <c r="F80" t="str">
        <f t="shared" si="4"/>
        <v>mn 1</v>
      </c>
    </row>
    <row r="81" spans="3:6" x14ac:dyDescent="0.25">
      <c r="C81">
        <v>1</v>
      </c>
      <c r="D81">
        <v>0</v>
      </c>
      <c r="E81" t="str">
        <f t="shared" si="3"/>
        <v>1,0</v>
      </c>
      <c r="F81" t="str">
        <f t="shared" si="4"/>
        <v>gp</v>
      </c>
    </row>
    <row r="82" spans="3:6" x14ac:dyDescent="0.25">
      <c r="C82">
        <v>1</v>
      </c>
      <c r="D82">
        <v>1</v>
      </c>
      <c r="E82" t="str">
        <f t="shared" si="3"/>
        <v>1,1</v>
      </c>
      <c r="F82" t="str">
        <f t="shared" si="4"/>
        <v>mn 1</v>
      </c>
    </row>
    <row r="83" spans="3:6" x14ac:dyDescent="0.25">
      <c r="C83">
        <v>1</v>
      </c>
      <c r="D83">
        <v>0</v>
      </c>
      <c r="E83" t="str">
        <f t="shared" si="3"/>
        <v>1,0</v>
      </c>
      <c r="F83" t="str">
        <f t="shared" si="4"/>
        <v>gp</v>
      </c>
    </row>
    <row r="84" spans="3:6" x14ac:dyDescent="0.25">
      <c r="C84">
        <v>3</v>
      </c>
      <c r="D84">
        <v>3</v>
      </c>
      <c r="E84" t="str">
        <f t="shared" si="3"/>
        <v>3,3</v>
      </c>
      <c r="F84" t="str">
        <f t="shared" si="4"/>
        <v>mn 3</v>
      </c>
    </row>
    <row r="85" spans="3:6" x14ac:dyDescent="0.25">
      <c r="C85">
        <v>0</v>
      </c>
      <c r="D85">
        <v>0</v>
      </c>
      <c r="E85" t="str">
        <f t="shared" si="3"/>
        <v>0,0</v>
      </c>
      <c r="F85" t="str">
        <f t="shared" si="4"/>
        <v>mn 0</v>
      </c>
    </row>
    <row r="86" spans="3:6" x14ac:dyDescent="0.25">
      <c r="C86">
        <v>2</v>
      </c>
      <c r="D86">
        <v>1</v>
      </c>
      <c r="E86" t="str">
        <f t="shared" si="3"/>
        <v>2,1</v>
      </c>
      <c r="F86" t="str">
        <f t="shared" si="4"/>
        <v>gp</v>
      </c>
    </row>
    <row r="87" spans="3:6" x14ac:dyDescent="0.25">
      <c r="C87">
        <v>2</v>
      </c>
      <c r="D87">
        <v>3</v>
      </c>
      <c r="E87" t="str">
        <f t="shared" si="3"/>
        <v>2,3</v>
      </c>
      <c r="F87" t="str">
        <f t="shared" si="4"/>
        <v>gp</v>
      </c>
    </row>
    <row r="88" spans="3:6" x14ac:dyDescent="0.25">
      <c r="C88">
        <v>2</v>
      </c>
      <c r="D88">
        <v>2</v>
      </c>
      <c r="E88" t="str">
        <f t="shared" si="3"/>
        <v>2,2</v>
      </c>
      <c r="F88" t="str">
        <f t="shared" si="4"/>
        <v>mn 2</v>
      </c>
    </row>
    <row r="89" spans="3:6" x14ac:dyDescent="0.25">
      <c r="C89">
        <v>2</v>
      </c>
      <c r="D89">
        <v>1</v>
      </c>
      <c r="E89" t="str">
        <f t="shared" si="3"/>
        <v>2,1</v>
      </c>
      <c r="F89" t="str">
        <f t="shared" si="4"/>
        <v>gp</v>
      </c>
    </row>
    <row r="90" spans="3:6" x14ac:dyDescent="0.25">
      <c r="C90">
        <v>1</v>
      </c>
      <c r="D90">
        <v>2</v>
      </c>
      <c r="E90" t="str">
        <f t="shared" si="3"/>
        <v>1,2</v>
      </c>
      <c r="F90" t="str">
        <f t="shared" si="4"/>
        <v>gp</v>
      </c>
    </row>
    <row r="91" spans="3:6" x14ac:dyDescent="0.25">
      <c r="C91">
        <v>2</v>
      </c>
      <c r="D91">
        <v>2</v>
      </c>
      <c r="E91" t="str">
        <f t="shared" si="3"/>
        <v>2,2</v>
      </c>
      <c r="F91" t="str">
        <f t="shared" si="4"/>
        <v>mn 2</v>
      </c>
    </row>
    <row r="92" spans="3:6" x14ac:dyDescent="0.25">
      <c r="C92">
        <v>2</v>
      </c>
      <c r="D92">
        <v>1</v>
      </c>
      <c r="E92" t="str">
        <f t="shared" si="3"/>
        <v>2,1</v>
      </c>
      <c r="F92" t="str">
        <f t="shared" si="4"/>
        <v>gp</v>
      </c>
    </row>
    <row r="93" spans="3:6" x14ac:dyDescent="0.25">
      <c r="C93">
        <v>1</v>
      </c>
      <c r="D93">
        <v>0</v>
      </c>
      <c r="E93" t="str">
        <f t="shared" si="3"/>
        <v>1,0</v>
      </c>
      <c r="F93" t="str">
        <f t="shared" si="4"/>
        <v>gp</v>
      </c>
    </row>
    <row r="94" spans="3:6" x14ac:dyDescent="0.25">
      <c r="C94">
        <v>0</v>
      </c>
      <c r="D94">
        <v>1</v>
      </c>
      <c r="E94" t="str">
        <f t="shared" si="3"/>
        <v>0,1</v>
      </c>
      <c r="F94" t="str">
        <f t="shared" si="4"/>
        <v>gp</v>
      </c>
    </row>
    <row r="95" spans="3:6" x14ac:dyDescent="0.25">
      <c r="C95">
        <v>1</v>
      </c>
      <c r="D95">
        <v>1</v>
      </c>
      <c r="E95" t="str">
        <f t="shared" si="3"/>
        <v>1,1</v>
      </c>
      <c r="F95" t="str">
        <f t="shared" si="4"/>
        <v>mn 1</v>
      </c>
    </row>
    <row r="96" spans="3:6" x14ac:dyDescent="0.25">
      <c r="C96">
        <v>0</v>
      </c>
      <c r="D96">
        <v>1</v>
      </c>
      <c r="E96" t="str">
        <f t="shared" si="3"/>
        <v>0,1</v>
      </c>
      <c r="F96" t="str">
        <f t="shared" si="4"/>
        <v>gp</v>
      </c>
    </row>
    <row r="97" spans="3:6" x14ac:dyDescent="0.25">
      <c r="C97">
        <v>0</v>
      </c>
      <c r="D97">
        <v>0</v>
      </c>
      <c r="E97" t="str">
        <f t="shared" si="3"/>
        <v>0,0</v>
      </c>
      <c r="F97" t="str">
        <f t="shared" si="4"/>
        <v>mn 0</v>
      </c>
    </row>
    <row r="98" spans="3:6" x14ac:dyDescent="0.25">
      <c r="C98">
        <v>1</v>
      </c>
      <c r="D98">
        <v>1</v>
      </c>
      <c r="E98" t="str">
        <f t="shared" si="3"/>
        <v>1,1</v>
      </c>
      <c r="F98" t="str">
        <f t="shared" si="4"/>
        <v>mn 1</v>
      </c>
    </row>
    <row r="99" spans="3:6" x14ac:dyDescent="0.25">
      <c r="C99">
        <v>1</v>
      </c>
      <c r="D99">
        <v>1</v>
      </c>
      <c r="E99" t="str">
        <f t="shared" si="3"/>
        <v>1,1</v>
      </c>
      <c r="F99" t="str">
        <f t="shared" si="4"/>
        <v>mn 1</v>
      </c>
    </row>
    <row r="100" spans="3:6" x14ac:dyDescent="0.25">
      <c r="C100">
        <v>2</v>
      </c>
      <c r="D100">
        <v>0</v>
      </c>
      <c r="E100" t="str">
        <f t="shared" si="3"/>
        <v>2,0</v>
      </c>
      <c r="F100" t="str">
        <f t="shared" si="4"/>
        <v>gp</v>
      </c>
    </row>
    <row r="101" spans="3:6" x14ac:dyDescent="0.25">
      <c r="C101">
        <v>3</v>
      </c>
      <c r="D101">
        <v>3</v>
      </c>
      <c r="E101" t="str">
        <f t="shared" si="3"/>
        <v>3,3</v>
      </c>
      <c r="F101" t="str">
        <f t="shared" si="4"/>
        <v>mn 3</v>
      </c>
    </row>
    <row r="102" spans="3:6" x14ac:dyDescent="0.25">
      <c r="C102">
        <v>2</v>
      </c>
      <c r="D102">
        <v>3</v>
      </c>
      <c r="E102" t="str">
        <f t="shared" si="3"/>
        <v>2,3</v>
      </c>
      <c r="F102" t="str">
        <f t="shared" si="4"/>
        <v>gp</v>
      </c>
    </row>
    <row r="103" spans="3:6" x14ac:dyDescent="0.25">
      <c r="C103">
        <v>2</v>
      </c>
      <c r="D103">
        <v>1</v>
      </c>
      <c r="E103" t="str">
        <f t="shared" si="3"/>
        <v>2,1</v>
      </c>
      <c r="F103" t="str">
        <f t="shared" si="4"/>
        <v>gp</v>
      </c>
    </row>
    <row r="104" spans="3:6" x14ac:dyDescent="0.25">
      <c r="C104">
        <v>0</v>
      </c>
      <c r="D104">
        <v>0</v>
      </c>
      <c r="E104" t="str">
        <f t="shared" si="3"/>
        <v>0,0</v>
      </c>
      <c r="F104" t="str">
        <f t="shared" si="4"/>
        <v>mn 0</v>
      </c>
    </row>
    <row r="105" spans="3:6" x14ac:dyDescent="0.25">
      <c r="C105">
        <v>1</v>
      </c>
      <c r="D105">
        <v>1</v>
      </c>
      <c r="E105" t="str">
        <f t="shared" si="3"/>
        <v>1,1</v>
      </c>
      <c r="F105" t="str">
        <f t="shared" si="4"/>
        <v>mn 1</v>
      </c>
    </row>
    <row r="106" spans="3:6" x14ac:dyDescent="0.25">
      <c r="C106">
        <v>1</v>
      </c>
      <c r="D106">
        <v>0</v>
      </c>
      <c r="E106" t="str">
        <f t="shared" si="3"/>
        <v>1,0</v>
      </c>
      <c r="F106" t="str">
        <f t="shared" si="4"/>
        <v>gp</v>
      </c>
    </row>
    <row r="107" spans="3:6" x14ac:dyDescent="0.25">
      <c r="C107">
        <v>1</v>
      </c>
      <c r="D107">
        <v>2</v>
      </c>
      <c r="E107" t="str">
        <f t="shared" si="3"/>
        <v>1,2</v>
      </c>
      <c r="F107" t="str">
        <f t="shared" si="4"/>
        <v>gp</v>
      </c>
    </row>
    <row r="108" spans="3:6" x14ac:dyDescent="0.25">
      <c r="C108">
        <v>1</v>
      </c>
      <c r="D108">
        <v>1</v>
      </c>
      <c r="E108" t="str">
        <f t="shared" si="3"/>
        <v>1,1</v>
      </c>
      <c r="F108" t="str">
        <f t="shared" si="4"/>
        <v>mn 1</v>
      </c>
    </row>
    <row r="109" spans="3:6" x14ac:dyDescent="0.25">
      <c r="C109">
        <v>2</v>
      </c>
      <c r="D109">
        <v>1</v>
      </c>
      <c r="E109" t="str">
        <f t="shared" si="3"/>
        <v>2,1</v>
      </c>
      <c r="F109" t="str">
        <f t="shared" si="4"/>
        <v>gp</v>
      </c>
    </row>
    <row r="110" spans="3:6" x14ac:dyDescent="0.25">
      <c r="C110">
        <v>0</v>
      </c>
      <c r="D110">
        <v>1</v>
      </c>
      <c r="E110" t="str">
        <f t="shared" si="3"/>
        <v>0,1</v>
      </c>
      <c r="F110" t="str">
        <f t="shared" si="4"/>
        <v>gp</v>
      </c>
    </row>
    <row r="111" spans="3:6" x14ac:dyDescent="0.25">
      <c r="C111">
        <v>5</v>
      </c>
      <c r="D111">
        <v>2</v>
      </c>
      <c r="E111" t="str">
        <f t="shared" si="3"/>
        <v>5,2</v>
      </c>
      <c r="F111" t="str">
        <f t="shared" si="4"/>
        <v>gp</v>
      </c>
    </row>
    <row r="112" spans="3:6" x14ac:dyDescent="0.25">
      <c r="C112">
        <v>3</v>
      </c>
      <c r="D112">
        <v>0</v>
      </c>
      <c r="E112" t="str">
        <f t="shared" si="3"/>
        <v>3,0</v>
      </c>
      <c r="F112" t="str">
        <f t="shared" si="4"/>
        <v>gp</v>
      </c>
    </row>
    <row r="113" spans="3:6" x14ac:dyDescent="0.25">
      <c r="C113">
        <v>5</v>
      </c>
      <c r="D113">
        <v>0</v>
      </c>
      <c r="E113" t="str">
        <f t="shared" si="3"/>
        <v>5,0</v>
      </c>
      <c r="F113" t="str">
        <f t="shared" si="4"/>
        <v>gp</v>
      </c>
    </row>
    <row r="114" spans="3:6" x14ac:dyDescent="0.25">
      <c r="C114">
        <v>1</v>
      </c>
      <c r="D114">
        <v>2</v>
      </c>
      <c r="E114" t="str">
        <f t="shared" si="3"/>
        <v>1,2</v>
      </c>
      <c r="F114" t="str">
        <f t="shared" si="4"/>
        <v>gp</v>
      </c>
    </row>
    <row r="115" spans="3:6" x14ac:dyDescent="0.25">
      <c r="C115">
        <v>1</v>
      </c>
      <c r="D115">
        <v>0</v>
      </c>
      <c r="E115" t="str">
        <f t="shared" si="3"/>
        <v>1,0</v>
      </c>
      <c r="F115" t="str">
        <f t="shared" si="4"/>
        <v>gp</v>
      </c>
    </row>
    <row r="116" spans="3:6" x14ac:dyDescent="0.25">
      <c r="C116">
        <v>1</v>
      </c>
      <c r="D116">
        <v>3</v>
      </c>
      <c r="E116" t="str">
        <f t="shared" si="3"/>
        <v>1,3</v>
      </c>
      <c r="F116" t="str">
        <f t="shared" si="4"/>
        <v>gp</v>
      </c>
    </row>
    <row r="117" spans="3:6" x14ac:dyDescent="0.25">
      <c r="C117">
        <v>2</v>
      </c>
      <c r="D117">
        <v>1</v>
      </c>
      <c r="E117" t="str">
        <f t="shared" si="3"/>
        <v>2,1</v>
      </c>
      <c r="F117" t="str">
        <f t="shared" si="4"/>
        <v>gp</v>
      </c>
    </row>
    <row r="118" spans="3:6" x14ac:dyDescent="0.25">
      <c r="C118">
        <v>2</v>
      </c>
      <c r="D118">
        <v>1</v>
      </c>
      <c r="E118" t="str">
        <f t="shared" si="3"/>
        <v>2,1</v>
      </c>
      <c r="F118" t="str">
        <f t="shared" si="4"/>
        <v>gp</v>
      </c>
    </row>
    <row r="119" spans="3:6" x14ac:dyDescent="0.25">
      <c r="C119">
        <v>1</v>
      </c>
      <c r="D119">
        <v>3</v>
      </c>
      <c r="E119" t="str">
        <f t="shared" si="3"/>
        <v>1,3</v>
      </c>
      <c r="F119" t="str">
        <f t="shared" si="4"/>
        <v>gp</v>
      </c>
    </row>
    <row r="120" spans="3:6" x14ac:dyDescent="0.25">
      <c r="C120">
        <v>1</v>
      </c>
      <c r="D120">
        <v>1</v>
      </c>
      <c r="E120" t="str">
        <f t="shared" si="3"/>
        <v>1,1</v>
      </c>
      <c r="F120" t="str">
        <f t="shared" si="4"/>
        <v>mn 1</v>
      </c>
    </row>
    <row r="121" spans="3:6" x14ac:dyDescent="0.25">
      <c r="C121">
        <v>0</v>
      </c>
      <c r="D121">
        <v>0</v>
      </c>
      <c r="E121" t="str">
        <f t="shared" si="3"/>
        <v>0,0</v>
      </c>
      <c r="F121" t="str">
        <f t="shared" si="4"/>
        <v>mn 0</v>
      </c>
    </row>
    <row r="122" spans="3:6" x14ac:dyDescent="0.25">
      <c r="C122">
        <v>1</v>
      </c>
      <c r="D122">
        <v>1</v>
      </c>
      <c r="E122" t="str">
        <f t="shared" si="3"/>
        <v>1,1</v>
      </c>
      <c r="F122" t="str">
        <f t="shared" si="4"/>
        <v>mn 1</v>
      </c>
    </row>
    <row r="123" spans="3:6" x14ac:dyDescent="0.25">
      <c r="C123">
        <v>3</v>
      </c>
      <c r="D123">
        <v>1</v>
      </c>
      <c r="E123" t="str">
        <f t="shared" si="3"/>
        <v>3,1</v>
      </c>
      <c r="F123" t="str">
        <f t="shared" si="4"/>
        <v>gp</v>
      </c>
    </row>
    <row r="124" spans="3:6" x14ac:dyDescent="0.25">
      <c r="C124">
        <v>1</v>
      </c>
      <c r="D124">
        <v>0</v>
      </c>
      <c r="E124" t="str">
        <f t="shared" si="3"/>
        <v>1,0</v>
      </c>
      <c r="F124" t="str">
        <f t="shared" si="4"/>
        <v>gp</v>
      </c>
    </row>
    <row r="125" spans="3:6" x14ac:dyDescent="0.25">
      <c r="C125">
        <v>2</v>
      </c>
      <c r="D125">
        <v>4</v>
      </c>
      <c r="E125" t="str">
        <f t="shared" si="3"/>
        <v>2,4</v>
      </c>
      <c r="F125" t="str">
        <f t="shared" si="4"/>
        <v>gp</v>
      </c>
    </row>
    <row r="126" spans="3:6" x14ac:dyDescent="0.25">
      <c r="C126">
        <v>3</v>
      </c>
      <c r="D126">
        <v>2</v>
      </c>
      <c r="E126" t="str">
        <f t="shared" si="3"/>
        <v>3,2</v>
      </c>
      <c r="F126" t="str">
        <f t="shared" si="4"/>
        <v>gp</v>
      </c>
    </row>
    <row r="127" spans="3:6" x14ac:dyDescent="0.25">
      <c r="C127">
        <v>0</v>
      </c>
      <c r="D127">
        <v>0</v>
      </c>
      <c r="E127" t="str">
        <f t="shared" si="3"/>
        <v>0,0</v>
      </c>
      <c r="F127" t="str">
        <f t="shared" si="4"/>
        <v>mn 0</v>
      </c>
    </row>
    <row r="128" spans="3:6" x14ac:dyDescent="0.25">
      <c r="C128">
        <v>2</v>
      </c>
      <c r="D128">
        <v>0</v>
      </c>
      <c r="E128" t="str">
        <f t="shared" si="3"/>
        <v>2,0</v>
      </c>
      <c r="F128" t="str">
        <f t="shared" si="4"/>
        <v>gp</v>
      </c>
    </row>
    <row r="129" spans="3:6" x14ac:dyDescent="0.25">
      <c r="C129">
        <v>0</v>
      </c>
      <c r="D129">
        <v>0</v>
      </c>
      <c r="E129" t="str">
        <f t="shared" si="3"/>
        <v>0,0</v>
      </c>
      <c r="F129" t="str">
        <f t="shared" si="4"/>
        <v>mn 0</v>
      </c>
    </row>
    <row r="130" spans="3:6" x14ac:dyDescent="0.25">
      <c r="C130">
        <v>3</v>
      </c>
      <c r="D130">
        <v>1</v>
      </c>
      <c r="E130" t="str">
        <f t="shared" si="3"/>
        <v>3,1</v>
      </c>
      <c r="F130" t="str">
        <f t="shared" si="4"/>
        <v>gp</v>
      </c>
    </row>
    <row r="131" spans="3:6" x14ac:dyDescent="0.25">
      <c r="C131">
        <v>1</v>
      </c>
      <c r="D131">
        <v>0</v>
      </c>
      <c r="E131" t="str">
        <f t="shared" ref="E131:E194" si="5">C131&amp;","&amp;D131</f>
        <v>1,0</v>
      </c>
      <c r="F131" t="str">
        <f t="shared" ref="F131:F194" si="6">IF(C131=D131,"mn "&amp;C131,"gp")</f>
        <v>gp</v>
      </c>
    </row>
    <row r="132" spans="3:6" x14ac:dyDescent="0.25">
      <c r="C132">
        <v>0</v>
      </c>
      <c r="D132">
        <v>0</v>
      </c>
      <c r="E132" t="str">
        <f t="shared" si="5"/>
        <v>0,0</v>
      </c>
      <c r="F132" t="str">
        <f t="shared" si="6"/>
        <v>mn 0</v>
      </c>
    </row>
    <row r="133" spans="3:6" x14ac:dyDescent="0.25">
      <c r="C133">
        <v>0</v>
      </c>
      <c r="D133">
        <v>0</v>
      </c>
      <c r="E133" t="str">
        <f t="shared" si="5"/>
        <v>0,0</v>
      </c>
      <c r="F133" t="str">
        <f t="shared" si="6"/>
        <v>mn 0</v>
      </c>
    </row>
    <row r="134" spans="3:6" x14ac:dyDescent="0.25">
      <c r="C134">
        <v>1</v>
      </c>
      <c r="D134">
        <v>1</v>
      </c>
      <c r="E134" t="str">
        <f t="shared" si="5"/>
        <v>1,1</v>
      </c>
      <c r="F134" t="str">
        <f t="shared" si="6"/>
        <v>mn 1</v>
      </c>
    </row>
    <row r="135" spans="3:6" x14ac:dyDescent="0.25">
      <c r="C135">
        <v>1</v>
      </c>
      <c r="D135">
        <v>0</v>
      </c>
      <c r="E135" t="str">
        <f t="shared" si="5"/>
        <v>1,0</v>
      </c>
      <c r="F135" t="str">
        <f t="shared" si="6"/>
        <v>gp</v>
      </c>
    </row>
    <row r="136" spans="3:6" x14ac:dyDescent="0.25">
      <c r="C136">
        <v>1</v>
      </c>
      <c r="D136">
        <v>1</v>
      </c>
      <c r="E136" t="str">
        <f t="shared" si="5"/>
        <v>1,1</v>
      </c>
      <c r="F136" t="str">
        <f t="shared" si="6"/>
        <v>mn 1</v>
      </c>
    </row>
    <row r="137" spans="3:6" x14ac:dyDescent="0.25">
      <c r="C137">
        <v>2</v>
      </c>
      <c r="D137">
        <v>1</v>
      </c>
      <c r="E137" t="str">
        <f t="shared" si="5"/>
        <v>2,1</v>
      </c>
      <c r="F137" t="str">
        <f t="shared" si="6"/>
        <v>gp</v>
      </c>
    </row>
    <row r="138" spans="3:6" x14ac:dyDescent="0.25">
      <c r="C138">
        <v>3</v>
      </c>
      <c r="D138">
        <v>1</v>
      </c>
      <c r="E138" t="str">
        <f t="shared" si="5"/>
        <v>3,1</v>
      </c>
      <c r="F138" t="str">
        <f t="shared" si="6"/>
        <v>gp</v>
      </c>
    </row>
    <row r="139" spans="3:6" x14ac:dyDescent="0.25">
      <c r="C139">
        <v>2</v>
      </c>
      <c r="D139">
        <v>1</v>
      </c>
      <c r="E139" t="str">
        <f t="shared" si="5"/>
        <v>2,1</v>
      </c>
      <c r="F139" t="str">
        <f t="shared" si="6"/>
        <v>gp</v>
      </c>
    </row>
    <row r="140" spans="3:6" x14ac:dyDescent="0.25">
      <c r="C140">
        <v>0</v>
      </c>
      <c r="D140">
        <v>2</v>
      </c>
      <c r="E140" t="str">
        <f t="shared" si="5"/>
        <v>0,2</v>
      </c>
      <c r="F140" t="str">
        <f t="shared" si="6"/>
        <v>gp</v>
      </c>
    </row>
    <row r="141" spans="3:6" x14ac:dyDescent="0.25">
      <c r="C141">
        <v>0</v>
      </c>
      <c r="D141">
        <v>2</v>
      </c>
      <c r="E141" t="str">
        <f t="shared" si="5"/>
        <v>0,2</v>
      </c>
      <c r="F141" t="str">
        <f t="shared" si="6"/>
        <v>gp</v>
      </c>
    </row>
    <row r="142" spans="3:6" x14ac:dyDescent="0.25">
      <c r="C142">
        <v>0</v>
      </c>
      <c r="D142">
        <v>3</v>
      </c>
      <c r="E142" t="str">
        <f t="shared" si="5"/>
        <v>0,3</v>
      </c>
      <c r="F142" t="str">
        <f t="shared" si="6"/>
        <v>gp</v>
      </c>
    </row>
    <row r="143" spans="3:6" x14ac:dyDescent="0.25">
      <c r="C143">
        <v>1</v>
      </c>
      <c r="D143">
        <v>0</v>
      </c>
      <c r="E143" t="str">
        <f t="shared" si="5"/>
        <v>1,0</v>
      </c>
      <c r="F143" t="str">
        <f t="shared" si="6"/>
        <v>gp</v>
      </c>
    </row>
    <row r="144" spans="3:6" x14ac:dyDescent="0.25">
      <c r="C144">
        <v>1</v>
      </c>
      <c r="D144">
        <v>1</v>
      </c>
      <c r="E144" t="str">
        <f t="shared" si="5"/>
        <v>1,1</v>
      </c>
      <c r="F144" t="str">
        <f t="shared" si="6"/>
        <v>mn 1</v>
      </c>
    </row>
    <row r="145" spans="3:6" x14ac:dyDescent="0.25">
      <c r="C145">
        <v>1</v>
      </c>
      <c r="D145">
        <v>1</v>
      </c>
      <c r="E145" t="str">
        <f t="shared" si="5"/>
        <v>1,1</v>
      </c>
      <c r="F145" t="str">
        <f t="shared" si="6"/>
        <v>mn 1</v>
      </c>
    </row>
    <row r="146" spans="3:6" x14ac:dyDescent="0.25">
      <c r="C146">
        <v>3</v>
      </c>
      <c r="D146">
        <v>4</v>
      </c>
      <c r="E146" t="str">
        <f t="shared" si="5"/>
        <v>3,4</v>
      </c>
      <c r="F146" t="str">
        <f t="shared" si="6"/>
        <v>gp</v>
      </c>
    </row>
    <row r="147" spans="3:6" x14ac:dyDescent="0.25">
      <c r="C147">
        <v>0</v>
      </c>
      <c r="D147">
        <v>1</v>
      </c>
      <c r="E147" t="str">
        <f t="shared" si="5"/>
        <v>0,1</v>
      </c>
      <c r="F147" t="str">
        <f t="shared" si="6"/>
        <v>gp</v>
      </c>
    </row>
    <row r="148" spans="3:6" x14ac:dyDescent="0.25">
      <c r="C148">
        <v>3</v>
      </c>
      <c r="D148">
        <v>1</v>
      </c>
      <c r="E148" t="str">
        <f t="shared" si="5"/>
        <v>3,1</v>
      </c>
      <c r="F148" t="str">
        <f t="shared" si="6"/>
        <v>gp</v>
      </c>
    </row>
    <row r="149" spans="3:6" x14ac:dyDescent="0.25">
      <c r="C149">
        <v>2</v>
      </c>
      <c r="D149">
        <v>1</v>
      </c>
      <c r="E149" t="str">
        <f t="shared" si="5"/>
        <v>2,1</v>
      </c>
      <c r="F149" t="str">
        <f t="shared" si="6"/>
        <v>gp</v>
      </c>
    </row>
    <row r="150" spans="3:6" x14ac:dyDescent="0.25">
      <c r="C150">
        <v>3</v>
      </c>
      <c r="D150">
        <v>0</v>
      </c>
      <c r="E150" t="str">
        <f t="shared" si="5"/>
        <v>3,0</v>
      </c>
      <c r="F150" t="str">
        <f t="shared" si="6"/>
        <v>gp</v>
      </c>
    </row>
    <row r="151" spans="3:6" x14ac:dyDescent="0.25">
      <c r="C151">
        <v>2</v>
      </c>
      <c r="D151">
        <v>0</v>
      </c>
      <c r="E151" t="str">
        <f t="shared" si="5"/>
        <v>2,0</v>
      </c>
      <c r="F151" t="str">
        <f t="shared" si="6"/>
        <v>gp</v>
      </c>
    </row>
    <row r="152" spans="3:6" x14ac:dyDescent="0.25">
      <c r="C152">
        <v>0</v>
      </c>
      <c r="D152">
        <v>0</v>
      </c>
      <c r="E152" t="str">
        <f t="shared" si="5"/>
        <v>0,0</v>
      </c>
      <c r="F152" t="str">
        <f t="shared" si="6"/>
        <v>mn 0</v>
      </c>
    </row>
    <row r="153" spans="3:6" x14ac:dyDescent="0.25">
      <c r="C153">
        <v>1</v>
      </c>
      <c r="D153">
        <v>0</v>
      </c>
      <c r="E153" t="str">
        <f t="shared" si="5"/>
        <v>1,0</v>
      </c>
      <c r="F153" t="str">
        <f t="shared" si="6"/>
        <v>gp</v>
      </c>
    </row>
    <row r="154" spans="3:6" x14ac:dyDescent="0.25">
      <c r="C154">
        <v>1</v>
      </c>
      <c r="D154">
        <v>3</v>
      </c>
      <c r="E154" t="str">
        <f t="shared" si="5"/>
        <v>1,3</v>
      </c>
      <c r="F154" t="str">
        <f t="shared" si="6"/>
        <v>gp</v>
      </c>
    </row>
    <row r="155" spans="3:6" x14ac:dyDescent="0.25">
      <c r="C155">
        <v>3</v>
      </c>
      <c r="D155">
        <v>4</v>
      </c>
      <c r="E155" t="str">
        <f t="shared" si="5"/>
        <v>3,4</v>
      </c>
      <c r="F155" t="str">
        <f t="shared" si="6"/>
        <v>gp</v>
      </c>
    </row>
    <row r="156" spans="3:6" x14ac:dyDescent="0.25">
      <c r="C156">
        <v>2</v>
      </c>
      <c r="D156">
        <v>2</v>
      </c>
      <c r="E156" t="str">
        <f t="shared" si="5"/>
        <v>2,2</v>
      </c>
      <c r="F156" t="str">
        <f t="shared" si="6"/>
        <v>mn 2</v>
      </c>
    </row>
    <row r="157" spans="3:6" x14ac:dyDescent="0.25">
      <c r="C157">
        <v>2</v>
      </c>
      <c r="D157">
        <v>1</v>
      </c>
      <c r="E157" t="str">
        <f t="shared" si="5"/>
        <v>2,1</v>
      </c>
      <c r="F157" t="str">
        <f t="shared" si="6"/>
        <v>gp</v>
      </c>
    </row>
    <row r="158" spans="3:6" x14ac:dyDescent="0.25">
      <c r="C158">
        <v>2</v>
      </c>
      <c r="D158">
        <v>3</v>
      </c>
      <c r="E158" t="str">
        <f t="shared" si="5"/>
        <v>2,3</v>
      </c>
      <c r="F158" t="str">
        <f t="shared" si="6"/>
        <v>gp</v>
      </c>
    </row>
    <row r="159" spans="3:6" x14ac:dyDescent="0.25">
      <c r="C159">
        <v>2</v>
      </c>
      <c r="D159">
        <v>3</v>
      </c>
      <c r="E159" t="str">
        <f t="shared" si="5"/>
        <v>2,3</v>
      </c>
      <c r="F159" t="str">
        <f t="shared" si="6"/>
        <v>gp</v>
      </c>
    </row>
    <row r="160" spans="3:6" x14ac:dyDescent="0.25">
      <c r="C160">
        <v>2</v>
      </c>
      <c r="D160">
        <v>1</v>
      </c>
      <c r="E160" t="str">
        <f t="shared" si="5"/>
        <v>2,1</v>
      </c>
      <c r="F160" t="str">
        <f t="shared" si="6"/>
        <v>gp</v>
      </c>
    </row>
    <row r="161" spans="3:6" x14ac:dyDescent="0.25">
      <c r="C161">
        <v>3</v>
      </c>
      <c r="D161">
        <v>0</v>
      </c>
      <c r="E161" t="str">
        <f t="shared" si="5"/>
        <v>3,0</v>
      </c>
      <c r="F161" t="str">
        <f t="shared" si="6"/>
        <v>gp</v>
      </c>
    </row>
    <row r="162" spans="3:6" x14ac:dyDescent="0.25">
      <c r="C162">
        <v>1</v>
      </c>
      <c r="D162">
        <v>3</v>
      </c>
      <c r="E162" t="str">
        <f t="shared" si="5"/>
        <v>1,3</v>
      </c>
      <c r="F162" t="str">
        <f t="shared" si="6"/>
        <v>gp</v>
      </c>
    </row>
    <row r="163" spans="3:6" x14ac:dyDescent="0.25">
      <c r="C163">
        <v>3</v>
      </c>
      <c r="D163">
        <v>1</v>
      </c>
      <c r="E163" t="str">
        <f t="shared" si="5"/>
        <v>3,1</v>
      </c>
      <c r="F163" t="str">
        <f t="shared" si="6"/>
        <v>gp</v>
      </c>
    </row>
    <row r="164" spans="3:6" x14ac:dyDescent="0.25">
      <c r="C164">
        <v>1</v>
      </c>
      <c r="D164">
        <v>3</v>
      </c>
      <c r="E164" t="str">
        <f t="shared" si="5"/>
        <v>1,3</v>
      </c>
      <c r="F164" t="str">
        <f t="shared" si="6"/>
        <v>gp</v>
      </c>
    </row>
    <row r="165" spans="3:6" x14ac:dyDescent="0.25">
      <c r="C165">
        <v>2</v>
      </c>
      <c r="D165">
        <v>1</v>
      </c>
      <c r="E165" t="str">
        <f t="shared" si="5"/>
        <v>2,1</v>
      </c>
      <c r="F165" t="str">
        <f t="shared" si="6"/>
        <v>gp</v>
      </c>
    </row>
    <row r="166" spans="3:6" x14ac:dyDescent="0.25">
      <c r="C166">
        <v>2</v>
      </c>
      <c r="D166">
        <v>1</v>
      </c>
      <c r="E166" t="str">
        <f t="shared" si="5"/>
        <v>2,1</v>
      </c>
      <c r="F166" t="str">
        <f t="shared" si="6"/>
        <v>gp</v>
      </c>
    </row>
    <row r="167" spans="3:6" x14ac:dyDescent="0.25">
      <c r="C167">
        <v>1</v>
      </c>
      <c r="D167">
        <v>1</v>
      </c>
      <c r="E167" t="str">
        <f t="shared" si="5"/>
        <v>1,1</v>
      </c>
      <c r="F167" t="str">
        <f t="shared" si="6"/>
        <v>mn 1</v>
      </c>
    </row>
    <row r="168" spans="3:6" x14ac:dyDescent="0.25">
      <c r="C168">
        <v>1</v>
      </c>
      <c r="D168">
        <v>0</v>
      </c>
      <c r="E168" t="str">
        <f t="shared" si="5"/>
        <v>1,0</v>
      </c>
      <c r="F168" t="str">
        <f t="shared" si="6"/>
        <v>gp</v>
      </c>
    </row>
    <row r="169" spans="3:6" x14ac:dyDescent="0.25">
      <c r="C169">
        <v>0</v>
      </c>
      <c r="D169">
        <v>0</v>
      </c>
      <c r="E169" t="str">
        <f t="shared" si="5"/>
        <v>0,0</v>
      </c>
      <c r="F169" t="str">
        <f t="shared" si="6"/>
        <v>mn 0</v>
      </c>
    </row>
    <row r="170" spans="3:6" x14ac:dyDescent="0.25">
      <c r="C170">
        <v>2</v>
      </c>
      <c r="D170">
        <v>5</v>
      </c>
      <c r="E170" t="str">
        <f t="shared" si="5"/>
        <v>2,5</v>
      </c>
      <c r="F170" t="str">
        <f t="shared" si="6"/>
        <v>gp</v>
      </c>
    </row>
    <row r="171" spans="3:6" x14ac:dyDescent="0.25">
      <c r="C171">
        <v>4</v>
      </c>
      <c r="D171">
        <v>0</v>
      </c>
      <c r="E171" t="str">
        <f t="shared" si="5"/>
        <v>4,0</v>
      </c>
      <c r="F171" t="str">
        <f t="shared" si="6"/>
        <v>gp</v>
      </c>
    </row>
    <row r="172" spans="3:6" x14ac:dyDescent="0.25">
      <c r="C172">
        <v>1</v>
      </c>
      <c r="D172">
        <v>0</v>
      </c>
      <c r="E172" t="str">
        <f t="shared" si="5"/>
        <v>1,0</v>
      </c>
      <c r="F172" t="str">
        <f t="shared" si="6"/>
        <v>gp</v>
      </c>
    </row>
    <row r="173" spans="3:6" x14ac:dyDescent="0.25">
      <c r="C173">
        <v>1</v>
      </c>
      <c r="D173">
        <v>0</v>
      </c>
      <c r="E173" t="str">
        <f t="shared" si="5"/>
        <v>1,0</v>
      </c>
      <c r="F173" t="str">
        <f t="shared" si="6"/>
        <v>gp</v>
      </c>
    </row>
    <row r="174" spans="3:6" x14ac:dyDescent="0.25">
      <c r="C174">
        <v>0</v>
      </c>
      <c r="D174">
        <v>1</v>
      </c>
      <c r="E174" t="str">
        <f t="shared" si="5"/>
        <v>0,1</v>
      </c>
      <c r="F174" t="str">
        <f t="shared" si="6"/>
        <v>gp</v>
      </c>
    </row>
    <row r="175" spans="3:6" x14ac:dyDescent="0.25">
      <c r="C175">
        <v>0</v>
      </c>
      <c r="D175">
        <v>0</v>
      </c>
      <c r="E175" t="str">
        <f t="shared" si="5"/>
        <v>0,0</v>
      </c>
      <c r="F175" t="str">
        <f t="shared" si="6"/>
        <v>mn 0</v>
      </c>
    </row>
    <row r="176" spans="3:6" x14ac:dyDescent="0.25">
      <c r="C176">
        <v>2</v>
      </c>
      <c r="D176">
        <v>1</v>
      </c>
      <c r="E176" t="str">
        <f t="shared" si="5"/>
        <v>2,1</v>
      </c>
      <c r="F176" t="str">
        <f t="shared" si="6"/>
        <v>gp</v>
      </c>
    </row>
    <row r="177" spans="3:6" x14ac:dyDescent="0.25">
      <c r="C177">
        <v>1</v>
      </c>
      <c r="D177">
        <v>2</v>
      </c>
      <c r="E177" t="str">
        <f t="shared" si="5"/>
        <v>1,2</v>
      </c>
      <c r="F177" t="str">
        <f t="shared" si="6"/>
        <v>gp</v>
      </c>
    </row>
    <row r="178" spans="3:6" x14ac:dyDescent="0.25">
      <c r="C178">
        <v>0</v>
      </c>
      <c r="D178">
        <v>1</v>
      </c>
      <c r="E178" t="str">
        <f t="shared" si="5"/>
        <v>0,1</v>
      </c>
      <c r="F178" t="str">
        <f t="shared" si="6"/>
        <v>gp</v>
      </c>
    </row>
    <row r="179" spans="3:6" x14ac:dyDescent="0.25">
      <c r="C179">
        <v>8</v>
      </c>
      <c r="D179">
        <v>0</v>
      </c>
      <c r="E179" t="str">
        <f t="shared" si="5"/>
        <v>8,0</v>
      </c>
      <c r="F179" t="str">
        <f t="shared" si="6"/>
        <v>gp</v>
      </c>
    </row>
    <row r="180" spans="3:6" x14ac:dyDescent="0.25">
      <c r="C180">
        <v>1</v>
      </c>
      <c r="D180">
        <v>1</v>
      </c>
      <c r="E180" t="str">
        <f t="shared" si="5"/>
        <v>1,1</v>
      </c>
      <c r="F180" t="str">
        <f t="shared" si="6"/>
        <v>mn 1</v>
      </c>
    </row>
    <row r="181" spans="3:6" x14ac:dyDescent="0.25">
      <c r="C181">
        <v>0</v>
      </c>
      <c r="D181">
        <v>4</v>
      </c>
      <c r="E181" t="str">
        <f t="shared" si="5"/>
        <v>0,4</v>
      </c>
      <c r="F181" t="str">
        <f t="shared" si="6"/>
        <v>gp</v>
      </c>
    </row>
    <row r="182" spans="3:6" x14ac:dyDescent="0.25">
      <c r="C182">
        <v>2</v>
      </c>
      <c r="D182">
        <v>1</v>
      </c>
      <c r="E182" t="str">
        <f t="shared" si="5"/>
        <v>2,1</v>
      </c>
      <c r="F182" t="str">
        <f t="shared" si="6"/>
        <v>gp</v>
      </c>
    </row>
    <row r="183" spans="3:6" x14ac:dyDescent="0.25">
      <c r="C183">
        <v>1</v>
      </c>
      <c r="D183">
        <v>1</v>
      </c>
      <c r="E183" t="str">
        <f t="shared" si="5"/>
        <v>1,1</v>
      </c>
      <c r="F183" t="str">
        <f t="shared" si="6"/>
        <v>mn 1</v>
      </c>
    </row>
    <row r="184" spans="3:6" x14ac:dyDescent="0.25">
      <c r="C184">
        <v>4</v>
      </c>
      <c r="D184">
        <v>3</v>
      </c>
      <c r="E184" t="str">
        <f t="shared" si="5"/>
        <v>4,3</v>
      </c>
      <c r="F184" t="str">
        <f t="shared" si="6"/>
        <v>gp</v>
      </c>
    </row>
    <row r="185" spans="3:6" x14ac:dyDescent="0.25">
      <c r="C185">
        <v>0</v>
      </c>
      <c r="D185">
        <v>1</v>
      </c>
      <c r="E185" t="str">
        <f t="shared" si="5"/>
        <v>0,1</v>
      </c>
      <c r="F185" t="str">
        <f t="shared" si="6"/>
        <v>gp</v>
      </c>
    </row>
    <row r="186" spans="3:6" x14ac:dyDescent="0.25">
      <c r="C186">
        <v>1</v>
      </c>
      <c r="D186">
        <v>2</v>
      </c>
      <c r="E186" t="str">
        <f t="shared" si="5"/>
        <v>1,2</v>
      </c>
      <c r="F186" t="str">
        <f t="shared" si="6"/>
        <v>gp</v>
      </c>
    </row>
    <row r="187" spans="3:6" x14ac:dyDescent="0.25">
      <c r="C187">
        <v>0</v>
      </c>
      <c r="D187">
        <v>0</v>
      </c>
      <c r="E187" t="str">
        <f t="shared" si="5"/>
        <v>0,0</v>
      </c>
      <c r="F187" t="str">
        <f t="shared" si="6"/>
        <v>mn 0</v>
      </c>
    </row>
    <row r="188" spans="3:6" x14ac:dyDescent="0.25">
      <c r="C188">
        <v>3</v>
      </c>
      <c r="D188">
        <v>1</v>
      </c>
      <c r="E188" t="str">
        <f t="shared" si="5"/>
        <v>3,1</v>
      </c>
      <c r="F188" t="str">
        <f t="shared" si="6"/>
        <v>gp</v>
      </c>
    </row>
    <row r="189" spans="3:6" x14ac:dyDescent="0.25">
      <c r="C189">
        <v>1</v>
      </c>
      <c r="D189">
        <v>0</v>
      </c>
      <c r="E189" t="str">
        <f t="shared" si="5"/>
        <v>1,0</v>
      </c>
      <c r="F189" t="str">
        <f t="shared" si="6"/>
        <v>gp</v>
      </c>
    </row>
    <row r="190" spans="3:6" x14ac:dyDescent="0.25">
      <c r="C190">
        <v>7</v>
      </c>
      <c r="D190">
        <v>3</v>
      </c>
      <c r="E190" t="str">
        <f t="shared" si="5"/>
        <v>7,3</v>
      </c>
      <c r="F190" t="str">
        <f t="shared" si="6"/>
        <v>gp</v>
      </c>
    </row>
    <row r="191" spans="3:6" x14ac:dyDescent="0.25">
      <c r="C191">
        <v>0</v>
      </c>
      <c r="D191">
        <v>3</v>
      </c>
      <c r="E191" t="str">
        <f t="shared" si="5"/>
        <v>0,3</v>
      </c>
      <c r="F191" t="str">
        <f t="shared" si="6"/>
        <v>gp</v>
      </c>
    </row>
    <row r="192" spans="3:6" x14ac:dyDescent="0.25">
      <c r="C192">
        <v>1</v>
      </c>
      <c r="D192">
        <v>2</v>
      </c>
      <c r="E192" t="str">
        <f t="shared" si="5"/>
        <v>1,2</v>
      </c>
      <c r="F192" t="str">
        <f t="shared" si="6"/>
        <v>gp</v>
      </c>
    </row>
    <row r="193" spans="3:6" x14ac:dyDescent="0.25">
      <c r="C193">
        <v>2</v>
      </c>
      <c r="D193">
        <v>0</v>
      </c>
      <c r="E193" t="str">
        <f t="shared" si="5"/>
        <v>2,0</v>
      </c>
      <c r="F193" t="str">
        <f t="shared" si="6"/>
        <v>gp</v>
      </c>
    </row>
    <row r="194" spans="3:6" x14ac:dyDescent="0.25">
      <c r="C194">
        <v>3</v>
      </c>
      <c r="D194">
        <v>4</v>
      </c>
      <c r="E194" t="str">
        <f t="shared" si="5"/>
        <v>3,4</v>
      </c>
      <c r="F194" t="str">
        <f t="shared" si="6"/>
        <v>gp</v>
      </c>
    </row>
    <row r="195" spans="3:6" x14ac:dyDescent="0.25">
      <c r="C195">
        <v>1</v>
      </c>
      <c r="D195">
        <v>0</v>
      </c>
      <c r="E195" t="str">
        <f t="shared" ref="E195:E220" si="7">C195&amp;","&amp;D195</f>
        <v>1,0</v>
      </c>
      <c r="F195" t="str">
        <f t="shared" ref="F195:F220" si="8">IF(C195=D195,"mn "&amp;C195,"gp")</f>
        <v>gp</v>
      </c>
    </row>
    <row r="196" spans="3:6" x14ac:dyDescent="0.25">
      <c r="C196">
        <v>3</v>
      </c>
      <c r="D196">
        <v>3</v>
      </c>
      <c r="E196" t="str">
        <f t="shared" si="7"/>
        <v>3,3</v>
      </c>
      <c r="F196" t="str">
        <f t="shared" si="8"/>
        <v>mn 3</v>
      </c>
    </row>
    <row r="197" spans="3:6" x14ac:dyDescent="0.25">
      <c r="C197">
        <v>1</v>
      </c>
      <c r="D197">
        <v>2</v>
      </c>
      <c r="E197" t="str">
        <f t="shared" si="7"/>
        <v>1,2</v>
      </c>
      <c r="F197" t="str">
        <f t="shared" si="8"/>
        <v>gp</v>
      </c>
    </row>
    <row r="198" spans="3:6" x14ac:dyDescent="0.25">
      <c r="C198">
        <v>1</v>
      </c>
      <c r="D198">
        <v>2</v>
      </c>
      <c r="E198" t="str">
        <f t="shared" si="7"/>
        <v>1,2</v>
      </c>
      <c r="F198" t="str">
        <f t="shared" si="8"/>
        <v>gp</v>
      </c>
    </row>
    <row r="199" spans="3:6" x14ac:dyDescent="0.25">
      <c r="C199">
        <v>0</v>
      </c>
      <c r="D199">
        <v>3</v>
      </c>
      <c r="E199" t="str">
        <f t="shared" si="7"/>
        <v>0,3</v>
      </c>
      <c r="F199" t="str">
        <f t="shared" si="8"/>
        <v>gp</v>
      </c>
    </row>
    <row r="200" spans="3:6" x14ac:dyDescent="0.25">
      <c r="C200">
        <v>3</v>
      </c>
      <c r="D200">
        <v>0</v>
      </c>
      <c r="E200" t="str">
        <f t="shared" si="7"/>
        <v>3,0</v>
      </c>
      <c r="F200" t="str">
        <f t="shared" si="8"/>
        <v>gp</v>
      </c>
    </row>
    <row r="201" spans="3:6" x14ac:dyDescent="0.25">
      <c r="C201">
        <v>1</v>
      </c>
      <c r="D201">
        <v>1</v>
      </c>
      <c r="E201" t="str">
        <f t="shared" si="7"/>
        <v>1,1</v>
      </c>
      <c r="F201" t="str">
        <f t="shared" si="8"/>
        <v>mn 1</v>
      </c>
    </row>
    <row r="202" spans="3:6" x14ac:dyDescent="0.25">
      <c r="C202">
        <v>2</v>
      </c>
      <c r="D202">
        <v>2</v>
      </c>
      <c r="E202" t="str">
        <f t="shared" si="7"/>
        <v>2,2</v>
      </c>
      <c r="F202" t="str">
        <f t="shared" si="8"/>
        <v>mn 2</v>
      </c>
    </row>
    <row r="203" spans="3:6" x14ac:dyDescent="0.25">
      <c r="C203">
        <v>3</v>
      </c>
      <c r="D203">
        <v>1</v>
      </c>
      <c r="E203" t="str">
        <f t="shared" si="7"/>
        <v>3,1</v>
      </c>
      <c r="F203" t="str">
        <f t="shared" si="8"/>
        <v>gp</v>
      </c>
    </row>
    <row r="204" spans="3:6" x14ac:dyDescent="0.25">
      <c r="C204">
        <v>1</v>
      </c>
      <c r="D204">
        <v>2</v>
      </c>
      <c r="E204" t="str">
        <f t="shared" si="7"/>
        <v>1,2</v>
      </c>
      <c r="F204" t="str">
        <f t="shared" si="8"/>
        <v>gp</v>
      </c>
    </row>
    <row r="205" spans="3:6" x14ac:dyDescent="0.25">
      <c r="C205">
        <v>2</v>
      </c>
      <c r="D205">
        <v>1</v>
      </c>
      <c r="E205" t="str">
        <f t="shared" si="7"/>
        <v>2,1</v>
      </c>
      <c r="F205" t="str">
        <f t="shared" si="8"/>
        <v>gp</v>
      </c>
    </row>
    <row r="206" spans="3:6" x14ac:dyDescent="0.25">
      <c r="C206">
        <v>0</v>
      </c>
      <c r="D206">
        <v>4</v>
      </c>
      <c r="E206" t="str">
        <f t="shared" si="7"/>
        <v>0,4</v>
      </c>
      <c r="F206" t="str">
        <f t="shared" si="8"/>
        <v>gp</v>
      </c>
    </row>
    <row r="207" spans="3:6" x14ac:dyDescent="0.25">
      <c r="C207">
        <v>0</v>
      </c>
      <c r="D207">
        <v>1</v>
      </c>
      <c r="E207" t="str">
        <f t="shared" si="7"/>
        <v>0,1</v>
      </c>
      <c r="F207" t="str">
        <f t="shared" si="8"/>
        <v>gp</v>
      </c>
    </row>
    <row r="208" spans="3:6" x14ac:dyDescent="0.25">
      <c r="C208">
        <v>3</v>
      </c>
      <c r="D208">
        <v>0</v>
      </c>
      <c r="E208" t="str">
        <f t="shared" si="7"/>
        <v>3,0</v>
      </c>
      <c r="F208" t="str">
        <f t="shared" si="8"/>
        <v>gp</v>
      </c>
    </row>
    <row r="209" spans="3:6" x14ac:dyDescent="0.25">
      <c r="C209">
        <v>1</v>
      </c>
      <c r="D209">
        <v>2</v>
      </c>
      <c r="E209" t="str">
        <f t="shared" si="7"/>
        <v>1,2</v>
      </c>
      <c r="F209" t="str">
        <f t="shared" si="8"/>
        <v>gp</v>
      </c>
    </row>
    <row r="210" spans="3:6" x14ac:dyDescent="0.25">
      <c r="C210">
        <v>0</v>
      </c>
      <c r="D210">
        <v>1</v>
      </c>
      <c r="E210" t="str">
        <f t="shared" si="7"/>
        <v>0,1</v>
      </c>
      <c r="F210" t="str">
        <f t="shared" si="8"/>
        <v>gp</v>
      </c>
    </row>
    <row r="211" spans="3:6" x14ac:dyDescent="0.25">
      <c r="C211">
        <v>0</v>
      </c>
      <c r="D211">
        <v>0</v>
      </c>
      <c r="E211" t="str">
        <f t="shared" si="7"/>
        <v>0,0</v>
      </c>
      <c r="F211" t="str">
        <f t="shared" si="8"/>
        <v>mn 0</v>
      </c>
    </row>
    <row r="212" spans="3:6" x14ac:dyDescent="0.25">
      <c r="C212">
        <v>1</v>
      </c>
      <c r="D212">
        <v>1</v>
      </c>
      <c r="E212" t="str">
        <f t="shared" si="7"/>
        <v>1,1</v>
      </c>
      <c r="F212" t="str">
        <f t="shared" si="8"/>
        <v>mn 1</v>
      </c>
    </row>
    <row r="213" spans="3:6" x14ac:dyDescent="0.25">
      <c r="C213">
        <v>0</v>
      </c>
      <c r="D213">
        <v>0</v>
      </c>
      <c r="E213" t="str">
        <f t="shared" si="7"/>
        <v>0,0</v>
      </c>
      <c r="F213" t="str">
        <f t="shared" si="8"/>
        <v>mn 0</v>
      </c>
    </row>
    <row r="214" spans="3:6" x14ac:dyDescent="0.25">
      <c r="C214">
        <v>0</v>
      </c>
      <c r="D214">
        <v>0</v>
      </c>
      <c r="E214" t="str">
        <f t="shared" si="7"/>
        <v>0,0</v>
      </c>
      <c r="F214" t="str">
        <f t="shared" si="8"/>
        <v>mn 0</v>
      </c>
    </row>
    <row r="215" spans="3:6" x14ac:dyDescent="0.25">
      <c r="C215">
        <v>3</v>
      </c>
      <c r="D215">
        <v>2</v>
      </c>
      <c r="E215" t="str">
        <f t="shared" si="7"/>
        <v>3,2</v>
      </c>
      <c r="F215" t="str">
        <f t="shared" si="8"/>
        <v>gp</v>
      </c>
    </row>
    <row r="216" spans="3:6" x14ac:dyDescent="0.25">
      <c r="C216">
        <v>0</v>
      </c>
      <c r="D216">
        <v>4</v>
      </c>
      <c r="E216" t="str">
        <f t="shared" si="7"/>
        <v>0,4</v>
      </c>
      <c r="F216" t="str">
        <f t="shared" si="8"/>
        <v>gp</v>
      </c>
    </row>
    <row r="217" spans="3:6" x14ac:dyDescent="0.25">
      <c r="C217">
        <v>3</v>
      </c>
      <c r="D217">
        <v>0</v>
      </c>
      <c r="E217" t="str">
        <f t="shared" si="7"/>
        <v>3,0</v>
      </c>
      <c r="F217" t="str">
        <f t="shared" si="8"/>
        <v>gp</v>
      </c>
    </row>
    <row r="218" spans="3:6" x14ac:dyDescent="0.25">
      <c r="C218">
        <v>0</v>
      </c>
      <c r="D218">
        <v>2</v>
      </c>
      <c r="E218" t="str">
        <f t="shared" si="7"/>
        <v>0,2</v>
      </c>
      <c r="F218" t="str">
        <f t="shared" si="8"/>
        <v>gp</v>
      </c>
    </row>
    <row r="219" spans="3:6" x14ac:dyDescent="0.25">
      <c r="C219">
        <v>2</v>
      </c>
      <c r="D219">
        <v>1</v>
      </c>
      <c r="E219" t="str">
        <f t="shared" si="7"/>
        <v>2,1</v>
      </c>
      <c r="F219" t="str">
        <f t="shared" si="8"/>
        <v>gp</v>
      </c>
    </row>
    <row r="220" spans="3:6" x14ac:dyDescent="0.25">
      <c r="C220">
        <v>2</v>
      </c>
      <c r="D220">
        <v>2</v>
      </c>
      <c r="E220" t="str">
        <f t="shared" si="7"/>
        <v>2,2</v>
      </c>
      <c r="F220" t="str">
        <f t="shared" si="8"/>
        <v>mn 2</v>
      </c>
    </row>
  </sheetData>
  <pageMargins left="0.7" right="0.7" top="0.75" bottom="0.75" header="0.3" footer="0.3"/>
  <pageSetup paperSize="9" orientation="portrait" r:id="rId2"/>
  <customProperties>
    <customPr name="DVSECTIONID" r:id="rId3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17"/>
  <sheetViews>
    <sheetView workbookViewId="0">
      <selection activeCell="EB16" sqref="EB16"/>
    </sheetView>
  </sheetViews>
  <sheetFormatPr baseColWidth="10" defaultRowHeight="15" x14ac:dyDescent="0.25"/>
  <sheetData>
    <row r="1" spans="1:256" x14ac:dyDescent="0.25">
      <c r="A1" t="e">
        <f>IF(Feuil2!1:1,"AAAAADL/7wA=",0)</f>
        <v>#VALUE!</v>
      </c>
      <c r="B1" t="e">
        <f>AND(Feuil2!A1,"AAAAADL/7wE=")</f>
        <v>#VALUE!</v>
      </c>
      <c r="C1" t="e">
        <f>AND(Feuil2!B1,"AAAAADL/7wI=")</f>
        <v>#VALUE!</v>
      </c>
      <c r="D1" t="e">
        <f>AND(Feuil2!C1,"AAAAADL/7wM=")</f>
        <v>#VALUE!</v>
      </c>
      <c r="E1" t="e">
        <f>AND(Feuil2!D1,"AAAAADL/7wQ=")</f>
        <v>#VALUE!</v>
      </c>
      <c r="F1" t="e">
        <f>AND(Feuil2!E1,"AAAAADL/7wU=")</f>
        <v>#VALUE!</v>
      </c>
      <c r="G1">
        <f>IF(Feuil2!2:2,"AAAAADL/7wY=",0)</f>
        <v>0</v>
      </c>
      <c r="H1" t="e">
        <f>AND(Feuil2!A2,"AAAAADL/7wc=")</f>
        <v>#VALUE!</v>
      </c>
      <c r="I1" t="e">
        <f>AND(Feuil2!B2,"AAAAADL/7wg=")</f>
        <v>#VALUE!</v>
      </c>
      <c r="J1" t="e">
        <f>AND(Feuil2!C2,"AAAAADL/7wk=")</f>
        <v>#VALUE!</v>
      </c>
      <c r="K1" t="e">
        <f>AND(Feuil2!D2,"AAAAADL/7wo=")</f>
        <v>#VALUE!</v>
      </c>
      <c r="L1" t="e">
        <f>AND(Feuil2!E2,"AAAAADL/7ws=")</f>
        <v>#VALUE!</v>
      </c>
      <c r="M1">
        <f>IF(Feuil2!3:3,"AAAAADL/7ww=",0)</f>
        <v>0</v>
      </c>
      <c r="N1" t="e">
        <f>AND(Feuil2!A3,"AAAAADL/7w0=")</f>
        <v>#VALUE!</v>
      </c>
      <c r="O1" t="e">
        <f>AND(Feuil2!B3,"AAAAADL/7w4=")</f>
        <v>#VALUE!</v>
      </c>
      <c r="P1" t="e">
        <f>AND(Feuil2!C3,"AAAAADL/7w8=")</f>
        <v>#VALUE!</v>
      </c>
      <c r="Q1" t="e">
        <f>AND(Feuil2!D3,"AAAAADL/7xA=")</f>
        <v>#VALUE!</v>
      </c>
      <c r="R1" t="e">
        <f>AND(Feuil2!E3,"AAAAADL/7xE=")</f>
        <v>#VALUE!</v>
      </c>
      <c r="S1">
        <f>IF(Feuil2!4:4,"AAAAADL/7xI=",0)</f>
        <v>0</v>
      </c>
      <c r="T1" t="e">
        <f>AND(Feuil2!A4,"AAAAADL/7xM=")</f>
        <v>#VALUE!</v>
      </c>
      <c r="U1" t="e">
        <f>AND(Feuil2!B4,"AAAAADL/7xQ=")</f>
        <v>#VALUE!</v>
      </c>
      <c r="V1" t="e">
        <f>AND(Feuil2!C4,"AAAAADL/7xU=")</f>
        <v>#VALUE!</v>
      </c>
      <c r="W1" t="e">
        <f>AND(Feuil2!D4,"AAAAADL/7xY=")</f>
        <v>#VALUE!</v>
      </c>
      <c r="X1" t="e">
        <f>AND(Feuil2!E4,"AAAAADL/7xc=")</f>
        <v>#VALUE!</v>
      </c>
      <c r="Y1">
        <f>IF(Feuil2!5:5,"AAAAADL/7xg=",0)</f>
        <v>0</v>
      </c>
      <c r="Z1" t="e">
        <f>AND(Feuil2!A5,"AAAAADL/7xk=")</f>
        <v>#VALUE!</v>
      </c>
      <c r="AA1" t="e">
        <f>AND(Feuil2!B5,"AAAAADL/7xo=")</f>
        <v>#VALUE!</v>
      </c>
      <c r="AB1" t="e">
        <f>AND(Feuil2!C5,"AAAAADL/7xs=")</f>
        <v>#VALUE!</v>
      </c>
      <c r="AC1" t="e">
        <f>AND(Feuil2!D5,"AAAAADL/7xw=")</f>
        <v>#VALUE!</v>
      </c>
      <c r="AD1" t="e">
        <f>AND(Feuil2!E5,"AAAAADL/7x0=")</f>
        <v>#VALUE!</v>
      </c>
      <c r="AE1">
        <f>IF(Feuil2!6:6,"AAAAADL/7x4=",0)</f>
        <v>0</v>
      </c>
      <c r="AF1" t="e">
        <f>AND(Feuil2!A6,"AAAAADL/7x8=")</f>
        <v>#VALUE!</v>
      </c>
      <c r="AG1" t="e">
        <f>AND(Feuil2!B6,"AAAAADL/7yA=")</f>
        <v>#VALUE!</v>
      </c>
      <c r="AH1" t="e">
        <f>AND(Feuil2!C6,"AAAAADL/7yE=")</f>
        <v>#VALUE!</v>
      </c>
      <c r="AI1" t="e">
        <f>AND(Feuil2!D6,"AAAAADL/7yI=")</f>
        <v>#VALUE!</v>
      </c>
      <c r="AJ1" t="e">
        <f>AND(Feuil2!E6,"AAAAADL/7yM=")</f>
        <v>#VALUE!</v>
      </c>
      <c r="AK1">
        <f>IF(Feuil2!7:7,"AAAAADL/7yQ=",0)</f>
        <v>0</v>
      </c>
      <c r="AL1" t="e">
        <f>AND(Feuil2!A7,"AAAAADL/7yU=")</f>
        <v>#VALUE!</v>
      </c>
      <c r="AM1" t="e">
        <f>AND(Feuil2!B7,"AAAAADL/7yY=")</f>
        <v>#VALUE!</v>
      </c>
      <c r="AN1" t="e">
        <f>AND(Feuil2!C7,"AAAAADL/7yc=")</f>
        <v>#VALUE!</v>
      </c>
      <c r="AO1" t="e">
        <f>AND(Feuil2!D7,"AAAAADL/7yg=")</f>
        <v>#VALUE!</v>
      </c>
      <c r="AP1" t="e">
        <f>AND(Feuil2!E7,"AAAAADL/7yk=")</f>
        <v>#VALUE!</v>
      </c>
      <c r="AQ1">
        <f>IF(Feuil2!8:8,"AAAAADL/7yo=",0)</f>
        <v>0</v>
      </c>
      <c r="AR1" t="e">
        <f>AND(Feuil2!A8,"AAAAADL/7ys=")</f>
        <v>#VALUE!</v>
      </c>
      <c r="AS1" t="e">
        <f>AND(Feuil2!B8,"AAAAADL/7yw=")</f>
        <v>#VALUE!</v>
      </c>
      <c r="AT1" t="e">
        <f>AND(Feuil2!C8,"AAAAADL/7y0=")</f>
        <v>#VALUE!</v>
      </c>
      <c r="AU1" t="e">
        <f>AND(Feuil2!D8,"AAAAADL/7y4=")</f>
        <v>#VALUE!</v>
      </c>
      <c r="AV1" t="e">
        <f>AND(Feuil2!E8,"AAAAADL/7y8=")</f>
        <v>#VALUE!</v>
      </c>
      <c r="AW1">
        <f>IF(Feuil2!9:9,"AAAAADL/7zA=",0)</f>
        <v>0</v>
      </c>
      <c r="AX1" t="e">
        <f>AND(Feuil2!A9,"AAAAADL/7zE=")</f>
        <v>#VALUE!</v>
      </c>
      <c r="AY1" t="e">
        <f>AND(Feuil2!B9,"AAAAADL/7zI=")</f>
        <v>#VALUE!</v>
      </c>
      <c r="AZ1" t="e">
        <f>AND(Feuil2!C9,"AAAAADL/7zM=")</f>
        <v>#VALUE!</v>
      </c>
      <c r="BA1" t="e">
        <f>AND(Feuil2!D9,"AAAAADL/7zQ=")</f>
        <v>#VALUE!</v>
      </c>
      <c r="BB1" t="e">
        <f>AND(Feuil2!E9,"AAAAADL/7zU=")</f>
        <v>#VALUE!</v>
      </c>
      <c r="BC1">
        <f>IF(Feuil2!10:10,"AAAAADL/7zY=",0)</f>
        <v>0</v>
      </c>
      <c r="BD1" t="e">
        <f>AND(Feuil2!A10,"AAAAADL/7zc=")</f>
        <v>#VALUE!</v>
      </c>
      <c r="BE1" t="e">
        <f>AND(Feuil2!B10,"AAAAADL/7zg=")</f>
        <v>#VALUE!</v>
      </c>
      <c r="BF1" t="e">
        <f>AND(Feuil2!C10,"AAAAADL/7zk=")</f>
        <v>#VALUE!</v>
      </c>
      <c r="BG1" t="e">
        <f>AND(Feuil2!D10,"AAAAADL/7zo=")</f>
        <v>#VALUE!</v>
      </c>
      <c r="BH1" t="e">
        <f>AND(Feuil2!E10,"AAAAADL/7zs=")</f>
        <v>#VALUE!</v>
      </c>
      <c r="BI1">
        <f>IF(Feuil2!11:11,"AAAAADL/7zw=",0)</f>
        <v>0</v>
      </c>
      <c r="BJ1" t="e">
        <f>AND(Feuil2!A11,"AAAAADL/7z0=")</f>
        <v>#VALUE!</v>
      </c>
      <c r="BK1" t="e">
        <f>AND(Feuil2!B11,"AAAAADL/7z4=")</f>
        <v>#VALUE!</v>
      </c>
      <c r="BL1" t="e">
        <f>AND(Feuil2!C11,"AAAAADL/7z8=")</f>
        <v>#VALUE!</v>
      </c>
      <c r="BM1" t="e">
        <f>AND(Feuil2!D11,"AAAAADL/70A=")</f>
        <v>#VALUE!</v>
      </c>
      <c r="BN1" t="e">
        <f>AND(Feuil2!E11,"AAAAADL/70E=")</f>
        <v>#VALUE!</v>
      </c>
      <c r="BO1">
        <f>IF(Feuil2!12:12,"AAAAADL/70I=",0)</f>
        <v>0</v>
      </c>
      <c r="BP1" t="e">
        <f>AND(Feuil2!A12,"AAAAADL/70M=")</f>
        <v>#VALUE!</v>
      </c>
      <c r="BQ1" t="e">
        <f>AND(Feuil2!B12,"AAAAADL/70Q=")</f>
        <v>#VALUE!</v>
      </c>
      <c r="BR1" t="e">
        <f>AND(Feuil2!C12,"AAAAADL/70U=")</f>
        <v>#VALUE!</v>
      </c>
      <c r="BS1" t="e">
        <f>AND(Feuil2!D12,"AAAAADL/70Y=")</f>
        <v>#VALUE!</v>
      </c>
      <c r="BT1" t="e">
        <f>AND(Feuil2!E12,"AAAAADL/70c=")</f>
        <v>#VALUE!</v>
      </c>
      <c r="BU1">
        <f>IF(Feuil2!13:13,"AAAAADL/70g=",0)</f>
        <v>0</v>
      </c>
      <c r="BV1" t="e">
        <f>AND(Feuil2!A13,"AAAAADL/70k=")</f>
        <v>#VALUE!</v>
      </c>
      <c r="BW1" t="e">
        <f>AND(Feuil2!B13,"AAAAADL/70o=")</f>
        <v>#VALUE!</v>
      </c>
      <c r="BX1" t="e">
        <f>AND(Feuil2!C13,"AAAAADL/70s=")</f>
        <v>#VALUE!</v>
      </c>
      <c r="BY1" t="e">
        <f>AND(Feuil2!D13,"AAAAADL/70w=")</f>
        <v>#VALUE!</v>
      </c>
      <c r="BZ1" t="e">
        <f>AND(Feuil2!E13,"AAAAADL/700=")</f>
        <v>#VALUE!</v>
      </c>
      <c r="CA1">
        <f>IF(Feuil2!14:14,"AAAAADL/704=",0)</f>
        <v>0</v>
      </c>
      <c r="CB1" t="e">
        <f>AND(Feuil2!A14,"AAAAADL/708=")</f>
        <v>#VALUE!</v>
      </c>
      <c r="CC1" t="e">
        <f>AND(Feuil2!B14,"AAAAADL/71A=")</f>
        <v>#VALUE!</v>
      </c>
      <c r="CD1" t="e">
        <f>AND(Feuil2!C14,"AAAAADL/71E=")</f>
        <v>#VALUE!</v>
      </c>
      <c r="CE1" t="e">
        <f>AND(Feuil2!D14,"AAAAADL/71I=")</f>
        <v>#VALUE!</v>
      </c>
      <c r="CF1" t="e">
        <f>AND(Feuil2!E14,"AAAAADL/71M=")</f>
        <v>#VALUE!</v>
      </c>
      <c r="CG1">
        <f>IF(Feuil2!15:15,"AAAAADL/71Q=",0)</f>
        <v>0</v>
      </c>
      <c r="CH1" t="e">
        <f>AND(Feuil2!A15,"AAAAADL/71U=")</f>
        <v>#VALUE!</v>
      </c>
      <c r="CI1" t="e">
        <f>AND(Feuil2!B15,"AAAAADL/71Y=")</f>
        <v>#VALUE!</v>
      </c>
      <c r="CJ1" t="e">
        <f>AND(Feuil2!C15,"AAAAADL/71c=")</f>
        <v>#VALUE!</v>
      </c>
      <c r="CK1" t="e">
        <f>AND(Feuil2!D15,"AAAAADL/71g=")</f>
        <v>#VALUE!</v>
      </c>
      <c r="CL1" t="e">
        <f>AND(Feuil2!E15,"AAAAADL/71k=")</f>
        <v>#VALUE!</v>
      </c>
      <c r="CM1">
        <f>IF(Feuil2!16:16,"AAAAADL/71o=",0)</f>
        <v>0</v>
      </c>
      <c r="CN1" t="e">
        <f>AND(Feuil2!A16,"AAAAADL/71s=")</f>
        <v>#VALUE!</v>
      </c>
      <c r="CO1" t="e">
        <f>AND(Feuil2!B16,"AAAAADL/71w=")</f>
        <v>#VALUE!</v>
      </c>
      <c r="CP1" t="e">
        <f>AND(Feuil2!C16,"AAAAADL/710=")</f>
        <v>#VALUE!</v>
      </c>
      <c r="CQ1" t="e">
        <f>AND(Feuil2!D16,"AAAAADL/714=")</f>
        <v>#VALUE!</v>
      </c>
      <c r="CR1" t="e">
        <f>AND(Feuil2!E16,"AAAAADL/718=")</f>
        <v>#VALUE!</v>
      </c>
      <c r="CS1">
        <f>IF(Feuil2!17:17,"AAAAADL/72A=",0)</f>
        <v>0</v>
      </c>
      <c r="CT1" t="e">
        <f>AND(Feuil2!A17,"AAAAADL/72E=")</f>
        <v>#VALUE!</v>
      </c>
      <c r="CU1" t="e">
        <f>AND(Feuil2!B17,"AAAAADL/72I=")</f>
        <v>#VALUE!</v>
      </c>
      <c r="CV1" t="e">
        <f>AND(Feuil2!C17,"AAAAADL/72M=")</f>
        <v>#VALUE!</v>
      </c>
      <c r="CW1" t="e">
        <f>AND(Feuil2!D17,"AAAAADL/72Q=")</f>
        <v>#VALUE!</v>
      </c>
      <c r="CX1" t="e">
        <f>AND(Feuil2!E17,"AAAAADL/72U=")</f>
        <v>#VALUE!</v>
      </c>
      <c r="CY1">
        <f>IF(Feuil2!18:18,"AAAAADL/72Y=",0)</f>
        <v>0</v>
      </c>
      <c r="CZ1" t="e">
        <f>AND(Feuil2!A18,"AAAAADL/72c=")</f>
        <v>#VALUE!</v>
      </c>
      <c r="DA1" t="e">
        <f>AND(Feuil2!B18,"AAAAADL/72g=")</f>
        <v>#VALUE!</v>
      </c>
      <c r="DB1" t="e">
        <f>AND(Feuil2!C18,"AAAAADL/72k=")</f>
        <v>#VALUE!</v>
      </c>
      <c r="DC1" t="e">
        <f>AND(Feuil2!D18,"AAAAADL/72o=")</f>
        <v>#VALUE!</v>
      </c>
      <c r="DD1" t="e">
        <f>AND(Feuil2!E18,"AAAAADL/72s=")</f>
        <v>#VALUE!</v>
      </c>
      <c r="DE1">
        <f>IF(Feuil2!19:19,"AAAAADL/72w=",0)</f>
        <v>0</v>
      </c>
      <c r="DF1" t="e">
        <f>AND(Feuil2!A19,"AAAAADL/720=")</f>
        <v>#VALUE!</v>
      </c>
      <c r="DG1" t="e">
        <f>AND(Feuil2!B19,"AAAAADL/724=")</f>
        <v>#VALUE!</v>
      </c>
      <c r="DH1" t="e">
        <f>AND(Feuil2!C19,"AAAAADL/728=")</f>
        <v>#VALUE!</v>
      </c>
      <c r="DI1" t="e">
        <f>AND(Feuil2!D19,"AAAAADL/73A=")</f>
        <v>#VALUE!</v>
      </c>
      <c r="DJ1" t="e">
        <f>AND(Feuil2!E19,"AAAAADL/73E=")</f>
        <v>#VALUE!</v>
      </c>
      <c r="DK1">
        <f>IF(Feuil2!20:20,"AAAAADL/73I=",0)</f>
        <v>0</v>
      </c>
      <c r="DL1" t="e">
        <f>AND(Feuil2!A20,"AAAAADL/73M=")</f>
        <v>#VALUE!</v>
      </c>
      <c r="DM1" t="e">
        <f>AND(Feuil2!B20,"AAAAADL/73Q=")</f>
        <v>#VALUE!</v>
      </c>
      <c r="DN1" t="e">
        <f>AND(Feuil2!C20,"AAAAADL/73U=")</f>
        <v>#VALUE!</v>
      </c>
      <c r="DO1" t="e">
        <f>AND(Feuil2!D20,"AAAAADL/73Y=")</f>
        <v>#VALUE!</v>
      </c>
      <c r="DP1" t="e">
        <f>AND(Feuil2!E20,"AAAAADL/73c=")</f>
        <v>#VALUE!</v>
      </c>
      <c r="DQ1">
        <f>IF(Feuil2!21:21,"AAAAADL/73g=",0)</f>
        <v>0</v>
      </c>
      <c r="DR1" t="e">
        <f>AND(Feuil2!A21,"AAAAADL/73k=")</f>
        <v>#VALUE!</v>
      </c>
      <c r="DS1" t="e">
        <f>AND(Feuil2!B21,"AAAAADL/73o=")</f>
        <v>#VALUE!</v>
      </c>
      <c r="DT1" t="e">
        <f>AND(Feuil2!C21,"AAAAADL/73s=")</f>
        <v>#VALUE!</v>
      </c>
      <c r="DU1" t="e">
        <f>AND(Feuil2!D21,"AAAAADL/73w=")</f>
        <v>#VALUE!</v>
      </c>
      <c r="DV1" t="e">
        <f>AND(Feuil2!E21,"AAAAADL/730=")</f>
        <v>#VALUE!</v>
      </c>
      <c r="DW1">
        <f>IF(Feuil2!22:22,"AAAAADL/734=",0)</f>
        <v>0</v>
      </c>
      <c r="DX1" t="e">
        <f>AND(Feuil2!A22,"AAAAADL/738=")</f>
        <v>#VALUE!</v>
      </c>
      <c r="DY1" t="e">
        <f>AND(Feuil2!B22,"AAAAADL/74A=")</f>
        <v>#VALUE!</v>
      </c>
      <c r="DZ1" t="e">
        <f>AND(Feuil2!C22,"AAAAADL/74E=")</f>
        <v>#VALUE!</v>
      </c>
      <c r="EA1" t="e">
        <f>AND(Feuil2!D22,"AAAAADL/74I=")</f>
        <v>#VALUE!</v>
      </c>
      <c r="EB1" t="e">
        <f>AND(Feuil2!E22,"AAAAADL/74M=")</f>
        <v>#VALUE!</v>
      </c>
      <c r="EC1">
        <f>IF(Feuil2!23:23,"AAAAADL/74Q=",0)</f>
        <v>0</v>
      </c>
      <c r="ED1" t="e">
        <f>AND(Feuil2!A23,"AAAAADL/74U=")</f>
        <v>#VALUE!</v>
      </c>
      <c r="EE1" t="e">
        <f>AND(Feuil2!B23,"AAAAADL/74Y=")</f>
        <v>#VALUE!</v>
      </c>
      <c r="EF1" t="e">
        <f>AND(Feuil2!C23,"AAAAADL/74c=")</f>
        <v>#VALUE!</v>
      </c>
      <c r="EG1" t="e">
        <f>AND(Feuil2!D23,"AAAAADL/74g=")</f>
        <v>#VALUE!</v>
      </c>
      <c r="EH1" t="e">
        <f>AND(Feuil2!E23,"AAAAADL/74k=")</f>
        <v>#VALUE!</v>
      </c>
      <c r="EI1">
        <f>IF(Feuil2!24:24,"AAAAADL/74o=",0)</f>
        <v>0</v>
      </c>
      <c r="EJ1" t="e">
        <f>AND(Feuil2!A24,"AAAAADL/74s=")</f>
        <v>#VALUE!</v>
      </c>
      <c r="EK1" t="e">
        <f>AND(Feuil2!B24,"AAAAADL/74w=")</f>
        <v>#VALUE!</v>
      </c>
      <c r="EL1" t="e">
        <f>AND(Feuil2!C24,"AAAAADL/740=")</f>
        <v>#VALUE!</v>
      </c>
      <c r="EM1" t="e">
        <f>AND(Feuil2!D24,"AAAAADL/744=")</f>
        <v>#VALUE!</v>
      </c>
      <c r="EN1" t="e">
        <f>AND(Feuil2!E24,"AAAAADL/748=")</f>
        <v>#VALUE!</v>
      </c>
      <c r="EO1">
        <f>IF(Feuil2!25:25,"AAAAADL/75A=",0)</f>
        <v>0</v>
      </c>
      <c r="EP1" t="e">
        <f>AND(Feuil2!A25,"AAAAADL/75E=")</f>
        <v>#VALUE!</v>
      </c>
      <c r="EQ1" t="e">
        <f>AND(Feuil2!B25,"AAAAADL/75I=")</f>
        <v>#VALUE!</v>
      </c>
      <c r="ER1" t="e">
        <f>AND(Feuil2!C25,"AAAAADL/75M=")</f>
        <v>#VALUE!</v>
      </c>
      <c r="ES1" t="e">
        <f>AND(Feuil2!D25,"AAAAADL/75Q=")</f>
        <v>#VALUE!</v>
      </c>
      <c r="ET1" t="e">
        <f>AND(Feuil2!E25,"AAAAADL/75U=")</f>
        <v>#VALUE!</v>
      </c>
      <c r="EU1">
        <f>IF(Feuil2!26:26,"AAAAADL/75Y=",0)</f>
        <v>0</v>
      </c>
      <c r="EV1" t="e">
        <f>AND(Feuil2!A26,"AAAAADL/75c=")</f>
        <v>#VALUE!</v>
      </c>
      <c r="EW1" t="e">
        <f>AND(Feuil2!B26,"AAAAADL/75g=")</f>
        <v>#VALUE!</v>
      </c>
      <c r="EX1" t="e">
        <f>AND(Feuil2!C26,"AAAAADL/75k=")</f>
        <v>#VALUE!</v>
      </c>
      <c r="EY1" t="e">
        <f>AND(Feuil2!D26,"AAAAADL/75o=")</f>
        <v>#VALUE!</v>
      </c>
      <c r="EZ1" t="e">
        <f>AND(Feuil2!E26,"AAAAADL/75s=")</f>
        <v>#VALUE!</v>
      </c>
      <c r="FA1">
        <f>IF(Feuil2!27:27,"AAAAADL/75w=",0)</f>
        <v>0</v>
      </c>
      <c r="FB1" t="e">
        <f>AND(Feuil2!A27,"AAAAADL/750=")</f>
        <v>#VALUE!</v>
      </c>
      <c r="FC1" t="e">
        <f>AND(Feuil2!B27,"AAAAADL/754=")</f>
        <v>#VALUE!</v>
      </c>
      <c r="FD1" t="e">
        <f>AND(Feuil2!C27,"AAAAADL/758=")</f>
        <v>#VALUE!</v>
      </c>
      <c r="FE1" t="e">
        <f>AND(Feuil2!D27,"AAAAADL/76A=")</f>
        <v>#VALUE!</v>
      </c>
      <c r="FF1" t="e">
        <f>AND(Feuil2!E27,"AAAAADL/76E=")</f>
        <v>#VALUE!</v>
      </c>
      <c r="FG1">
        <f>IF(Feuil2!28:28,"AAAAADL/76I=",0)</f>
        <v>0</v>
      </c>
      <c r="FH1" t="e">
        <f>AND(Feuil2!A28,"AAAAADL/76M=")</f>
        <v>#VALUE!</v>
      </c>
      <c r="FI1" t="e">
        <f>AND(Feuil2!B28,"AAAAADL/76Q=")</f>
        <v>#VALUE!</v>
      </c>
      <c r="FJ1" t="e">
        <f>AND(Feuil2!C28,"AAAAADL/76U=")</f>
        <v>#VALUE!</v>
      </c>
      <c r="FK1" t="e">
        <f>AND(Feuil2!D28,"AAAAADL/76Y=")</f>
        <v>#VALUE!</v>
      </c>
      <c r="FL1" t="e">
        <f>AND(Feuil2!E28,"AAAAADL/76c=")</f>
        <v>#VALUE!</v>
      </c>
      <c r="FM1">
        <f>IF(Feuil2!29:29,"AAAAADL/76g=",0)</f>
        <v>0</v>
      </c>
      <c r="FN1" t="e">
        <f>AND(Feuil2!A29,"AAAAADL/76k=")</f>
        <v>#VALUE!</v>
      </c>
      <c r="FO1" t="e">
        <f>AND(Feuil2!B29,"AAAAADL/76o=")</f>
        <v>#VALUE!</v>
      </c>
      <c r="FP1" t="e">
        <f>AND(Feuil2!C29,"AAAAADL/76s=")</f>
        <v>#VALUE!</v>
      </c>
      <c r="FQ1" t="e">
        <f>AND(Feuil2!D29,"AAAAADL/76w=")</f>
        <v>#VALUE!</v>
      </c>
      <c r="FR1" t="e">
        <f>AND(Feuil2!E29,"AAAAADL/760=")</f>
        <v>#VALUE!</v>
      </c>
      <c r="FS1">
        <f>IF(Feuil2!30:30,"AAAAADL/764=",0)</f>
        <v>0</v>
      </c>
      <c r="FT1" t="e">
        <f>AND(Feuil2!A30,"AAAAADL/768=")</f>
        <v>#VALUE!</v>
      </c>
      <c r="FU1" t="e">
        <f>AND(Feuil2!B30,"AAAAADL/77A=")</f>
        <v>#VALUE!</v>
      </c>
      <c r="FV1" t="e">
        <f>AND(Feuil2!C30,"AAAAADL/77E=")</f>
        <v>#VALUE!</v>
      </c>
      <c r="FW1" t="e">
        <f>AND(Feuil2!D30,"AAAAADL/77I=")</f>
        <v>#VALUE!</v>
      </c>
      <c r="FX1" t="e">
        <f>AND(Feuil2!E30,"AAAAADL/77M=")</f>
        <v>#VALUE!</v>
      </c>
      <c r="FY1">
        <f>IF(Feuil2!31:31,"AAAAADL/77Q=",0)</f>
        <v>0</v>
      </c>
      <c r="FZ1" t="e">
        <f>AND(Feuil2!A31,"AAAAADL/77U=")</f>
        <v>#VALUE!</v>
      </c>
      <c r="GA1" t="e">
        <f>AND(Feuil2!B31,"AAAAADL/77Y=")</f>
        <v>#VALUE!</v>
      </c>
      <c r="GB1" t="e">
        <f>AND(Feuil2!C31,"AAAAADL/77c=")</f>
        <v>#VALUE!</v>
      </c>
      <c r="GC1" t="e">
        <f>AND(Feuil2!D31,"AAAAADL/77g=")</f>
        <v>#VALUE!</v>
      </c>
      <c r="GD1" t="e">
        <f>AND(Feuil2!E31,"AAAAADL/77k=")</f>
        <v>#VALUE!</v>
      </c>
      <c r="GE1">
        <f>IF(Feuil2!32:32,"AAAAADL/77o=",0)</f>
        <v>0</v>
      </c>
      <c r="GF1" t="e">
        <f>AND(Feuil2!A32,"AAAAADL/77s=")</f>
        <v>#VALUE!</v>
      </c>
      <c r="GG1" t="e">
        <f>AND(Feuil2!B32,"AAAAADL/77w=")</f>
        <v>#VALUE!</v>
      </c>
      <c r="GH1" t="e">
        <f>AND(Feuil2!C32,"AAAAADL/770=")</f>
        <v>#VALUE!</v>
      </c>
      <c r="GI1" t="e">
        <f>AND(Feuil2!D32,"AAAAADL/774=")</f>
        <v>#VALUE!</v>
      </c>
      <c r="GJ1" t="e">
        <f>AND(Feuil2!E32,"AAAAADL/778=")</f>
        <v>#VALUE!</v>
      </c>
      <c r="GK1">
        <f>IF(Feuil2!33:33,"AAAAADL/78A=",0)</f>
        <v>0</v>
      </c>
      <c r="GL1" t="e">
        <f>AND(Feuil2!A33,"AAAAADL/78E=")</f>
        <v>#VALUE!</v>
      </c>
      <c r="GM1" t="e">
        <f>AND(Feuil2!B33,"AAAAADL/78I=")</f>
        <v>#VALUE!</v>
      </c>
      <c r="GN1" t="e">
        <f>AND(Feuil2!C33,"AAAAADL/78M=")</f>
        <v>#VALUE!</v>
      </c>
      <c r="GO1" t="e">
        <f>AND(Feuil2!D33,"AAAAADL/78Q=")</f>
        <v>#VALUE!</v>
      </c>
      <c r="GP1" t="e">
        <f>AND(Feuil2!E33,"AAAAADL/78U=")</f>
        <v>#VALUE!</v>
      </c>
      <c r="GQ1">
        <f>IF(Feuil2!34:34,"AAAAADL/78Y=",0)</f>
        <v>0</v>
      </c>
      <c r="GR1" t="e">
        <f>AND(Feuil2!A34,"AAAAADL/78c=")</f>
        <v>#VALUE!</v>
      </c>
      <c r="GS1" t="e">
        <f>AND(Feuil2!B34,"AAAAADL/78g=")</f>
        <v>#VALUE!</v>
      </c>
      <c r="GT1" t="e">
        <f>AND(Feuil2!C34,"AAAAADL/78k=")</f>
        <v>#VALUE!</v>
      </c>
      <c r="GU1" t="e">
        <f>AND(Feuil2!D34,"AAAAADL/78o=")</f>
        <v>#VALUE!</v>
      </c>
      <c r="GV1" t="e">
        <f>AND(Feuil2!E34,"AAAAADL/78s=")</f>
        <v>#VALUE!</v>
      </c>
      <c r="GW1">
        <f>IF(Feuil2!35:35,"AAAAADL/78w=",0)</f>
        <v>0</v>
      </c>
      <c r="GX1" t="e">
        <f>AND(Feuil2!A35,"AAAAADL/780=")</f>
        <v>#VALUE!</v>
      </c>
      <c r="GY1" t="e">
        <f>AND(Feuil2!B35,"AAAAADL/784=")</f>
        <v>#VALUE!</v>
      </c>
      <c r="GZ1" t="e">
        <f>AND(Feuil2!C35,"AAAAADL/788=")</f>
        <v>#VALUE!</v>
      </c>
      <c r="HA1" t="e">
        <f>AND(Feuil2!D35,"AAAAADL/79A=")</f>
        <v>#VALUE!</v>
      </c>
      <c r="HB1" t="e">
        <f>AND(Feuil2!E35,"AAAAADL/79E=")</f>
        <v>#VALUE!</v>
      </c>
      <c r="HC1">
        <f>IF(Feuil2!36:36,"AAAAADL/79I=",0)</f>
        <v>0</v>
      </c>
      <c r="HD1" t="e">
        <f>AND(Feuil2!A36,"AAAAADL/79M=")</f>
        <v>#VALUE!</v>
      </c>
      <c r="HE1" t="e">
        <f>AND(Feuil2!B36,"AAAAADL/79Q=")</f>
        <v>#VALUE!</v>
      </c>
      <c r="HF1" t="e">
        <f>AND(Feuil2!C36,"AAAAADL/79U=")</f>
        <v>#VALUE!</v>
      </c>
      <c r="HG1" t="e">
        <f>AND(Feuil2!D36,"AAAAADL/79Y=")</f>
        <v>#VALUE!</v>
      </c>
      <c r="HH1" t="e">
        <f>AND(Feuil2!E36,"AAAAADL/79c=")</f>
        <v>#VALUE!</v>
      </c>
      <c r="HI1">
        <f>IF(Feuil2!37:37,"AAAAADL/79g=",0)</f>
        <v>0</v>
      </c>
      <c r="HJ1" t="e">
        <f>AND(Feuil2!A37,"AAAAADL/79k=")</f>
        <v>#VALUE!</v>
      </c>
      <c r="HK1" t="e">
        <f>AND(Feuil2!B37,"AAAAADL/79o=")</f>
        <v>#VALUE!</v>
      </c>
      <c r="HL1" t="e">
        <f>AND(Feuil2!C37,"AAAAADL/79s=")</f>
        <v>#VALUE!</v>
      </c>
      <c r="HM1" t="e">
        <f>AND(Feuil2!D37,"AAAAADL/79w=")</f>
        <v>#VALUE!</v>
      </c>
      <c r="HN1" t="e">
        <f>AND(Feuil2!E37,"AAAAADL/790=")</f>
        <v>#VALUE!</v>
      </c>
      <c r="HO1">
        <f>IF(Feuil2!38:38,"AAAAADL/794=",0)</f>
        <v>0</v>
      </c>
      <c r="HP1" t="e">
        <f>AND(Feuil2!A38,"AAAAADL/798=")</f>
        <v>#VALUE!</v>
      </c>
      <c r="HQ1" t="e">
        <f>AND(Feuil2!B38,"AAAAADL/7+A=")</f>
        <v>#VALUE!</v>
      </c>
      <c r="HR1" t="e">
        <f>AND(Feuil2!C38,"AAAAADL/7+E=")</f>
        <v>#VALUE!</v>
      </c>
      <c r="HS1" t="e">
        <f>AND(Feuil2!D38,"AAAAADL/7+I=")</f>
        <v>#VALUE!</v>
      </c>
      <c r="HT1" t="e">
        <f>AND(Feuil2!E38,"AAAAADL/7+M=")</f>
        <v>#VALUE!</v>
      </c>
      <c r="HU1">
        <f>IF(Feuil2!39:39,"AAAAADL/7+Q=",0)</f>
        <v>0</v>
      </c>
      <c r="HV1" t="e">
        <f>AND(Feuil2!A39,"AAAAADL/7+U=")</f>
        <v>#VALUE!</v>
      </c>
      <c r="HW1" t="e">
        <f>AND(Feuil2!B39,"AAAAADL/7+Y=")</f>
        <v>#VALUE!</v>
      </c>
      <c r="HX1" t="e">
        <f>AND(Feuil2!C39,"AAAAADL/7+c=")</f>
        <v>#VALUE!</v>
      </c>
      <c r="HY1" t="e">
        <f>AND(Feuil2!D39,"AAAAADL/7+g=")</f>
        <v>#VALUE!</v>
      </c>
      <c r="HZ1" t="e">
        <f>AND(Feuil2!E39,"AAAAADL/7+k=")</f>
        <v>#VALUE!</v>
      </c>
      <c r="IA1">
        <f>IF(Feuil2!40:40,"AAAAADL/7+o=",0)</f>
        <v>0</v>
      </c>
      <c r="IB1" t="e">
        <f>AND(Feuil2!A40,"AAAAADL/7+s=")</f>
        <v>#VALUE!</v>
      </c>
      <c r="IC1" t="e">
        <f>AND(Feuil2!B40,"AAAAADL/7+w=")</f>
        <v>#VALUE!</v>
      </c>
      <c r="ID1" t="e">
        <f>AND(Feuil2!C40,"AAAAADL/7+0=")</f>
        <v>#VALUE!</v>
      </c>
      <c r="IE1" t="e">
        <f>AND(Feuil2!D40,"AAAAADL/7+4=")</f>
        <v>#VALUE!</v>
      </c>
      <c r="IF1" t="e">
        <f>AND(Feuil2!E40,"AAAAADL/7+8=")</f>
        <v>#VALUE!</v>
      </c>
      <c r="IG1">
        <f>IF(Feuil2!41:41,"AAAAADL/7/A=",0)</f>
        <v>0</v>
      </c>
      <c r="IH1" t="e">
        <f>AND(Feuil2!A41,"AAAAADL/7/E=")</f>
        <v>#VALUE!</v>
      </c>
      <c r="II1" t="e">
        <f>AND(Feuil2!B41,"AAAAADL/7/I=")</f>
        <v>#VALUE!</v>
      </c>
      <c r="IJ1" t="e">
        <f>AND(Feuil2!C41,"AAAAADL/7/M=")</f>
        <v>#VALUE!</v>
      </c>
      <c r="IK1" t="e">
        <f>AND(Feuil2!D41,"AAAAADL/7/Q=")</f>
        <v>#VALUE!</v>
      </c>
      <c r="IL1" t="e">
        <f>AND(Feuil2!E41,"AAAAADL/7/U=")</f>
        <v>#VALUE!</v>
      </c>
      <c r="IM1">
        <f>IF(Feuil2!42:42,"AAAAADL/7/Y=",0)</f>
        <v>0</v>
      </c>
      <c r="IN1" t="e">
        <f>AND(Feuil2!A42,"AAAAADL/7/c=")</f>
        <v>#VALUE!</v>
      </c>
      <c r="IO1" t="e">
        <f>AND(Feuil2!B42,"AAAAADL/7/g=")</f>
        <v>#VALUE!</v>
      </c>
      <c r="IP1" t="e">
        <f>AND(Feuil2!C42,"AAAAADL/7/k=")</f>
        <v>#VALUE!</v>
      </c>
      <c r="IQ1" t="e">
        <f>AND(Feuil2!D42,"AAAAADL/7/o=")</f>
        <v>#VALUE!</v>
      </c>
      <c r="IR1" t="e">
        <f>AND(Feuil2!E42,"AAAAADL/7/s=")</f>
        <v>#VALUE!</v>
      </c>
      <c r="IS1">
        <f>IF(Feuil2!43:43,"AAAAADL/7/w=",0)</f>
        <v>0</v>
      </c>
      <c r="IT1" t="e">
        <f>AND(Feuil2!A43,"AAAAADL/7/0=")</f>
        <v>#VALUE!</v>
      </c>
      <c r="IU1" t="e">
        <f>AND(Feuil2!B43,"AAAAADL/7/4=")</f>
        <v>#VALUE!</v>
      </c>
      <c r="IV1" t="e">
        <f>AND(Feuil2!C43,"AAAAADL/7/8=")</f>
        <v>#VALUE!</v>
      </c>
    </row>
    <row r="2" spans="1:256" x14ac:dyDescent="0.25">
      <c r="A2" t="e">
        <f>AND(Feuil2!D43,"AAAAAB26/gA=")</f>
        <v>#VALUE!</v>
      </c>
      <c r="B2" t="e">
        <f>AND(Feuil2!E43,"AAAAAB26/gE=")</f>
        <v>#VALUE!</v>
      </c>
      <c r="C2">
        <f>IF(Feuil2!44:44,"AAAAAB26/gI=",0)</f>
        <v>0</v>
      </c>
      <c r="D2" t="e">
        <f>AND(Feuil2!A44,"AAAAAB26/gM=")</f>
        <v>#VALUE!</v>
      </c>
      <c r="E2" t="e">
        <f>AND(Feuil2!B44,"AAAAAB26/gQ=")</f>
        <v>#VALUE!</v>
      </c>
      <c r="F2" t="e">
        <f>AND(Feuil2!C44,"AAAAAB26/gU=")</f>
        <v>#VALUE!</v>
      </c>
      <c r="G2" t="e">
        <f>AND(Feuil2!D44,"AAAAAB26/gY=")</f>
        <v>#VALUE!</v>
      </c>
      <c r="H2" t="e">
        <f>AND(Feuil2!E44,"AAAAAB26/gc=")</f>
        <v>#VALUE!</v>
      </c>
      <c r="I2">
        <f>IF(Feuil2!45:45,"AAAAAB26/gg=",0)</f>
        <v>0</v>
      </c>
      <c r="J2" t="e">
        <f>AND(Feuil2!A45,"AAAAAB26/gk=")</f>
        <v>#VALUE!</v>
      </c>
      <c r="K2" t="e">
        <f>AND(Feuil2!B45,"AAAAAB26/go=")</f>
        <v>#VALUE!</v>
      </c>
      <c r="L2" t="e">
        <f>AND(Feuil2!C45,"AAAAAB26/gs=")</f>
        <v>#VALUE!</v>
      </c>
      <c r="M2" t="e">
        <f>AND(Feuil2!D45,"AAAAAB26/gw=")</f>
        <v>#VALUE!</v>
      </c>
      <c r="N2" t="e">
        <f>AND(Feuil2!E45,"AAAAAB26/g0=")</f>
        <v>#VALUE!</v>
      </c>
      <c r="O2">
        <f>IF(Feuil2!46:46,"AAAAAB26/g4=",0)</f>
        <v>0</v>
      </c>
      <c r="P2" t="e">
        <f>AND(Feuil2!A46,"AAAAAB26/g8=")</f>
        <v>#VALUE!</v>
      </c>
      <c r="Q2" t="e">
        <f>AND(Feuil2!B46,"AAAAAB26/hA=")</f>
        <v>#VALUE!</v>
      </c>
      <c r="R2" t="e">
        <f>AND(Feuil2!C46,"AAAAAB26/hE=")</f>
        <v>#VALUE!</v>
      </c>
      <c r="S2" t="e">
        <f>AND(Feuil2!D46,"AAAAAB26/hI=")</f>
        <v>#VALUE!</v>
      </c>
      <c r="T2" t="e">
        <f>AND(Feuil2!E46,"AAAAAB26/hM=")</f>
        <v>#VALUE!</v>
      </c>
      <c r="U2">
        <f>IF(Feuil2!47:47,"AAAAAB26/hQ=",0)</f>
        <v>0</v>
      </c>
      <c r="V2" t="e">
        <f>AND(Feuil2!A47,"AAAAAB26/hU=")</f>
        <v>#VALUE!</v>
      </c>
      <c r="W2" t="e">
        <f>AND(Feuil2!B47,"AAAAAB26/hY=")</f>
        <v>#VALUE!</v>
      </c>
      <c r="X2" t="e">
        <f>AND(Feuil2!C47,"AAAAAB26/hc=")</f>
        <v>#VALUE!</v>
      </c>
      <c r="Y2" t="e">
        <f>AND(Feuil2!D47,"AAAAAB26/hg=")</f>
        <v>#VALUE!</v>
      </c>
      <c r="Z2" t="e">
        <f>AND(Feuil2!E47,"AAAAAB26/hk=")</f>
        <v>#VALUE!</v>
      </c>
      <c r="AA2" t="e">
        <f>IF(Feuil2!A:A,"AAAAAB26/ho=",0)</f>
        <v>#VALUE!</v>
      </c>
      <c r="AB2" t="e">
        <f>IF(Feuil2!B:B,"AAAAAB26/hs=",0)</f>
        <v>#VALUE!</v>
      </c>
      <c r="AC2">
        <f>IF(Feuil2!C:C,"AAAAAB26/hw=",0)</f>
        <v>0</v>
      </c>
      <c r="AD2">
        <f>IF(Feuil2!D:D,"AAAAAB26/h0=",0)</f>
        <v>0</v>
      </c>
      <c r="AE2" t="e">
        <f>IF(Feuil2!E:E,"AAAAAB26/h4=",0)</f>
        <v>#VALUE!</v>
      </c>
      <c r="AF2">
        <f>IF(Feuil1!1:1,"AAAAAB26/h8=",0)</f>
        <v>0</v>
      </c>
      <c r="AG2" t="e">
        <f>AND(Feuil1!A1,"AAAAAB26/iA=")</f>
        <v>#VALUE!</v>
      </c>
      <c r="AH2" t="e">
        <f>AND(Feuil1!B1,"AAAAAB26/iE=")</f>
        <v>#VALUE!</v>
      </c>
      <c r="AI2" t="e">
        <f>AND(Feuil1!C1,"AAAAAB26/iI=")</f>
        <v>#VALUE!</v>
      </c>
      <c r="AJ2" t="e">
        <f>AND(Feuil1!D1,"AAAAAB26/iM=")</f>
        <v>#VALUE!</v>
      </c>
      <c r="AK2" t="e">
        <f>AND(Feuil1!E1,"AAAAAB26/iQ=")</f>
        <v>#VALUE!</v>
      </c>
      <c r="AL2" t="e">
        <f>AND(Feuil1!F1,"AAAAAB26/iU=")</f>
        <v>#VALUE!</v>
      </c>
      <c r="AM2" t="e">
        <f>AND(Feuil1!H1,"AAAAAB26/iY=")</f>
        <v>#VALUE!</v>
      </c>
      <c r="AN2" t="e">
        <f>AND(Feuil1!I1,"AAAAAB26/ic=")</f>
        <v>#VALUE!</v>
      </c>
      <c r="AO2" t="e">
        <f>AND(Feuil1!#REF!,"AAAAAB26/ig=")</f>
        <v>#REF!</v>
      </c>
      <c r="AP2" t="e">
        <f>AND(Feuil1!#REF!,"AAAAAB26/ik=")</f>
        <v>#REF!</v>
      </c>
      <c r="AQ2" t="e">
        <f>AND(Feuil1!#REF!,"AAAAAB26/io=")</f>
        <v>#REF!</v>
      </c>
      <c r="AR2" t="e">
        <f>AND(Feuil1!#REF!,"AAAAAB26/is=")</f>
        <v>#REF!</v>
      </c>
      <c r="AS2" t="e">
        <f>AND(Feuil1!#REF!,"AAAAAB26/iw=")</f>
        <v>#REF!</v>
      </c>
      <c r="AT2" t="e">
        <f>AND(Feuil1!#REF!,"AAAAAB26/i0=")</f>
        <v>#REF!</v>
      </c>
      <c r="AU2">
        <f>IF(Feuil1!2:2,"AAAAAB26/i4=",0)</f>
        <v>0</v>
      </c>
      <c r="AV2" t="e">
        <f>AND(Feuil1!A2,"AAAAAB26/i8=")</f>
        <v>#VALUE!</v>
      </c>
      <c r="AW2" t="e">
        <f>AND(Feuil1!B2,"AAAAAB26/jA=")</f>
        <v>#VALUE!</v>
      </c>
      <c r="AX2" t="e">
        <f>AND(Feuil1!C2,"AAAAAB26/jE=")</f>
        <v>#VALUE!</v>
      </c>
      <c r="AY2" t="e">
        <f>AND(Feuil1!D2,"AAAAAB26/jI=")</f>
        <v>#VALUE!</v>
      </c>
      <c r="AZ2" t="e">
        <f>AND(Feuil1!E2,"AAAAAB26/jM=")</f>
        <v>#VALUE!</v>
      </c>
      <c r="BA2" t="e">
        <f>AND(Feuil1!F2,"AAAAAB26/jQ=")</f>
        <v>#VALUE!</v>
      </c>
      <c r="BB2" t="e">
        <f>AND(Feuil1!H2,"AAAAAB26/jU=")</f>
        <v>#VALUE!</v>
      </c>
      <c r="BC2" t="e">
        <f>AND(Feuil1!I2,"AAAAAB26/jY=")</f>
        <v>#VALUE!</v>
      </c>
      <c r="BD2" t="e">
        <f>AND(Feuil1!#REF!,"AAAAAB26/jc=")</f>
        <v>#REF!</v>
      </c>
      <c r="BE2" t="e">
        <f>AND(Feuil1!#REF!,"AAAAAB26/jg=")</f>
        <v>#REF!</v>
      </c>
      <c r="BF2" t="e">
        <f>AND(Feuil1!#REF!,"AAAAAB26/jk=")</f>
        <v>#REF!</v>
      </c>
      <c r="BG2" t="e">
        <f>AND(Feuil1!#REF!,"AAAAAB26/jo=")</f>
        <v>#REF!</v>
      </c>
      <c r="BH2" t="e">
        <f>AND(Feuil1!#REF!,"AAAAAB26/js=")</f>
        <v>#REF!</v>
      </c>
      <c r="BI2" t="e">
        <f>AND(Feuil1!#REF!,"AAAAAB26/jw=")</f>
        <v>#REF!</v>
      </c>
      <c r="BJ2">
        <f>IF(Feuil1!3:3,"AAAAAB26/j0=",0)</f>
        <v>0</v>
      </c>
      <c r="BK2" t="e">
        <f>AND(Feuil1!A3,"AAAAAB26/j4=")</f>
        <v>#VALUE!</v>
      </c>
      <c r="BL2" t="e">
        <f>AND(Feuil1!B3,"AAAAAB26/j8=")</f>
        <v>#VALUE!</v>
      </c>
      <c r="BM2" t="e">
        <f>AND(Feuil1!C3,"AAAAAB26/kA=")</f>
        <v>#VALUE!</v>
      </c>
      <c r="BN2" t="e">
        <f>AND(Feuil1!D3,"AAAAAB26/kE=")</f>
        <v>#VALUE!</v>
      </c>
      <c r="BO2" t="e">
        <f>AND(Feuil1!E3,"AAAAAB26/kI=")</f>
        <v>#VALUE!</v>
      </c>
      <c r="BP2" t="e">
        <f>AND(Feuil1!F3,"AAAAAB26/kM=")</f>
        <v>#VALUE!</v>
      </c>
      <c r="BQ2" t="e">
        <f>AND(Feuil1!H3,"AAAAAB26/kQ=")</f>
        <v>#VALUE!</v>
      </c>
      <c r="BR2" t="e">
        <f>AND(Feuil1!I3,"AAAAAB26/kU=")</f>
        <v>#VALUE!</v>
      </c>
      <c r="BS2" t="e">
        <f>AND(Feuil1!#REF!,"AAAAAB26/kY=")</f>
        <v>#REF!</v>
      </c>
      <c r="BT2" t="e">
        <f>AND(Feuil1!#REF!,"AAAAAB26/kc=")</f>
        <v>#REF!</v>
      </c>
      <c r="BU2" t="e">
        <f>AND(Feuil1!#REF!,"AAAAAB26/kg=")</f>
        <v>#REF!</v>
      </c>
      <c r="BV2" t="e">
        <f>AND(Feuil1!#REF!,"AAAAAB26/kk=")</f>
        <v>#REF!</v>
      </c>
      <c r="BW2" t="e">
        <f>AND(Feuil1!#REF!,"AAAAAB26/ko=")</f>
        <v>#REF!</v>
      </c>
      <c r="BX2" t="e">
        <f>AND(Feuil1!#REF!,"AAAAAB26/ks=")</f>
        <v>#REF!</v>
      </c>
      <c r="BY2">
        <f>IF(Feuil1!4:4,"AAAAAB26/kw=",0)</f>
        <v>0</v>
      </c>
      <c r="BZ2" t="e">
        <f>AND(Feuil1!A4,"AAAAAB26/k0=")</f>
        <v>#VALUE!</v>
      </c>
      <c r="CA2" t="e">
        <f>AND(Feuil1!B4,"AAAAAB26/k4=")</f>
        <v>#VALUE!</v>
      </c>
      <c r="CB2" t="e">
        <f>AND(Feuil1!C4,"AAAAAB26/k8=")</f>
        <v>#VALUE!</v>
      </c>
      <c r="CC2" t="e">
        <f>AND(Feuil1!D4,"AAAAAB26/lA=")</f>
        <v>#VALUE!</v>
      </c>
      <c r="CD2" t="e">
        <f>AND(Feuil1!E4,"AAAAAB26/lE=")</f>
        <v>#VALUE!</v>
      </c>
      <c r="CE2" t="e">
        <f>AND(Feuil1!F4,"AAAAAB26/lI=")</f>
        <v>#VALUE!</v>
      </c>
      <c r="CF2" t="e">
        <f>AND(Feuil1!H4,"AAAAAB26/lM=")</f>
        <v>#VALUE!</v>
      </c>
      <c r="CG2" t="e">
        <f>AND(Feuil1!I4,"AAAAAB26/lQ=")</f>
        <v>#VALUE!</v>
      </c>
      <c r="CH2" t="e">
        <f>AND(Feuil1!#REF!,"AAAAAB26/lU=")</f>
        <v>#REF!</v>
      </c>
      <c r="CI2" t="e">
        <f>AND(Feuil1!#REF!,"AAAAAB26/lY=")</f>
        <v>#REF!</v>
      </c>
      <c r="CJ2" t="e">
        <f>AND(Feuil1!#REF!,"AAAAAB26/lc=")</f>
        <v>#REF!</v>
      </c>
      <c r="CK2" t="e">
        <f>AND(Feuil1!#REF!,"AAAAAB26/lg=")</f>
        <v>#REF!</v>
      </c>
      <c r="CL2" t="e">
        <f>AND(Feuil1!#REF!,"AAAAAB26/lk=")</f>
        <v>#REF!</v>
      </c>
      <c r="CM2" t="e">
        <f>AND(Feuil1!#REF!,"AAAAAB26/lo=")</f>
        <v>#REF!</v>
      </c>
      <c r="CN2">
        <f>IF(Feuil1!5:5,"AAAAAB26/ls=",0)</f>
        <v>0</v>
      </c>
      <c r="CO2" t="e">
        <f>AND(Feuil1!A5,"AAAAAB26/lw=")</f>
        <v>#VALUE!</v>
      </c>
      <c r="CP2" t="e">
        <f>AND(Feuil1!B5,"AAAAAB26/l0=")</f>
        <v>#VALUE!</v>
      </c>
      <c r="CQ2" t="e">
        <f>AND(Feuil1!C5,"AAAAAB26/l4=")</f>
        <v>#VALUE!</v>
      </c>
      <c r="CR2" t="e">
        <f>AND(Feuil1!D5,"AAAAAB26/l8=")</f>
        <v>#VALUE!</v>
      </c>
      <c r="CS2" t="e">
        <f>AND(Feuil1!E5,"AAAAAB26/mA=")</f>
        <v>#VALUE!</v>
      </c>
      <c r="CT2" t="e">
        <f>AND(Feuil1!F5,"AAAAAB26/mE=")</f>
        <v>#VALUE!</v>
      </c>
      <c r="CU2" t="e">
        <f>AND(Feuil1!H5,"AAAAAB26/mI=")</f>
        <v>#VALUE!</v>
      </c>
      <c r="CV2" t="e">
        <f>AND(Feuil1!I5,"AAAAAB26/mM=")</f>
        <v>#VALUE!</v>
      </c>
      <c r="CW2" t="e">
        <f>AND(Feuil1!#REF!,"AAAAAB26/mQ=")</f>
        <v>#REF!</v>
      </c>
      <c r="CX2" t="e">
        <f>AND(Feuil1!#REF!,"AAAAAB26/mU=")</f>
        <v>#REF!</v>
      </c>
      <c r="CY2" t="e">
        <f>AND(Feuil1!#REF!,"AAAAAB26/mY=")</f>
        <v>#REF!</v>
      </c>
      <c r="CZ2" t="e">
        <f>AND(Feuil1!#REF!,"AAAAAB26/mc=")</f>
        <v>#REF!</v>
      </c>
      <c r="DA2" t="e">
        <f>AND(Feuil1!#REF!,"AAAAAB26/mg=")</f>
        <v>#REF!</v>
      </c>
      <c r="DB2" t="e">
        <f>AND(Feuil1!#REF!,"AAAAAB26/mk=")</f>
        <v>#REF!</v>
      </c>
      <c r="DC2">
        <f>IF(Feuil1!6:6,"AAAAAB26/mo=",0)</f>
        <v>0</v>
      </c>
      <c r="DD2" t="e">
        <f>AND(Feuil1!A6,"AAAAAB26/ms=")</f>
        <v>#VALUE!</v>
      </c>
      <c r="DE2" t="e">
        <f>AND(Feuil1!B6,"AAAAAB26/mw=")</f>
        <v>#VALUE!</v>
      </c>
      <c r="DF2" t="e">
        <f>AND(Feuil1!C6,"AAAAAB26/m0=")</f>
        <v>#VALUE!</v>
      </c>
      <c r="DG2" t="e">
        <f>AND(Feuil1!D6,"AAAAAB26/m4=")</f>
        <v>#VALUE!</v>
      </c>
      <c r="DH2" t="e">
        <f>AND(Feuil1!E6,"AAAAAB26/m8=")</f>
        <v>#VALUE!</v>
      </c>
      <c r="DI2" t="e">
        <f>AND(Feuil1!F6,"AAAAAB26/nA=")</f>
        <v>#VALUE!</v>
      </c>
      <c r="DJ2" t="e">
        <f>AND(Feuil1!H6,"AAAAAB26/nE=")</f>
        <v>#VALUE!</v>
      </c>
      <c r="DK2" t="e">
        <f>AND(Feuil1!I6,"AAAAAB26/nI=")</f>
        <v>#VALUE!</v>
      </c>
      <c r="DL2" t="e">
        <f>AND(Feuil1!#REF!,"AAAAAB26/nM=")</f>
        <v>#REF!</v>
      </c>
      <c r="DM2" t="e">
        <f>AND(Feuil1!#REF!,"AAAAAB26/nQ=")</f>
        <v>#REF!</v>
      </c>
      <c r="DN2" t="e">
        <f>AND(Feuil1!#REF!,"AAAAAB26/nU=")</f>
        <v>#REF!</v>
      </c>
      <c r="DO2" t="e">
        <f>AND(Feuil1!#REF!,"AAAAAB26/nY=")</f>
        <v>#REF!</v>
      </c>
      <c r="DP2" t="e">
        <f>AND(Feuil1!#REF!,"AAAAAB26/nc=")</f>
        <v>#REF!</v>
      </c>
      <c r="DQ2" t="e">
        <f>AND(Feuil1!#REF!,"AAAAAB26/ng=")</f>
        <v>#REF!</v>
      </c>
      <c r="DR2">
        <f>IF(Feuil1!7:7,"AAAAAB26/nk=",0)</f>
        <v>0</v>
      </c>
      <c r="DS2" t="e">
        <f>AND(Feuil1!A7,"AAAAAB26/no=")</f>
        <v>#VALUE!</v>
      </c>
      <c r="DT2" t="e">
        <f>AND(Feuil1!B7,"AAAAAB26/ns=")</f>
        <v>#VALUE!</v>
      </c>
      <c r="DU2" t="e">
        <f>AND(Feuil1!C7,"AAAAAB26/nw=")</f>
        <v>#VALUE!</v>
      </c>
      <c r="DV2" t="e">
        <f>AND(Feuil1!D7,"AAAAAB26/n0=")</f>
        <v>#VALUE!</v>
      </c>
      <c r="DW2" t="e">
        <f>AND(Feuil1!E7,"AAAAAB26/n4=")</f>
        <v>#VALUE!</v>
      </c>
      <c r="DX2" t="e">
        <f>AND(Feuil1!F7,"AAAAAB26/n8=")</f>
        <v>#VALUE!</v>
      </c>
      <c r="DY2" t="e">
        <f>AND(Feuil1!H7,"AAAAAB26/oA=")</f>
        <v>#VALUE!</v>
      </c>
      <c r="DZ2" t="e">
        <f>AND(Feuil1!I7,"AAAAAB26/oE=")</f>
        <v>#VALUE!</v>
      </c>
      <c r="EA2" t="e">
        <f>AND(Feuil1!#REF!,"AAAAAB26/oI=")</f>
        <v>#REF!</v>
      </c>
      <c r="EB2" t="e">
        <f>AND(Feuil1!#REF!,"AAAAAB26/oM=")</f>
        <v>#REF!</v>
      </c>
      <c r="EC2" t="e">
        <f>AND(Feuil1!#REF!,"AAAAAB26/oQ=")</f>
        <v>#REF!</v>
      </c>
      <c r="ED2" t="e">
        <f>AND(Feuil1!#REF!,"AAAAAB26/oU=")</f>
        <v>#REF!</v>
      </c>
      <c r="EE2" t="e">
        <f>AND(Feuil1!#REF!,"AAAAAB26/oY=")</f>
        <v>#REF!</v>
      </c>
      <c r="EF2" t="e">
        <f>AND(Feuil1!#REF!,"AAAAAB26/oc=")</f>
        <v>#REF!</v>
      </c>
      <c r="EG2">
        <f>IF(Feuil1!8:8,"AAAAAB26/og=",0)</f>
        <v>0</v>
      </c>
      <c r="EH2" t="e">
        <f>AND(Feuil1!A8,"AAAAAB26/ok=")</f>
        <v>#VALUE!</v>
      </c>
      <c r="EI2" t="e">
        <f>AND(Feuil1!B8,"AAAAAB26/oo=")</f>
        <v>#VALUE!</v>
      </c>
      <c r="EJ2" t="e">
        <f>AND(Feuil1!C8,"AAAAAB26/os=")</f>
        <v>#VALUE!</v>
      </c>
      <c r="EK2" t="e">
        <f>AND(Feuil1!D8,"AAAAAB26/ow=")</f>
        <v>#VALUE!</v>
      </c>
      <c r="EL2" t="e">
        <f>AND(Feuil1!E8,"AAAAAB26/o0=")</f>
        <v>#VALUE!</v>
      </c>
      <c r="EM2" t="e">
        <f>AND(Feuil1!F8,"AAAAAB26/o4=")</f>
        <v>#VALUE!</v>
      </c>
      <c r="EN2" t="e">
        <f>AND(Feuil1!H8,"AAAAAB26/o8=")</f>
        <v>#VALUE!</v>
      </c>
      <c r="EO2" t="e">
        <f>AND(Feuil1!I8,"AAAAAB26/pA=")</f>
        <v>#VALUE!</v>
      </c>
      <c r="EP2" t="e">
        <f>AND(Feuil1!#REF!,"AAAAAB26/pE=")</f>
        <v>#REF!</v>
      </c>
      <c r="EQ2" t="e">
        <f>AND(Feuil1!#REF!,"AAAAAB26/pI=")</f>
        <v>#REF!</v>
      </c>
      <c r="ER2" t="e">
        <f>AND(Feuil1!#REF!,"AAAAAB26/pM=")</f>
        <v>#REF!</v>
      </c>
      <c r="ES2" t="e">
        <f>AND(Feuil1!#REF!,"AAAAAB26/pQ=")</f>
        <v>#REF!</v>
      </c>
      <c r="ET2" t="e">
        <f>AND(Feuil1!#REF!,"AAAAAB26/pU=")</f>
        <v>#REF!</v>
      </c>
      <c r="EU2" t="e">
        <f>AND(Feuil1!#REF!,"AAAAAB26/pY=")</f>
        <v>#REF!</v>
      </c>
      <c r="EV2">
        <f>IF(Feuil1!9:9,"AAAAAB26/pc=",0)</f>
        <v>0</v>
      </c>
      <c r="EW2" t="e">
        <f>AND(Feuil1!A9,"AAAAAB26/pg=")</f>
        <v>#VALUE!</v>
      </c>
      <c r="EX2" t="e">
        <f>AND(Feuil1!B9,"AAAAAB26/pk=")</f>
        <v>#VALUE!</v>
      </c>
      <c r="EY2" t="e">
        <f>AND(Feuil1!C9,"AAAAAB26/po=")</f>
        <v>#VALUE!</v>
      </c>
      <c r="EZ2" t="e">
        <f>AND(Feuil1!D9,"AAAAAB26/ps=")</f>
        <v>#VALUE!</v>
      </c>
      <c r="FA2" t="e">
        <f>AND(Feuil1!E9,"AAAAAB26/pw=")</f>
        <v>#VALUE!</v>
      </c>
      <c r="FB2" t="e">
        <f>AND(Feuil1!F9,"AAAAAB26/p0=")</f>
        <v>#VALUE!</v>
      </c>
      <c r="FC2" t="e">
        <f>AND(Feuil1!H9,"AAAAAB26/p4=")</f>
        <v>#VALUE!</v>
      </c>
      <c r="FD2" t="e">
        <f>AND(Feuil1!I9,"AAAAAB26/p8=")</f>
        <v>#VALUE!</v>
      </c>
      <c r="FE2" t="e">
        <f>AND(Feuil1!#REF!,"AAAAAB26/qA=")</f>
        <v>#REF!</v>
      </c>
      <c r="FF2" t="e">
        <f>AND(Feuil1!#REF!,"AAAAAB26/qE=")</f>
        <v>#REF!</v>
      </c>
      <c r="FG2" t="e">
        <f>AND(Feuil1!#REF!,"AAAAAB26/qI=")</f>
        <v>#REF!</v>
      </c>
      <c r="FH2" t="e">
        <f>AND(Feuil1!#REF!,"AAAAAB26/qM=")</f>
        <v>#REF!</v>
      </c>
      <c r="FI2" t="e">
        <f>AND(Feuil1!#REF!,"AAAAAB26/qQ=")</f>
        <v>#REF!</v>
      </c>
      <c r="FJ2" t="e">
        <f>AND(Feuil1!#REF!,"AAAAAB26/qU=")</f>
        <v>#REF!</v>
      </c>
      <c r="FK2">
        <f>IF(Feuil1!10:10,"AAAAAB26/qY=",0)</f>
        <v>0</v>
      </c>
      <c r="FL2" t="e">
        <f>AND(Feuil1!A10,"AAAAAB26/qc=")</f>
        <v>#VALUE!</v>
      </c>
      <c r="FM2" t="e">
        <f>AND(Feuil1!B10,"AAAAAB26/qg=")</f>
        <v>#VALUE!</v>
      </c>
      <c r="FN2" t="e">
        <f>AND(Feuil1!C10,"AAAAAB26/qk=")</f>
        <v>#VALUE!</v>
      </c>
      <c r="FO2" t="e">
        <f>AND(Feuil1!D10,"AAAAAB26/qo=")</f>
        <v>#VALUE!</v>
      </c>
      <c r="FP2" t="e">
        <f>AND(Feuil1!E10,"AAAAAB26/qs=")</f>
        <v>#VALUE!</v>
      </c>
      <c r="FQ2" t="e">
        <f>AND(Feuil1!F10,"AAAAAB26/qw=")</f>
        <v>#VALUE!</v>
      </c>
      <c r="FR2" t="e">
        <f>AND(Feuil1!H10,"AAAAAB26/q0=")</f>
        <v>#VALUE!</v>
      </c>
      <c r="FS2" t="e">
        <f>AND(Feuil1!I10,"AAAAAB26/q4=")</f>
        <v>#VALUE!</v>
      </c>
      <c r="FT2" t="e">
        <f>AND(Feuil1!#REF!,"AAAAAB26/q8=")</f>
        <v>#REF!</v>
      </c>
      <c r="FU2" t="e">
        <f>AND(Feuil1!#REF!,"AAAAAB26/rA=")</f>
        <v>#REF!</v>
      </c>
      <c r="FV2" t="e">
        <f>AND(Feuil1!#REF!,"AAAAAB26/rE=")</f>
        <v>#REF!</v>
      </c>
      <c r="FW2" t="e">
        <f>AND(Feuil1!#REF!,"AAAAAB26/rI=")</f>
        <v>#REF!</v>
      </c>
      <c r="FX2" t="e">
        <f>AND(Feuil1!#REF!,"AAAAAB26/rM=")</f>
        <v>#REF!</v>
      </c>
      <c r="FY2" t="e">
        <f>AND(Feuil1!#REF!,"AAAAAB26/rQ=")</f>
        <v>#REF!</v>
      </c>
      <c r="FZ2">
        <f>IF(Feuil1!11:11,"AAAAAB26/rU=",0)</f>
        <v>0</v>
      </c>
      <c r="GA2" t="e">
        <f>AND(Feuil1!A11,"AAAAAB26/rY=")</f>
        <v>#VALUE!</v>
      </c>
      <c r="GB2" t="e">
        <f>AND(Feuil1!B11,"AAAAAB26/rc=")</f>
        <v>#VALUE!</v>
      </c>
      <c r="GC2" t="e">
        <f>AND(Feuil1!C11,"AAAAAB26/rg=")</f>
        <v>#VALUE!</v>
      </c>
      <c r="GD2" t="e">
        <f>AND(Feuil1!D11,"AAAAAB26/rk=")</f>
        <v>#VALUE!</v>
      </c>
      <c r="GE2" t="e">
        <f>AND(Feuil1!E11,"AAAAAB26/ro=")</f>
        <v>#VALUE!</v>
      </c>
      <c r="GF2" t="e">
        <f>AND(Feuil1!F11,"AAAAAB26/rs=")</f>
        <v>#VALUE!</v>
      </c>
      <c r="GG2" t="e">
        <f>AND(Feuil1!H11,"AAAAAB26/rw=")</f>
        <v>#VALUE!</v>
      </c>
      <c r="GH2" t="e">
        <f>AND(Feuil1!I11,"AAAAAB26/r0=")</f>
        <v>#VALUE!</v>
      </c>
      <c r="GI2" t="e">
        <f>AND(Feuil1!#REF!,"AAAAAB26/r4=")</f>
        <v>#REF!</v>
      </c>
      <c r="GJ2" t="e">
        <f>AND(Feuil1!#REF!,"AAAAAB26/r8=")</f>
        <v>#REF!</v>
      </c>
      <c r="GK2" t="e">
        <f>AND(Feuil1!#REF!,"AAAAAB26/sA=")</f>
        <v>#REF!</v>
      </c>
      <c r="GL2" t="e">
        <f>AND(Feuil1!#REF!,"AAAAAB26/sE=")</f>
        <v>#REF!</v>
      </c>
      <c r="GM2" t="e">
        <f>AND(Feuil1!#REF!,"AAAAAB26/sI=")</f>
        <v>#REF!</v>
      </c>
      <c r="GN2" t="e">
        <f>AND(Feuil1!#REF!,"AAAAAB26/sM=")</f>
        <v>#REF!</v>
      </c>
      <c r="GO2">
        <f>IF(Feuil1!12:12,"AAAAAB26/sQ=",0)</f>
        <v>0</v>
      </c>
      <c r="GP2" t="e">
        <f>AND(Feuil1!A12,"AAAAAB26/sU=")</f>
        <v>#VALUE!</v>
      </c>
      <c r="GQ2" t="e">
        <f>AND(Feuil1!B12,"AAAAAB26/sY=")</f>
        <v>#VALUE!</v>
      </c>
      <c r="GR2" t="e">
        <f>AND(Feuil1!C12,"AAAAAB26/sc=")</f>
        <v>#VALUE!</v>
      </c>
      <c r="GS2" t="e">
        <f>AND(Feuil1!D12,"AAAAAB26/sg=")</f>
        <v>#VALUE!</v>
      </c>
      <c r="GT2" t="e">
        <f>AND(Feuil1!E12,"AAAAAB26/sk=")</f>
        <v>#VALUE!</v>
      </c>
      <c r="GU2" t="e">
        <f>AND(Feuil1!F12,"AAAAAB26/so=")</f>
        <v>#VALUE!</v>
      </c>
      <c r="GV2" t="e">
        <f>AND(Feuil1!H12,"AAAAAB26/ss=")</f>
        <v>#VALUE!</v>
      </c>
      <c r="GW2" t="e">
        <f>AND(Feuil1!I12,"AAAAAB26/sw=")</f>
        <v>#VALUE!</v>
      </c>
      <c r="GX2" t="e">
        <f>AND(Feuil1!#REF!,"AAAAAB26/s0=")</f>
        <v>#REF!</v>
      </c>
      <c r="GY2" t="e">
        <f>AND(Feuil1!#REF!,"AAAAAB26/s4=")</f>
        <v>#REF!</v>
      </c>
      <c r="GZ2" t="e">
        <f>AND(Feuil1!#REF!,"AAAAAB26/s8=")</f>
        <v>#REF!</v>
      </c>
      <c r="HA2" t="e">
        <f>AND(Feuil1!#REF!,"AAAAAB26/tA=")</f>
        <v>#REF!</v>
      </c>
      <c r="HB2" t="e">
        <f>AND(Feuil1!#REF!,"AAAAAB26/tE=")</f>
        <v>#REF!</v>
      </c>
      <c r="HC2" t="e">
        <f>AND(Feuil1!#REF!,"AAAAAB26/tI=")</f>
        <v>#REF!</v>
      </c>
      <c r="HD2">
        <f>IF(Feuil1!13:13,"AAAAAB26/tM=",0)</f>
        <v>0</v>
      </c>
      <c r="HE2" t="e">
        <f>AND(Feuil1!A13,"AAAAAB26/tQ=")</f>
        <v>#VALUE!</v>
      </c>
      <c r="HF2" t="e">
        <f>AND(Feuil1!B13,"AAAAAB26/tU=")</f>
        <v>#VALUE!</v>
      </c>
      <c r="HG2" t="e">
        <f>AND(Feuil1!C13,"AAAAAB26/tY=")</f>
        <v>#VALUE!</v>
      </c>
      <c r="HH2" t="e">
        <f>AND(Feuil1!D13,"AAAAAB26/tc=")</f>
        <v>#VALUE!</v>
      </c>
      <c r="HI2" t="e">
        <f>AND(Feuil1!E13,"AAAAAB26/tg=")</f>
        <v>#VALUE!</v>
      </c>
      <c r="HJ2" t="e">
        <f>AND(Feuil1!F13,"AAAAAB26/tk=")</f>
        <v>#VALUE!</v>
      </c>
      <c r="HK2" t="e">
        <f>AND(Feuil1!H13,"AAAAAB26/to=")</f>
        <v>#VALUE!</v>
      </c>
      <c r="HL2" t="e">
        <f>AND(Feuil1!I13,"AAAAAB26/ts=")</f>
        <v>#VALUE!</v>
      </c>
      <c r="HM2" t="e">
        <f>AND(Feuil1!#REF!,"AAAAAB26/tw=")</f>
        <v>#REF!</v>
      </c>
      <c r="HN2" t="e">
        <f>AND(Feuil1!#REF!,"AAAAAB26/t0=")</f>
        <v>#REF!</v>
      </c>
      <c r="HO2" t="e">
        <f>AND(Feuil1!#REF!,"AAAAAB26/t4=")</f>
        <v>#REF!</v>
      </c>
      <c r="HP2" t="e">
        <f>AND(Feuil1!#REF!,"AAAAAB26/t8=")</f>
        <v>#REF!</v>
      </c>
      <c r="HQ2" t="e">
        <f>AND(Feuil1!#REF!,"AAAAAB26/uA=")</f>
        <v>#REF!</v>
      </c>
      <c r="HR2" t="e">
        <f>AND(Feuil1!#REF!,"AAAAAB26/uE=")</f>
        <v>#REF!</v>
      </c>
      <c r="HS2">
        <f>IF(Feuil1!14:14,"AAAAAB26/uI=",0)</f>
        <v>0</v>
      </c>
      <c r="HT2" t="e">
        <f>AND(Feuil1!A14,"AAAAAB26/uM=")</f>
        <v>#VALUE!</v>
      </c>
      <c r="HU2" t="e">
        <f>AND(Feuil1!B14,"AAAAAB26/uQ=")</f>
        <v>#VALUE!</v>
      </c>
      <c r="HV2" t="e">
        <f>AND(Feuil1!C14,"AAAAAB26/uU=")</f>
        <v>#VALUE!</v>
      </c>
      <c r="HW2" t="e">
        <f>AND(Feuil1!D14,"AAAAAB26/uY=")</f>
        <v>#VALUE!</v>
      </c>
      <c r="HX2" t="e">
        <f>AND(Feuil1!E14,"AAAAAB26/uc=")</f>
        <v>#VALUE!</v>
      </c>
      <c r="HY2" t="e">
        <f>AND(Feuil1!F14,"AAAAAB26/ug=")</f>
        <v>#VALUE!</v>
      </c>
      <c r="HZ2" t="e">
        <f>AND(Feuil1!H14,"AAAAAB26/uk=")</f>
        <v>#VALUE!</v>
      </c>
      <c r="IA2" t="e">
        <f>AND(Feuil1!I14,"AAAAAB26/uo=")</f>
        <v>#VALUE!</v>
      </c>
      <c r="IB2" t="e">
        <f>AND(Feuil1!#REF!,"AAAAAB26/us=")</f>
        <v>#REF!</v>
      </c>
      <c r="IC2" t="e">
        <f>AND(Feuil1!#REF!,"AAAAAB26/uw=")</f>
        <v>#REF!</v>
      </c>
      <c r="ID2" t="e">
        <f>AND(Feuil1!#REF!,"AAAAAB26/u0=")</f>
        <v>#REF!</v>
      </c>
      <c r="IE2" t="e">
        <f>AND(Feuil1!#REF!,"AAAAAB26/u4=")</f>
        <v>#REF!</v>
      </c>
      <c r="IF2" t="e">
        <f>AND(Feuil1!#REF!,"AAAAAB26/u8=")</f>
        <v>#REF!</v>
      </c>
      <c r="IG2" t="e">
        <f>AND(Feuil1!#REF!,"AAAAAB26/vA=")</f>
        <v>#REF!</v>
      </c>
      <c r="IH2">
        <f>IF(Feuil1!15:15,"AAAAAB26/vE=",0)</f>
        <v>0</v>
      </c>
      <c r="II2" t="e">
        <f>AND(Feuil1!A15,"AAAAAB26/vI=")</f>
        <v>#VALUE!</v>
      </c>
      <c r="IJ2" t="e">
        <f>AND(Feuil1!B15,"AAAAAB26/vM=")</f>
        <v>#VALUE!</v>
      </c>
      <c r="IK2" t="e">
        <f>AND(Feuil1!C15,"AAAAAB26/vQ=")</f>
        <v>#VALUE!</v>
      </c>
      <c r="IL2" t="e">
        <f>AND(Feuil1!D15,"AAAAAB26/vU=")</f>
        <v>#VALUE!</v>
      </c>
      <c r="IM2" t="e">
        <f>AND(Feuil1!E15,"AAAAAB26/vY=")</f>
        <v>#VALUE!</v>
      </c>
      <c r="IN2" t="e">
        <f>AND(Feuil1!F15,"AAAAAB26/vc=")</f>
        <v>#VALUE!</v>
      </c>
      <c r="IO2" t="e">
        <f>AND(Feuil1!H15,"AAAAAB26/vg=")</f>
        <v>#VALUE!</v>
      </c>
      <c r="IP2" t="e">
        <f>AND(Feuil1!I15,"AAAAAB26/vk=")</f>
        <v>#VALUE!</v>
      </c>
      <c r="IQ2" t="e">
        <f>AND(Feuil1!#REF!,"AAAAAB26/vo=")</f>
        <v>#REF!</v>
      </c>
      <c r="IR2" t="e">
        <f>AND(Feuil1!#REF!,"AAAAAB26/vs=")</f>
        <v>#REF!</v>
      </c>
      <c r="IS2" t="e">
        <f>AND(Feuil1!#REF!,"AAAAAB26/vw=")</f>
        <v>#REF!</v>
      </c>
      <c r="IT2" t="e">
        <f>AND(Feuil1!#REF!,"AAAAAB26/v0=")</f>
        <v>#REF!</v>
      </c>
      <c r="IU2" t="e">
        <f>AND(Feuil1!#REF!,"AAAAAB26/v4=")</f>
        <v>#REF!</v>
      </c>
      <c r="IV2" t="e">
        <f>AND(Feuil1!#REF!,"AAAAAB26/v8=")</f>
        <v>#REF!</v>
      </c>
    </row>
    <row r="3" spans="1:256" x14ac:dyDescent="0.25">
      <c r="A3">
        <f>IF(Feuil1!16:16,"AAAAADX+1wA=",0)</f>
        <v>0</v>
      </c>
      <c r="B3" t="e">
        <f>AND(Feuil1!A16,"AAAAADX+1wE=")</f>
        <v>#VALUE!</v>
      </c>
      <c r="C3" t="e">
        <f>AND(Feuil1!B16,"AAAAADX+1wI=")</f>
        <v>#VALUE!</v>
      </c>
      <c r="D3" t="e">
        <f>AND(Feuil1!C16,"AAAAADX+1wM=")</f>
        <v>#VALUE!</v>
      </c>
      <c r="E3" t="e">
        <f>AND(Feuil1!D16,"AAAAADX+1wQ=")</f>
        <v>#VALUE!</v>
      </c>
      <c r="F3" t="e">
        <f>AND(Feuil1!E16,"AAAAADX+1wU=")</f>
        <v>#VALUE!</v>
      </c>
      <c r="G3" t="e">
        <f>AND(Feuil1!F16,"AAAAADX+1wY=")</f>
        <v>#VALUE!</v>
      </c>
      <c r="H3" t="e">
        <f>AND(Feuil1!H16,"AAAAADX+1wc=")</f>
        <v>#VALUE!</v>
      </c>
      <c r="I3" t="e">
        <f>AND(Feuil1!I16,"AAAAADX+1wg=")</f>
        <v>#VALUE!</v>
      </c>
      <c r="J3" t="e">
        <f>AND(Feuil1!#REF!,"AAAAADX+1wk=")</f>
        <v>#REF!</v>
      </c>
      <c r="K3" t="e">
        <f>AND(Feuil1!#REF!,"AAAAADX+1wo=")</f>
        <v>#REF!</v>
      </c>
      <c r="L3" t="e">
        <f>AND(Feuil1!#REF!,"AAAAADX+1ws=")</f>
        <v>#REF!</v>
      </c>
      <c r="M3" t="e">
        <f>AND(Feuil1!#REF!,"AAAAADX+1ww=")</f>
        <v>#REF!</v>
      </c>
      <c r="N3" t="e">
        <f>AND(Feuil1!#REF!,"AAAAADX+1w0=")</f>
        <v>#REF!</v>
      </c>
      <c r="O3" t="e">
        <f>AND(Feuil1!#REF!,"AAAAADX+1w4=")</f>
        <v>#REF!</v>
      </c>
      <c r="P3">
        <f>IF(Feuil1!17:17,"AAAAADX+1w8=",0)</f>
        <v>0</v>
      </c>
      <c r="Q3" t="e">
        <f>AND(Feuil1!A17,"AAAAADX+1xA=")</f>
        <v>#VALUE!</v>
      </c>
      <c r="R3" t="e">
        <f>AND(Feuil1!B17,"AAAAADX+1xE=")</f>
        <v>#VALUE!</v>
      </c>
      <c r="S3" t="e">
        <f>AND(Feuil1!C17,"AAAAADX+1xI=")</f>
        <v>#VALUE!</v>
      </c>
      <c r="T3" t="e">
        <f>AND(Feuil1!D17,"AAAAADX+1xM=")</f>
        <v>#VALUE!</v>
      </c>
      <c r="U3" t="e">
        <f>AND(Feuil1!E17,"AAAAADX+1xQ=")</f>
        <v>#VALUE!</v>
      </c>
      <c r="V3" t="e">
        <f>AND(Feuil1!F17,"AAAAADX+1xU=")</f>
        <v>#VALUE!</v>
      </c>
      <c r="W3" t="e">
        <f>AND(Feuil1!H17,"AAAAADX+1xY=")</f>
        <v>#VALUE!</v>
      </c>
      <c r="X3" t="e">
        <f>AND(Feuil1!I17,"AAAAADX+1xc=")</f>
        <v>#VALUE!</v>
      </c>
      <c r="Y3" t="e">
        <f>AND(Feuil1!#REF!,"AAAAADX+1xg=")</f>
        <v>#REF!</v>
      </c>
      <c r="Z3" t="e">
        <f>AND(Feuil1!#REF!,"AAAAADX+1xk=")</f>
        <v>#REF!</v>
      </c>
      <c r="AA3" t="e">
        <f>AND(Feuil1!#REF!,"AAAAADX+1xo=")</f>
        <v>#REF!</v>
      </c>
      <c r="AB3" t="e">
        <f>AND(Feuil1!#REF!,"AAAAADX+1xs=")</f>
        <v>#REF!</v>
      </c>
      <c r="AC3" t="e">
        <f>AND(Feuil1!#REF!,"AAAAADX+1xw=")</f>
        <v>#REF!</v>
      </c>
      <c r="AD3" t="e">
        <f>AND(Feuil1!#REF!,"AAAAADX+1x0=")</f>
        <v>#REF!</v>
      </c>
      <c r="AE3">
        <f>IF(Feuil1!18:18,"AAAAADX+1x4=",0)</f>
        <v>0</v>
      </c>
      <c r="AF3" t="e">
        <f>AND(Feuil1!A18,"AAAAADX+1x8=")</f>
        <v>#VALUE!</v>
      </c>
      <c r="AG3" t="e">
        <f>AND(Feuil1!B18,"AAAAADX+1yA=")</f>
        <v>#VALUE!</v>
      </c>
      <c r="AH3" t="e">
        <f>AND(Feuil1!C18,"AAAAADX+1yE=")</f>
        <v>#VALUE!</v>
      </c>
      <c r="AI3" t="e">
        <f>AND(Feuil1!D18,"AAAAADX+1yI=")</f>
        <v>#VALUE!</v>
      </c>
      <c r="AJ3" t="e">
        <f>AND(Feuil1!E18,"AAAAADX+1yM=")</f>
        <v>#VALUE!</v>
      </c>
      <c r="AK3" t="e">
        <f>AND(Feuil1!F18,"AAAAADX+1yQ=")</f>
        <v>#VALUE!</v>
      </c>
      <c r="AL3" t="e">
        <f>AND(Feuil1!H18,"AAAAADX+1yU=")</f>
        <v>#VALUE!</v>
      </c>
      <c r="AM3" t="e">
        <f>AND(Feuil1!I18,"AAAAADX+1yY=")</f>
        <v>#VALUE!</v>
      </c>
      <c r="AN3" t="e">
        <f>AND(Feuil1!#REF!,"AAAAADX+1yc=")</f>
        <v>#REF!</v>
      </c>
      <c r="AO3" t="e">
        <f>AND(Feuil1!#REF!,"AAAAADX+1yg=")</f>
        <v>#REF!</v>
      </c>
      <c r="AP3" t="e">
        <f>AND(Feuil1!#REF!,"AAAAADX+1yk=")</f>
        <v>#REF!</v>
      </c>
      <c r="AQ3" t="e">
        <f>AND(Feuil1!#REF!,"AAAAADX+1yo=")</f>
        <v>#REF!</v>
      </c>
      <c r="AR3" t="e">
        <f>AND(Feuil1!#REF!,"AAAAADX+1ys=")</f>
        <v>#REF!</v>
      </c>
      <c r="AS3" t="e">
        <f>AND(Feuil1!#REF!,"AAAAADX+1yw=")</f>
        <v>#REF!</v>
      </c>
      <c r="AT3">
        <f>IF(Feuil1!19:19,"AAAAADX+1y0=",0)</f>
        <v>0</v>
      </c>
      <c r="AU3" t="e">
        <f>AND(Feuil1!A19,"AAAAADX+1y4=")</f>
        <v>#VALUE!</v>
      </c>
      <c r="AV3" t="e">
        <f>AND(Feuil1!B19,"AAAAADX+1y8=")</f>
        <v>#VALUE!</v>
      </c>
      <c r="AW3" t="e">
        <f>AND(Feuil1!C19,"AAAAADX+1zA=")</f>
        <v>#VALUE!</v>
      </c>
      <c r="AX3" t="e">
        <f>AND(Feuil1!D19,"AAAAADX+1zE=")</f>
        <v>#VALUE!</v>
      </c>
      <c r="AY3" t="e">
        <f>AND(Feuil1!E19,"AAAAADX+1zI=")</f>
        <v>#VALUE!</v>
      </c>
      <c r="AZ3" t="e">
        <f>AND(Feuil1!F19,"AAAAADX+1zM=")</f>
        <v>#VALUE!</v>
      </c>
      <c r="BA3" t="e">
        <f>AND(Feuil1!H19,"AAAAADX+1zQ=")</f>
        <v>#VALUE!</v>
      </c>
      <c r="BB3" t="e">
        <f>AND(Feuil1!I19,"AAAAADX+1zU=")</f>
        <v>#VALUE!</v>
      </c>
      <c r="BC3" t="e">
        <f>AND(Feuil1!#REF!,"AAAAADX+1zY=")</f>
        <v>#REF!</v>
      </c>
      <c r="BD3" t="e">
        <f>AND(Feuil1!#REF!,"AAAAADX+1zc=")</f>
        <v>#REF!</v>
      </c>
      <c r="BE3" t="e">
        <f>AND(Feuil1!#REF!,"AAAAADX+1zg=")</f>
        <v>#REF!</v>
      </c>
      <c r="BF3" t="e">
        <f>AND(Feuil1!#REF!,"AAAAADX+1zk=")</f>
        <v>#REF!</v>
      </c>
      <c r="BG3" t="e">
        <f>AND(Feuil1!#REF!,"AAAAADX+1zo=")</f>
        <v>#REF!</v>
      </c>
      <c r="BH3" t="e">
        <f>AND(Feuil1!#REF!,"AAAAADX+1zs=")</f>
        <v>#REF!</v>
      </c>
      <c r="BI3">
        <f>IF(Feuil1!20:20,"AAAAADX+1zw=",0)</f>
        <v>0</v>
      </c>
      <c r="BJ3" t="e">
        <f>AND(Feuil1!A20,"AAAAADX+1z0=")</f>
        <v>#VALUE!</v>
      </c>
      <c r="BK3" t="e">
        <f>AND(Feuil1!B20,"AAAAADX+1z4=")</f>
        <v>#VALUE!</v>
      </c>
      <c r="BL3" t="e">
        <f>AND(Feuil1!C20,"AAAAADX+1z8=")</f>
        <v>#VALUE!</v>
      </c>
      <c r="BM3" t="e">
        <f>AND(Feuil1!D20,"AAAAADX+10A=")</f>
        <v>#VALUE!</v>
      </c>
      <c r="BN3" t="e">
        <f>AND(Feuil1!E20,"AAAAADX+10E=")</f>
        <v>#VALUE!</v>
      </c>
      <c r="BO3" t="e">
        <f>AND(Feuil1!F20,"AAAAADX+10I=")</f>
        <v>#VALUE!</v>
      </c>
      <c r="BP3" t="e">
        <f>AND(Feuil1!H20,"AAAAADX+10M=")</f>
        <v>#VALUE!</v>
      </c>
      <c r="BQ3" t="e">
        <f>AND(Feuil1!I20,"AAAAADX+10Q=")</f>
        <v>#VALUE!</v>
      </c>
      <c r="BR3" t="e">
        <f>AND(Feuil1!#REF!,"AAAAADX+10U=")</f>
        <v>#REF!</v>
      </c>
      <c r="BS3" t="e">
        <f>AND(Feuil1!#REF!,"AAAAADX+10Y=")</f>
        <v>#REF!</v>
      </c>
      <c r="BT3" t="e">
        <f>AND(Feuil1!#REF!,"AAAAADX+10c=")</f>
        <v>#REF!</v>
      </c>
      <c r="BU3" t="e">
        <f>AND(Feuil1!#REF!,"AAAAADX+10g=")</f>
        <v>#REF!</v>
      </c>
      <c r="BV3" t="e">
        <f>AND(Feuil1!#REF!,"AAAAADX+10k=")</f>
        <v>#REF!</v>
      </c>
      <c r="BW3" t="e">
        <f>AND(Feuil1!#REF!,"AAAAADX+10o=")</f>
        <v>#REF!</v>
      </c>
      <c r="BX3">
        <f>IF(Feuil1!21:21,"AAAAADX+10s=",0)</f>
        <v>0</v>
      </c>
      <c r="BY3" t="e">
        <f>AND(Feuil1!A21,"AAAAADX+10w=")</f>
        <v>#VALUE!</v>
      </c>
      <c r="BZ3" t="e">
        <f>AND(Feuil1!B21,"AAAAADX+100=")</f>
        <v>#VALUE!</v>
      </c>
      <c r="CA3" t="e">
        <f>AND(Feuil1!C21,"AAAAADX+104=")</f>
        <v>#VALUE!</v>
      </c>
      <c r="CB3" t="e">
        <f>AND(Feuil1!D21,"AAAAADX+108=")</f>
        <v>#VALUE!</v>
      </c>
      <c r="CC3" t="e">
        <f>AND(Feuil1!E21,"AAAAADX+11A=")</f>
        <v>#VALUE!</v>
      </c>
      <c r="CD3" t="e">
        <f>AND(Feuil1!F21,"AAAAADX+11E=")</f>
        <v>#VALUE!</v>
      </c>
      <c r="CE3" t="e">
        <f>AND(Feuil1!H21,"AAAAADX+11I=")</f>
        <v>#VALUE!</v>
      </c>
      <c r="CF3" t="e">
        <f>AND(Feuil1!I21,"AAAAADX+11M=")</f>
        <v>#VALUE!</v>
      </c>
      <c r="CG3" t="e">
        <f>AND(Feuil1!#REF!,"AAAAADX+11Q=")</f>
        <v>#REF!</v>
      </c>
      <c r="CH3" t="e">
        <f>AND(Feuil1!#REF!,"AAAAADX+11U=")</f>
        <v>#REF!</v>
      </c>
      <c r="CI3" t="e">
        <f>AND(Feuil1!#REF!,"AAAAADX+11Y=")</f>
        <v>#REF!</v>
      </c>
      <c r="CJ3" t="e">
        <f>AND(Feuil1!#REF!,"AAAAADX+11c=")</f>
        <v>#REF!</v>
      </c>
      <c r="CK3" t="e">
        <f>AND(Feuil1!#REF!,"AAAAADX+11g=")</f>
        <v>#REF!</v>
      </c>
      <c r="CL3" t="e">
        <f>AND(Feuil1!#REF!,"AAAAADX+11k=")</f>
        <v>#REF!</v>
      </c>
      <c r="CM3">
        <f>IF(Feuil1!22:22,"AAAAADX+11o=",0)</f>
        <v>0</v>
      </c>
      <c r="CN3" t="e">
        <f>AND(Feuil1!A22,"AAAAADX+11s=")</f>
        <v>#VALUE!</v>
      </c>
      <c r="CO3" t="e">
        <f>AND(Feuil1!B22,"AAAAADX+11w=")</f>
        <v>#VALUE!</v>
      </c>
      <c r="CP3" t="e">
        <f>AND(Feuil1!C22,"AAAAADX+110=")</f>
        <v>#VALUE!</v>
      </c>
      <c r="CQ3" t="e">
        <f>AND(Feuil1!D22,"AAAAADX+114=")</f>
        <v>#VALUE!</v>
      </c>
      <c r="CR3" t="e">
        <f>AND(Feuil1!E22,"AAAAADX+118=")</f>
        <v>#VALUE!</v>
      </c>
      <c r="CS3" t="e">
        <f>AND(Feuil1!F22,"AAAAADX+12A=")</f>
        <v>#VALUE!</v>
      </c>
      <c r="CT3" t="e">
        <f>AND(Feuil1!H22,"AAAAADX+12E=")</f>
        <v>#VALUE!</v>
      </c>
      <c r="CU3" t="e">
        <f>AND(Feuil1!I22,"AAAAADX+12I=")</f>
        <v>#VALUE!</v>
      </c>
      <c r="CV3" t="e">
        <f>AND(Feuil1!#REF!,"AAAAADX+12M=")</f>
        <v>#REF!</v>
      </c>
      <c r="CW3" t="e">
        <f>AND(Feuil1!#REF!,"AAAAADX+12Q=")</f>
        <v>#REF!</v>
      </c>
      <c r="CX3" t="e">
        <f>AND(Feuil1!#REF!,"AAAAADX+12U=")</f>
        <v>#REF!</v>
      </c>
      <c r="CY3" t="e">
        <f>AND(Feuil1!#REF!,"AAAAADX+12Y=")</f>
        <v>#REF!</v>
      </c>
      <c r="CZ3" t="e">
        <f>AND(Feuil1!#REF!,"AAAAADX+12c=")</f>
        <v>#REF!</v>
      </c>
      <c r="DA3" t="e">
        <f>AND(Feuil1!#REF!,"AAAAADX+12g=")</f>
        <v>#REF!</v>
      </c>
      <c r="DB3">
        <f>IF(Feuil1!23:23,"AAAAADX+12k=",0)</f>
        <v>0</v>
      </c>
      <c r="DC3" t="e">
        <f>AND(Feuil1!A23,"AAAAADX+12o=")</f>
        <v>#VALUE!</v>
      </c>
      <c r="DD3" t="e">
        <f>AND(Feuil1!B23,"AAAAADX+12s=")</f>
        <v>#VALUE!</v>
      </c>
      <c r="DE3" t="e">
        <f>AND(Feuil1!C23,"AAAAADX+12w=")</f>
        <v>#VALUE!</v>
      </c>
      <c r="DF3" t="e">
        <f>AND(Feuil1!D23,"AAAAADX+120=")</f>
        <v>#VALUE!</v>
      </c>
      <c r="DG3" t="e">
        <f>AND(Feuil1!E23,"AAAAADX+124=")</f>
        <v>#VALUE!</v>
      </c>
      <c r="DH3" t="e">
        <f>AND(Feuil1!F23,"AAAAADX+128=")</f>
        <v>#VALUE!</v>
      </c>
      <c r="DI3" t="e">
        <f>AND(Feuil1!H23,"AAAAADX+13A=")</f>
        <v>#VALUE!</v>
      </c>
      <c r="DJ3" t="e">
        <f>AND(Feuil1!I23,"AAAAADX+13E=")</f>
        <v>#VALUE!</v>
      </c>
      <c r="DK3" t="e">
        <f>AND(Feuil1!#REF!,"AAAAADX+13I=")</f>
        <v>#REF!</v>
      </c>
      <c r="DL3" t="e">
        <f>AND(Feuil1!#REF!,"AAAAADX+13M=")</f>
        <v>#REF!</v>
      </c>
      <c r="DM3" t="e">
        <f>AND(Feuil1!#REF!,"AAAAADX+13Q=")</f>
        <v>#REF!</v>
      </c>
      <c r="DN3" t="e">
        <f>AND(Feuil1!#REF!,"AAAAADX+13U=")</f>
        <v>#REF!</v>
      </c>
      <c r="DO3" t="e">
        <f>AND(Feuil1!#REF!,"AAAAADX+13Y=")</f>
        <v>#REF!</v>
      </c>
      <c r="DP3" t="e">
        <f>AND(Feuil1!#REF!,"AAAAADX+13c=")</f>
        <v>#REF!</v>
      </c>
      <c r="DQ3">
        <f>IF(Feuil1!24:24,"AAAAADX+13g=",0)</f>
        <v>0</v>
      </c>
      <c r="DR3" t="e">
        <f>AND(Feuil1!A24,"AAAAADX+13k=")</f>
        <v>#VALUE!</v>
      </c>
      <c r="DS3" t="e">
        <f>AND(Feuil1!B24,"AAAAADX+13o=")</f>
        <v>#VALUE!</v>
      </c>
      <c r="DT3" t="e">
        <f>AND(Feuil1!C24,"AAAAADX+13s=")</f>
        <v>#VALUE!</v>
      </c>
      <c r="DU3" t="e">
        <f>AND(Feuil1!D24,"AAAAADX+13w=")</f>
        <v>#VALUE!</v>
      </c>
      <c r="DV3" t="e">
        <f>AND(Feuil1!E24,"AAAAADX+130=")</f>
        <v>#VALUE!</v>
      </c>
      <c r="DW3" t="e">
        <f>AND(Feuil1!F24,"AAAAADX+134=")</f>
        <v>#VALUE!</v>
      </c>
      <c r="DX3" t="e">
        <f>AND(Feuil1!H24,"AAAAADX+138=")</f>
        <v>#VALUE!</v>
      </c>
      <c r="DY3" t="e">
        <f>AND(Feuil1!I24,"AAAAADX+14A=")</f>
        <v>#VALUE!</v>
      </c>
      <c r="DZ3" t="e">
        <f>AND(Feuil1!#REF!,"AAAAADX+14E=")</f>
        <v>#REF!</v>
      </c>
      <c r="EA3" t="e">
        <f>AND(Feuil1!#REF!,"AAAAADX+14I=")</f>
        <v>#REF!</v>
      </c>
      <c r="EB3" t="e">
        <f>AND(Feuil1!#REF!,"AAAAADX+14M=")</f>
        <v>#REF!</v>
      </c>
      <c r="EC3" t="e">
        <f>AND(Feuil1!#REF!,"AAAAADX+14Q=")</f>
        <v>#REF!</v>
      </c>
      <c r="ED3" t="e">
        <f>AND(Feuil1!#REF!,"AAAAADX+14U=")</f>
        <v>#REF!</v>
      </c>
      <c r="EE3" t="e">
        <f>AND(Feuil1!#REF!,"AAAAADX+14Y=")</f>
        <v>#REF!</v>
      </c>
      <c r="EF3">
        <f>IF(Feuil1!25:25,"AAAAADX+14c=",0)</f>
        <v>0</v>
      </c>
      <c r="EG3" t="e">
        <f>AND(Feuil1!A25,"AAAAADX+14g=")</f>
        <v>#VALUE!</v>
      </c>
      <c r="EH3" t="e">
        <f>AND(Feuil1!B25,"AAAAADX+14k=")</f>
        <v>#VALUE!</v>
      </c>
      <c r="EI3" t="e">
        <f>AND(Feuil1!C25,"AAAAADX+14o=")</f>
        <v>#VALUE!</v>
      </c>
      <c r="EJ3" t="e">
        <f>AND(Feuil1!D25,"AAAAADX+14s=")</f>
        <v>#VALUE!</v>
      </c>
      <c r="EK3" t="e">
        <f>AND(Feuil1!E25,"AAAAADX+14w=")</f>
        <v>#VALUE!</v>
      </c>
      <c r="EL3" t="e">
        <f>AND(Feuil1!F25,"AAAAADX+140=")</f>
        <v>#VALUE!</v>
      </c>
      <c r="EM3" t="e">
        <f>AND(Feuil1!H25,"AAAAADX+144=")</f>
        <v>#VALUE!</v>
      </c>
      <c r="EN3" t="e">
        <f>AND(Feuil1!I25,"AAAAADX+148=")</f>
        <v>#VALUE!</v>
      </c>
      <c r="EO3" t="e">
        <f>AND(Feuil1!#REF!,"AAAAADX+15A=")</f>
        <v>#REF!</v>
      </c>
      <c r="EP3" t="e">
        <f>AND(Feuil1!#REF!,"AAAAADX+15E=")</f>
        <v>#REF!</v>
      </c>
      <c r="EQ3" t="e">
        <f>AND(Feuil1!#REF!,"AAAAADX+15I=")</f>
        <v>#REF!</v>
      </c>
      <c r="ER3" t="e">
        <f>AND(Feuil1!#REF!,"AAAAADX+15M=")</f>
        <v>#REF!</v>
      </c>
      <c r="ES3" t="e">
        <f>AND(Feuil1!#REF!,"AAAAADX+15Q=")</f>
        <v>#REF!</v>
      </c>
      <c r="ET3" t="e">
        <f>AND(Feuil1!#REF!,"AAAAADX+15U=")</f>
        <v>#REF!</v>
      </c>
      <c r="EU3">
        <f>IF(Feuil1!26:26,"AAAAADX+15Y=",0)</f>
        <v>0</v>
      </c>
      <c r="EV3" t="e">
        <f>AND(Feuil1!A26,"AAAAADX+15c=")</f>
        <v>#VALUE!</v>
      </c>
      <c r="EW3" t="e">
        <f>AND(Feuil1!B26,"AAAAADX+15g=")</f>
        <v>#VALUE!</v>
      </c>
      <c r="EX3" t="e">
        <f>AND(Feuil1!C26,"AAAAADX+15k=")</f>
        <v>#VALUE!</v>
      </c>
      <c r="EY3" t="e">
        <f>AND(Feuil1!D26,"AAAAADX+15o=")</f>
        <v>#VALUE!</v>
      </c>
      <c r="EZ3" t="e">
        <f>AND(Feuil1!E26,"AAAAADX+15s=")</f>
        <v>#VALUE!</v>
      </c>
      <c r="FA3" t="e">
        <f>AND(Feuil1!F26,"AAAAADX+15w=")</f>
        <v>#VALUE!</v>
      </c>
      <c r="FB3" t="e">
        <f>AND(Feuil1!H26,"AAAAADX+150=")</f>
        <v>#VALUE!</v>
      </c>
      <c r="FC3" t="e">
        <f>AND(Feuil1!I26,"AAAAADX+154=")</f>
        <v>#VALUE!</v>
      </c>
      <c r="FD3" t="e">
        <f>AND(Feuil1!#REF!,"AAAAADX+158=")</f>
        <v>#REF!</v>
      </c>
      <c r="FE3" t="e">
        <f>AND(Feuil1!#REF!,"AAAAADX+16A=")</f>
        <v>#REF!</v>
      </c>
      <c r="FF3" t="e">
        <f>AND(Feuil1!#REF!,"AAAAADX+16E=")</f>
        <v>#REF!</v>
      </c>
      <c r="FG3" t="e">
        <f>AND(Feuil1!#REF!,"AAAAADX+16I=")</f>
        <v>#REF!</v>
      </c>
      <c r="FH3" t="e">
        <f>AND(Feuil1!#REF!,"AAAAADX+16M=")</f>
        <v>#REF!</v>
      </c>
      <c r="FI3" t="e">
        <f>AND(Feuil1!#REF!,"AAAAADX+16Q=")</f>
        <v>#REF!</v>
      </c>
      <c r="FJ3">
        <f>IF(Feuil1!27:27,"AAAAADX+16U=",0)</f>
        <v>0</v>
      </c>
      <c r="FK3" t="e">
        <f>AND(Feuil1!A27,"AAAAADX+16Y=")</f>
        <v>#VALUE!</v>
      </c>
      <c r="FL3" t="e">
        <f>AND(Feuil1!B27,"AAAAADX+16c=")</f>
        <v>#VALUE!</v>
      </c>
      <c r="FM3" t="e">
        <f>AND(Feuil1!C27,"AAAAADX+16g=")</f>
        <v>#VALUE!</v>
      </c>
      <c r="FN3" t="e">
        <f>AND(Feuil1!D27,"AAAAADX+16k=")</f>
        <v>#VALUE!</v>
      </c>
      <c r="FO3" t="e">
        <f>AND(Feuil1!E27,"AAAAADX+16o=")</f>
        <v>#VALUE!</v>
      </c>
      <c r="FP3" t="e">
        <f>AND(Feuil1!F27,"AAAAADX+16s=")</f>
        <v>#VALUE!</v>
      </c>
      <c r="FQ3" t="e">
        <f>AND(Feuil1!H27,"AAAAADX+16w=")</f>
        <v>#VALUE!</v>
      </c>
      <c r="FR3" t="e">
        <f>AND(Feuil1!I27,"AAAAADX+160=")</f>
        <v>#VALUE!</v>
      </c>
      <c r="FS3" t="e">
        <f>AND(Feuil1!#REF!,"AAAAADX+164=")</f>
        <v>#REF!</v>
      </c>
      <c r="FT3" t="e">
        <f>AND(Feuil1!#REF!,"AAAAADX+168=")</f>
        <v>#REF!</v>
      </c>
      <c r="FU3" t="e">
        <f>AND(Feuil1!#REF!,"AAAAADX+17A=")</f>
        <v>#REF!</v>
      </c>
      <c r="FV3" t="e">
        <f>AND(Feuil1!#REF!,"AAAAADX+17E=")</f>
        <v>#REF!</v>
      </c>
      <c r="FW3" t="e">
        <f>AND(Feuil1!#REF!,"AAAAADX+17I=")</f>
        <v>#REF!</v>
      </c>
      <c r="FX3" t="e">
        <f>AND(Feuil1!#REF!,"AAAAADX+17M=")</f>
        <v>#REF!</v>
      </c>
      <c r="FY3">
        <f>IF(Feuil1!28:28,"AAAAADX+17Q=",0)</f>
        <v>0</v>
      </c>
      <c r="FZ3" t="e">
        <f>AND(Feuil1!A28,"AAAAADX+17U=")</f>
        <v>#VALUE!</v>
      </c>
      <c r="GA3" t="e">
        <f>AND(Feuil1!B28,"AAAAADX+17Y=")</f>
        <v>#VALUE!</v>
      </c>
      <c r="GB3" t="e">
        <f>AND(Feuil1!C28,"AAAAADX+17c=")</f>
        <v>#VALUE!</v>
      </c>
      <c r="GC3" t="e">
        <f>AND(Feuil1!D28,"AAAAADX+17g=")</f>
        <v>#VALUE!</v>
      </c>
      <c r="GD3" t="e">
        <f>AND(Feuil1!E28,"AAAAADX+17k=")</f>
        <v>#VALUE!</v>
      </c>
      <c r="GE3" t="e">
        <f>AND(Feuil1!F28,"AAAAADX+17o=")</f>
        <v>#VALUE!</v>
      </c>
      <c r="GF3" t="e">
        <f>AND(Feuil1!H28,"AAAAADX+17s=")</f>
        <v>#VALUE!</v>
      </c>
      <c r="GG3" t="e">
        <f>AND(Feuil1!I28,"AAAAADX+17w=")</f>
        <v>#VALUE!</v>
      </c>
      <c r="GH3" t="e">
        <f>AND(Feuil1!#REF!,"AAAAADX+170=")</f>
        <v>#REF!</v>
      </c>
      <c r="GI3" t="e">
        <f>AND(Feuil1!#REF!,"AAAAADX+174=")</f>
        <v>#REF!</v>
      </c>
      <c r="GJ3" t="e">
        <f>AND(Feuil1!#REF!,"AAAAADX+178=")</f>
        <v>#REF!</v>
      </c>
      <c r="GK3" t="e">
        <f>AND(Feuil1!#REF!,"AAAAADX+18A=")</f>
        <v>#REF!</v>
      </c>
      <c r="GL3" t="e">
        <f>AND(Feuil1!#REF!,"AAAAADX+18E=")</f>
        <v>#REF!</v>
      </c>
      <c r="GM3" t="e">
        <f>AND(Feuil1!#REF!,"AAAAADX+18I=")</f>
        <v>#REF!</v>
      </c>
      <c r="GN3">
        <f>IF(Feuil1!29:29,"AAAAADX+18M=",0)</f>
        <v>0</v>
      </c>
      <c r="GO3" t="e">
        <f>AND(Feuil1!A29,"AAAAADX+18Q=")</f>
        <v>#VALUE!</v>
      </c>
      <c r="GP3" t="e">
        <f>AND(Feuil1!B29,"AAAAADX+18U=")</f>
        <v>#VALUE!</v>
      </c>
      <c r="GQ3" t="e">
        <f>AND(Feuil1!C29,"AAAAADX+18Y=")</f>
        <v>#VALUE!</v>
      </c>
      <c r="GR3" t="e">
        <f>AND(Feuil1!D29,"AAAAADX+18c=")</f>
        <v>#VALUE!</v>
      </c>
      <c r="GS3" t="e">
        <f>AND(Feuil1!E29,"AAAAADX+18g=")</f>
        <v>#VALUE!</v>
      </c>
      <c r="GT3" t="e">
        <f>AND(Feuil1!F29,"AAAAADX+18k=")</f>
        <v>#VALUE!</v>
      </c>
      <c r="GU3" t="e">
        <f>AND(Feuil1!H29,"AAAAADX+18o=")</f>
        <v>#VALUE!</v>
      </c>
      <c r="GV3" t="e">
        <f>AND(Feuil1!I29,"AAAAADX+18s=")</f>
        <v>#VALUE!</v>
      </c>
      <c r="GW3" t="e">
        <f>AND(Feuil1!#REF!,"AAAAADX+18w=")</f>
        <v>#REF!</v>
      </c>
      <c r="GX3" t="e">
        <f>AND(Feuil1!#REF!,"AAAAADX+180=")</f>
        <v>#REF!</v>
      </c>
      <c r="GY3" t="e">
        <f>AND(Feuil1!#REF!,"AAAAADX+184=")</f>
        <v>#REF!</v>
      </c>
      <c r="GZ3" t="e">
        <f>AND(Feuil1!#REF!,"AAAAADX+188=")</f>
        <v>#REF!</v>
      </c>
      <c r="HA3" t="e">
        <f>AND(Feuil1!#REF!,"AAAAADX+19A=")</f>
        <v>#REF!</v>
      </c>
      <c r="HB3" t="e">
        <f>AND(Feuil1!#REF!,"AAAAADX+19E=")</f>
        <v>#REF!</v>
      </c>
      <c r="HC3">
        <f>IF(Feuil1!30:30,"AAAAADX+19I=",0)</f>
        <v>0</v>
      </c>
      <c r="HD3" t="e">
        <f>AND(Feuil1!A30,"AAAAADX+19M=")</f>
        <v>#VALUE!</v>
      </c>
      <c r="HE3" t="e">
        <f>AND(Feuil1!B30,"AAAAADX+19Q=")</f>
        <v>#VALUE!</v>
      </c>
      <c r="HF3" t="e">
        <f>AND(Feuil1!C30,"AAAAADX+19U=")</f>
        <v>#VALUE!</v>
      </c>
      <c r="HG3" t="e">
        <f>AND(Feuil1!D30,"AAAAADX+19Y=")</f>
        <v>#VALUE!</v>
      </c>
      <c r="HH3" t="e">
        <f>AND(Feuil1!E30,"AAAAADX+19c=")</f>
        <v>#VALUE!</v>
      </c>
      <c r="HI3" t="e">
        <f>AND(Feuil1!F30,"AAAAADX+19g=")</f>
        <v>#VALUE!</v>
      </c>
      <c r="HJ3" t="e">
        <f>AND(Feuil1!H30,"AAAAADX+19k=")</f>
        <v>#VALUE!</v>
      </c>
      <c r="HK3" t="e">
        <f>AND(Feuil1!I30,"AAAAADX+19o=")</f>
        <v>#VALUE!</v>
      </c>
      <c r="HL3" t="e">
        <f>AND(Feuil1!#REF!,"AAAAADX+19s=")</f>
        <v>#REF!</v>
      </c>
      <c r="HM3" t="e">
        <f>AND(Feuil1!#REF!,"AAAAADX+19w=")</f>
        <v>#REF!</v>
      </c>
      <c r="HN3" t="e">
        <f>AND(Feuil1!#REF!,"AAAAADX+190=")</f>
        <v>#REF!</v>
      </c>
      <c r="HO3" t="e">
        <f>AND(Feuil1!#REF!,"AAAAADX+194=")</f>
        <v>#REF!</v>
      </c>
      <c r="HP3" t="e">
        <f>AND(Feuil1!#REF!,"AAAAADX+198=")</f>
        <v>#REF!</v>
      </c>
      <c r="HQ3" t="e">
        <f>AND(Feuil1!#REF!,"AAAAADX+1+A=")</f>
        <v>#REF!</v>
      </c>
      <c r="HR3">
        <f>IF(Feuil1!31:31,"AAAAADX+1+E=",0)</f>
        <v>0</v>
      </c>
      <c r="HS3" t="e">
        <f>AND(Feuil1!A31,"AAAAADX+1+I=")</f>
        <v>#VALUE!</v>
      </c>
      <c r="HT3" t="e">
        <f>AND(Feuil1!B31,"AAAAADX+1+M=")</f>
        <v>#VALUE!</v>
      </c>
      <c r="HU3" t="e">
        <f>AND(Feuil1!C31,"AAAAADX+1+Q=")</f>
        <v>#VALUE!</v>
      </c>
      <c r="HV3" t="e">
        <f>AND(Feuil1!D31,"AAAAADX+1+U=")</f>
        <v>#VALUE!</v>
      </c>
      <c r="HW3" t="e">
        <f>AND(Feuil1!E31,"AAAAADX+1+Y=")</f>
        <v>#VALUE!</v>
      </c>
      <c r="HX3" t="e">
        <f>AND(Feuil1!F31,"AAAAADX+1+c=")</f>
        <v>#VALUE!</v>
      </c>
      <c r="HY3" t="e">
        <f>AND(Feuil1!H31,"AAAAADX+1+g=")</f>
        <v>#VALUE!</v>
      </c>
      <c r="HZ3" t="e">
        <f>AND(Feuil1!I31,"AAAAADX+1+k=")</f>
        <v>#VALUE!</v>
      </c>
      <c r="IA3" t="e">
        <f>AND(Feuil1!#REF!,"AAAAADX+1+o=")</f>
        <v>#REF!</v>
      </c>
      <c r="IB3" t="e">
        <f>AND(Feuil1!#REF!,"AAAAADX+1+s=")</f>
        <v>#REF!</v>
      </c>
      <c r="IC3" t="e">
        <f>AND(Feuil1!#REF!,"AAAAADX+1+w=")</f>
        <v>#REF!</v>
      </c>
      <c r="ID3" t="e">
        <f>AND(Feuil1!#REF!,"AAAAADX+1+0=")</f>
        <v>#REF!</v>
      </c>
      <c r="IE3" t="e">
        <f>AND(Feuil1!#REF!,"AAAAADX+1+4=")</f>
        <v>#REF!</v>
      </c>
      <c r="IF3" t="e">
        <f>AND(Feuil1!#REF!,"AAAAADX+1+8=")</f>
        <v>#REF!</v>
      </c>
      <c r="IG3">
        <f>IF(Feuil1!32:32,"AAAAADX+1/A=",0)</f>
        <v>0</v>
      </c>
      <c r="IH3" t="e">
        <f>AND(Feuil1!A32,"AAAAADX+1/E=")</f>
        <v>#VALUE!</v>
      </c>
      <c r="II3" t="e">
        <f>AND(Feuil1!B32,"AAAAADX+1/I=")</f>
        <v>#VALUE!</v>
      </c>
      <c r="IJ3" t="e">
        <f>AND(Feuil1!C32,"AAAAADX+1/M=")</f>
        <v>#VALUE!</v>
      </c>
      <c r="IK3" t="e">
        <f>AND(Feuil1!D32,"AAAAADX+1/Q=")</f>
        <v>#VALUE!</v>
      </c>
      <c r="IL3" t="e">
        <f>AND(Feuil1!E32,"AAAAADX+1/U=")</f>
        <v>#VALUE!</v>
      </c>
      <c r="IM3" t="e">
        <f>AND(Feuil1!F32,"AAAAADX+1/Y=")</f>
        <v>#VALUE!</v>
      </c>
      <c r="IN3" t="e">
        <f>AND(Feuil1!H32,"AAAAADX+1/c=")</f>
        <v>#VALUE!</v>
      </c>
      <c r="IO3" t="e">
        <f>AND(Feuil1!I32,"AAAAADX+1/g=")</f>
        <v>#VALUE!</v>
      </c>
      <c r="IP3" t="e">
        <f>AND(Feuil1!#REF!,"AAAAADX+1/k=")</f>
        <v>#REF!</v>
      </c>
      <c r="IQ3" t="e">
        <f>AND(Feuil1!#REF!,"AAAAADX+1/o=")</f>
        <v>#REF!</v>
      </c>
      <c r="IR3" t="e">
        <f>AND(Feuil1!#REF!,"AAAAADX+1/s=")</f>
        <v>#REF!</v>
      </c>
      <c r="IS3" t="e">
        <f>AND(Feuil1!#REF!,"AAAAADX+1/w=")</f>
        <v>#REF!</v>
      </c>
      <c r="IT3" t="e">
        <f>AND(Feuil1!#REF!,"AAAAADX+1/0=")</f>
        <v>#REF!</v>
      </c>
      <c r="IU3" t="e">
        <f>AND(Feuil1!#REF!,"AAAAADX+1/4=")</f>
        <v>#REF!</v>
      </c>
      <c r="IV3">
        <f>IF(Feuil1!33:33,"AAAAADX+1/8=",0)</f>
        <v>0</v>
      </c>
    </row>
    <row r="4" spans="1:256" x14ac:dyDescent="0.25">
      <c r="A4" t="e">
        <f>AND(Feuil1!A33,"AAAAAHtz1wA=")</f>
        <v>#VALUE!</v>
      </c>
      <c r="B4" t="e">
        <f>AND(Feuil1!B33,"AAAAAHtz1wE=")</f>
        <v>#VALUE!</v>
      </c>
      <c r="C4" t="e">
        <f>AND(Feuil1!C33,"AAAAAHtz1wI=")</f>
        <v>#VALUE!</v>
      </c>
      <c r="D4" t="e">
        <f>AND(Feuil1!D33,"AAAAAHtz1wM=")</f>
        <v>#VALUE!</v>
      </c>
      <c r="E4" t="e">
        <f>AND(Feuil1!E33,"AAAAAHtz1wQ=")</f>
        <v>#VALUE!</v>
      </c>
      <c r="F4" t="e">
        <f>AND(Feuil1!F33,"AAAAAHtz1wU=")</f>
        <v>#VALUE!</v>
      </c>
      <c r="G4" t="e">
        <f>AND(Feuil1!H33,"AAAAAHtz1wY=")</f>
        <v>#VALUE!</v>
      </c>
      <c r="H4" t="e">
        <f>AND(Feuil1!I33,"AAAAAHtz1wc=")</f>
        <v>#VALUE!</v>
      </c>
      <c r="I4" t="e">
        <f>AND(Feuil1!#REF!,"AAAAAHtz1wg=")</f>
        <v>#REF!</v>
      </c>
      <c r="J4" t="e">
        <f>AND(Feuil1!#REF!,"AAAAAHtz1wk=")</f>
        <v>#REF!</v>
      </c>
      <c r="K4" t="e">
        <f>AND(Feuil1!#REF!,"AAAAAHtz1wo=")</f>
        <v>#REF!</v>
      </c>
      <c r="L4" t="e">
        <f>AND(Feuil1!#REF!,"AAAAAHtz1ws=")</f>
        <v>#REF!</v>
      </c>
      <c r="M4" t="e">
        <f>AND(Feuil1!#REF!,"AAAAAHtz1ww=")</f>
        <v>#REF!</v>
      </c>
      <c r="N4" t="e">
        <f>AND(Feuil1!#REF!,"AAAAAHtz1w0=")</f>
        <v>#REF!</v>
      </c>
      <c r="O4">
        <f>IF(Feuil1!34:34,"AAAAAHtz1w4=",0)</f>
        <v>0</v>
      </c>
      <c r="P4" t="e">
        <f>AND(Feuil1!A34,"AAAAAHtz1w8=")</f>
        <v>#VALUE!</v>
      </c>
      <c r="Q4" t="e">
        <f>AND(Feuil1!B34,"AAAAAHtz1xA=")</f>
        <v>#VALUE!</v>
      </c>
      <c r="R4" t="e">
        <f>AND(Feuil1!C34,"AAAAAHtz1xE=")</f>
        <v>#VALUE!</v>
      </c>
      <c r="S4" t="e">
        <f>AND(Feuil1!D34,"AAAAAHtz1xI=")</f>
        <v>#VALUE!</v>
      </c>
      <c r="T4" t="e">
        <f>AND(Feuil1!E34,"AAAAAHtz1xM=")</f>
        <v>#VALUE!</v>
      </c>
      <c r="U4" t="e">
        <f>AND(Feuil1!F34,"AAAAAHtz1xQ=")</f>
        <v>#VALUE!</v>
      </c>
      <c r="V4" t="e">
        <f>AND(Feuil1!H34,"AAAAAHtz1xU=")</f>
        <v>#VALUE!</v>
      </c>
      <c r="W4" t="e">
        <f>AND(Feuil1!I34,"AAAAAHtz1xY=")</f>
        <v>#VALUE!</v>
      </c>
      <c r="X4" t="e">
        <f>AND(Feuil1!#REF!,"AAAAAHtz1xc=")</f>
        <v>#REF!</v>
      </c>
      <c r="Y4" t="e">
        <f>AND(Feuil1!#REF!,"AAAAAHtz1xg=")</f>
        <v>#REF!</v>
      </c>
      <c r="Z4" t="e">
        <f>AND(Feuil1!#REF!,"AAAAAHtz1xk=")</f>
        <v>#REF!</v>
      </c>
      <c r="AA4" t="e">
        <f>AND(Feuil1!#REF!,"AAAAAHtz1xo=")</f>
        <v>#REF!</v>
      </c>
      <c r="AB4" t="e">
        <f>AND(Feuil1!#REF!,"AAAAAHtz1xs=")</f>
        <v>#REF!</v>
      </c>
      <c r="AC4" t="e">
        <f>AND(Feuil1!#REF!,"AAAAAHtz1xw=")</f>
        <v>#REF!</v>
      </c>
      <c r="AD4">
        <f>IF(Feuil1!35:35,"AAAAAHtz1x0=",0)</f>
        <v>0</v>
      </c>
      <c r="AE4" t="e">
        <f>AND(Feuil1!A35,"AAAAAHtz1x4=")</f>
        <v>#VALUE!</v>
      </c>
      <c r="AF4" t="e">
        <f>AND(Feuil1!B35,"AAAAAHtz1x8=")</f>
        <v>#VALUE!</v>
      </c>
      <c r="AG4" t="e">
        <f>AND(Feuil1!C35,"AAAAAHtz1yA=")</f>
        <v>#VALUE!</v>
      </c>
      <c r="AH4" t="e">
        <f>AND(Feuil1!D35,"AAAAAHtz1yE=")</f>
        <v>#VALUE!</v>
      </c>
      <c r="AI4" t="e">
        <f>AND(Feuil1!E35,"AAAAAHtz1yI=")</f>
        <v>#VALUE!</v>
      </c>
      <c r="AJ4" t="e">
        <f>AND(Feuil1!F35,"AAAAAHtz1yM=")</f>
        <v>#VALUE!</v>
      </c>
      <c r="AK4" t="e">
        <f>AND(Feuil1!H35,"AAAAAHtz1yQ=")</f>
        <v>#VALUE!</v>
      </c>
      <c r="AL4" t="e">
        <f>AND(Feuil1!I35,"AAAAAHtz1yU=")</f>
        <v>#VALUE!</v>
      </c>
      <c r="AM4" t="e">
        <f>AND(Feuil1!#REF!,"AAAAAHtz1yY=")</f>
        <v>#REF!</v>
      </c>
      <c r="AN4" t="e">
        <f>AND(Feuil1!#REF!,"AAAAAHtz1yc=")</f>
        <v>#REF!</v>
      </c>
      <c r="AO4" t="e">
        <f>AND(Feuil1!#REF!,"AAAAAHtz1yg=")</f>
        <v>#REF!</v>
      </c>
      <c r="AP4" t="e">
        <f>AND(Feuil1!#REF!,"AAAAAHtz1yk=")</f>
        <v>#REF!</v>
      </c>
      <c r="AQ4" t="e">
        <f>AND(Feuil1!#REF!,"AAAAAHtz1yo=")</f>
        <v>#REF!</v>
      </c>
      <c r="AR4" t="e">
        <f>AND(Feuil1!#REF!,"AAAAAHtz1ys=")</f>
        <v>#REF!</v>
      </c>
      <c r="AS4">
        <f>IF(Feuil1!36:36,"AAAAAHtz1yw=",0)</f>
        <v>0</v>
      </c>
      <c r="AT4" t="e">
        <f>AND(Feuil1!A36,"AAAAAHtz1y0=")</f>
        <v>#VALUE!</v>
      </c>
      <c r="AU4" t="e">
        <f>AND(Feuil1!B36,"AAAAAHtz1y4=")</f>
        <v>#VALUE!</v>
      </c>
      <c r="AV4" t="e">
        <f>AND(Feuil1!C36,"AAAAAHtz1y8=")</f>
        <v>#VALUE!</v>
      </c>
      <c r="AW4" t="e">
        <f>AND(Feuil1!D36,"AAAAAHtz1zA=")</f>
        <v>#VALUE!</v>
      </c>
      <c r="AX4" t="e">
        <f>AND(Feuil1!E36,"AAAAAHtz1zE=")</f>
        <v>#VALUE!</v>
      </c>
      <c r="AY4" t="e">
        <f>AND(Feuil1!F36,"AAAAAHtz1zI=")</f>
        <v>#VALUE!</v>
      </c>
      <c r="AZ4" t="e">
        <f>AND(Feuil1!H36,"AAAAAHtz1zM=")</f>
        <v>#VALUE!</v>
      </c>
      <c r="BA4" t="e">
        <f>AND(Feuil1!I36,"AAAAAHtz1zQ=")</f>
        <v>#VALUE!</v>
      </c>
      <c r="BB4" t="e">
        <f>AND(Feuil1!#REF!,"AAAAAHtz1zU=")</f>
        <v>#REF!</v>
      </c>
      <c r="BC4" t="e">
        <f>AND(Feuil1!#REF!,"AAAAAHtz1zY=")</f>
        <v>#REF!</v>
      </c>
      <c r="BD4" t="e">
        <f>AND(Feuil1!#REF!,"AAAAAHtz1zc=")</f>
        <v>#REF!</v>
      </c>
      <c r="BE4" t="e">
        <f>AND(Feuil1!#REF!,"AAAAAHtz1zg=")</f>
        <v>#REF!</v>
      </c>
      <c r="BF4" t="e">
        <f>AND(Feuil1!#REF!,"AAAAAHtz1zk=")</f>
        <v>#REF!</v>
      </c>
      <c r="BG4" t="e">
        <f>AND(Feuil1!#REF!,"AAAAAHtz1zo=")</f>
        <v>#REF!</v>
      </c>
      <c r="BH4">
        <f>IF(Feuil1!37:37,"AAAAAHtz1zs=",0)</f>
        <v>0</v>
      </c>
      <c r="BI4" t="e">
        <f>AND(Feuil1!A37,"AAAAAHtz1zw=")</f>
        <v>#VALUE!</v>
      </c>
      <c r="BJ4" t="e">
        <f>AND(Feuil1!B37,"AAAAAHtz1z0=")</f>
        <v>#VALUE!</v>
      </c>
      <c r="BK4" t="e">
        <f>AND(Feuil1!C37,"AAAAAHtz1z4=")</f>
        <v>#VALUE!</v>
      </c>
      <c r="BL4" t="e">
        <f>AND(Feuil1!D37,"AAAAAHtz1z8=")</f>
        <v>#VALUE!</v>
      </c>
      <c r="BM4" t="e">
        <f>AND(Feuil1!E37,"AAAAAHtz10A=")</f>
        <v>#VALUE!</v>
      </c>
      <c r="BN4" t="e">
        <f>AND(Feuil1!F37,"AAAAAHtz10E=")</f>
        <v>#VALUE!</v>
      </c>
      <c r="BO4" t="e">
        <f>AND(Feuil1!H37,"AAAAAHtz10I=")</f>
        <v>#VALUE!</v>
      </c>
      <c r="BP4" t="e">
        <f>AND(Feuil1!I37,"AAAAAHtz10M=")</f>
        <v>#VALUE!</v>
      </c>
      <c r="BQ4" t="e">
        <f>AND(Feuil1!#REF!,"AAAAAHtz10Q=")</f>
        <v>#REF!</v>
      </c>
      <c r="BR4" t="e">
        <f>AND(Feuil1!#REF!,"AAAAAHtz10U=")</f>
        <v>#REF!</v>
      </c>
      <c r="BS4" t="e">
        <f>AND(Feuil1!#REF!,"AAAAAHtz10Y=")</f>
        <v>#REF!</v>
      </c>
      <c r="BT4" t="e">
        <f>AND(Feuil1!#REF!,"AAAAAHtz10c=")</f>
        <v>#REF!</v>
      </c>
      <c r="BU4" t="e">
        <f>AND(Feuil1!#REF!,"AAAAAHtz10g=")</f>
        <v>#REF!</v>
      </c>
      <c r="BV4" t="e">
        <f>AND(Feuil1!#REF!,"AAAAAHtz10k=")</f>
        <v>#REF!</v>
      </c>
      <c r="BW4">
        <f>IF(Feuil1!38:38,"AAAAAHtz10o=",0)</f>
        <v>0</v>
      </c>
      <c r="BX4" t="e">
        <f>AND(Feuil1!A38,"AAAAAHtz10s=")</f>
        <v>#VALUE!</v>
      </c>
      <c r="BY4" t="e">
        <f>AND(Feuil1!B38,"AAAAAHtz10w=")</f>
        <v>#VALUE!</v>
      </c>
      <c r="BZ4" t="e">
        <f>AND(Feuil1!C38,"AAAAAHtz100=")</f>
        <v>#VALUE!</v>
      </c>
      <c r="CA4" t="e">
        <f>AND(Feuil1!D38,"AAAAAHtz104=")</f>
        <v>#VALUE!</v>
      </c>
      <c r="CB4" t="e">
        <f>AND(Feuil1!E38,"AAAAAHtz108=")</f>
        <v>#VALUE!</v>
      </c>
      <c r="CC4" t="e">
        <f>AND(Feuil1!F38,"AAAAAHtz11A=")</f>
        <v>#VALUE!</v>
      </c>
      <c r="CD4" t="e">
        <f>AND(Feuil1!H38,"AAAAAHtz11E=")</f>
        <v>#VALUE!</v>
      </c>
      <c r="CE4" t="e">
        <f>AND(Feuil1!I38,"AAAAAHtz11I=")</f>
        <v>#VALUE!</v>
      </c>
      <c r="CF4" t="e">
        <f>AND(Feuil1!#REF!,"AAAAAHtz11M=")</f>
        <v>#REF!</v>
      </c>
      <c r="CG4" t="e">
        <f>AND(Feuil1!#REF!,"AAAAAHtz11Q=")</f>
        <v>#REF!</v>
      </c>
      <c r="CH4" t="e">
        <f>AND(Feuil1!#REF!,"AAAAAHtz11U=")</f>
        <v>#REF!</v>
      </c>
      <c r="CI4" t="e">
        <f>AND(Feuil1!#REF!,"AAAAAHtz11Y=")</f>
        <v>#REF!</v>
      </c>
      <c r="CJ4" t="e">
        <f>AND(Feuil1!#REF!,"AAAAAHtz11c=")</f>
        <v>#REF!</v>
      </c>
      <c r="CK4" t="e">
        <f>AND(Feuil1!#REF!,"AAAAAHtz11g=")</f>
        <v>#REF!</v>
      </c>
      <c r="CL4">
        <f>IF(Feuil1!39:39,"AAAAAHtz11k=",0)</f>
        <v>0</v>
      </c>
      <c r="CM4" t="e">
        <f>AND(Feuil1!A39,"AAAAAHtz11o=")</f>
        <v>#VALUE!</v>
      </c>
      <c r="CN4" t="e">
        <f>AND(Feuil1!B39,"AAAAAHtz11s=")</f>
        <v>#VALUE!</v>
      </c>
      <c r="CO4" t="e">
        <f>AND(Feuil1!C39,"AAAAAHtz11w=")</f>
        <v>#VALUE!</v>
      </c>
      <c r="CP4" t="e">
        <f>AND(Feuil1!D39,"AAAAAHtz110=")</f>
        <v>#VALUE!</v>
      </c>
      <c r="CQ4" t="e">
        <f>AND(Feuil1!E39,"AAAAAHtz114=")</f>
        <v>#VALUE!</v>
      </c>
      <c r="CR4" t="e">
        <f>AND(Feuil1!F39,"AAAAAHtz118=")</f>
        <v>#VALUE!</v>
      </c>
      <c r="CS4" t="e">
        <f>AND(Feuil1!H39,"AAAAAHtz12A=")</f>
        <v>#VALUE!</v>
      </c>
      <c r="CT4" t="e">
        <f>AND(Feuil1!I39,"AAAAAHtz12E=")</f>
        <v>#VALUE!</v>
      </c>
      <c r="CU4" t="e">
        <f>AND(Feuil1!#REF!,"AAAAAHtz12I=")</f>
        <v>#REF!</v>
      </c>
      <c r="CV4" t="e">
        <f>AND(Feuil1!#REF!,"AAAAAHtz12M=")</f>
        <v>#REF!</v>
      </c>
      <c r="CW4" t="e">
        <f>AND(Feuil1!#REF!,"AAAAAHtz12Q=")</f>
        <v>#REF!</v>
      </c>
      <c r="CX4" t="e">
        <f>AND(Feuil1!#REF!,"AAAAAHtz12U=")</f>
        <v>#REF!</v>
      </c>
      <c r="CY4" t="e">
        <f>AND(Feuil1!#REF!,"AAAAAHtz12Y=")</f>
        <v>#REF!</v>
      </c>
      <c r="CZ4" t="e">
        <f>AND(Feuil1!#REF!,"AAAAAHtz12c=")</f>
        <v>#REF!</v>
      </c>
      <c r="DA4">
        <f>IF(Feuil1!40:40,"AAAAAHtz12g=",0)</f>
        <v>0</v>
      </c>
      <c r="DB4" t="e">
        <f>AND(Feuil1!A40,"AAAAAHtz12k=")</f>
        <v>#VALUE!</v>
      </c>
      <c r="DC4" t="e">
        <f>AND(Feuil1!B40,"AAAAAHtz12o=")</f>
        <v>#VALUE!</v>
      </c>
      <c r="DD4" t="e">
        <f>AND(Feuil1!C40,"AAAAAHtz12s=")</f>
        <v>#VALUE!</v>
      </c>
      <c r="DE4" t="e">
        <f>AND(Feuil1!D40,"AAAAAHtz12w=")</f>
        <v>#VALUE!</v>
      </c>
      <c r="DF4" t="e">
        <f>AND(Feuil1!E40,"AAAAAHtz120=")</f>
        <v>#VALUE!</v>
      </c>
      <c r="DG4">
        <f>IF(Feuil1!41:41,"AAAAAHtz124=",0)</f>
        <v>0</v>
      </c>
      <c r="DH4" t="e">
        <f>AND(Feuil1!A41,"AAAAAHtz128=")</f>
        <v>#VALUE!</v>
      </c>
      <c r="DI4" t="e">
        <f>AND(Feuil1!B41,"AAAAAHtz13A=")</f>
        <v>#VALUE!</v>
      </c>
      <c r="DJ4" t="e">
        <f>AND(Feuil1!C41,"AAAAAHtz13E=")</f>
        <v>#VALUE!</v>
      </c>
      <c r="DK4" t="e">
        <f>AND(Feuil1!D41,"AAAAAHtz13I=")</f>
        <v>#VALUE!</v>
      </c>
      <c r="DL4" t="e">
        <f>AND(Feuil1!E41,"AAAAAHtz13M=")</f>
        <v>#VALUE!</v>
      </c>
      <c r="DM4">
        <f>IF(Feuil1!42:42,"AAAAAHtz13Q=",0)</f>
        <v>0</v>
      </c>
      <c r="DN4" t="e">
        <f>AND(Feuil1!A42,"AAAAAHtz13U=")</f>
        <v>#VALUE!</v>
      </c>
      <c r="DO4" t="e">
        <f>AND(Feuil1!B42,"AAAAAHtz13Y=")</f>
        <v>#VALUE!</v>
      </c>
      <c r="DP4" t="e">
        <f>AND(Feuil1!C42,"AAAAAHtz13c=")</f>
        <v>#VALUE!</v>
      </c>
      <c r="DQ4" t="e">
        <f>AND(Feuil1!D42,"AAAAAHtz13g=")</f>
        <v>#VALUE!</v>
      </c>
      <c r="DR4" t="e">
        <f>AND(Feuil1!E42,"AAAAAHtz13k=")</f>
        <v>#VALUE!</v>
      </c>
      <c r="DS4">
        <f>IF(Feuil1!43:43,"AAAAAHtz13o=",0)</f>
        <v>0</v>
      </c>
      <c r="DT4" t="e">
        <f>AND(Feuil1!A43,"AAAAAHtz13s=")</f>
        <v>#VALUE!</v>
      </c>
      <c r="DU4" t="e">
        <f>AND(Feuil1!B43,"AAAAAHtz13w=")</f>
        <v>#VALUE!</v>
      </c>
      <c r="DV4" t="e">
        <f>AND(Feuil1!C43,"AAAAAHtz130=")</f>
        <v>#VALUE!</v>
      </c>
      <c r="DW4" t="e">
        <f>AND(Feuil1!D43,"AAAAAHtz134=")</f>
        <v>#VALUE!</v>
      </c>
      <c r="DX4" t="e">
        <f>AND(Feuil1!E43,"AAAAAHtz138=")</f>
        <v>#VALUE!</v>
      </c>
      <c r="DY4">
        <f>IF(Feuil1!44:44,"AAAAAHtz14A=",0)</f>
        <v>0</v>
      </c>
      <c r="DZ4" t="e">
        <f>AND(Feuil1!A44,"AAAAAHtz14E=")</f>
        <v>#VALUE!</v>
      </c>
      <c r="EA4" t="e">
        <f>AND(Feuil1!B44,"AAAAAHtz14I=")</f>
        <v>#VALUE!</v>
      </c>
      <c r="EB4" t="e">
        <f>AND(Feuil1!C44,"AAAAAHtz14M=")</f>
        <v>#VALUE!</v>
      </c>
      <c r="EC4" t="e">
        <f>AND(Feuil1!D44,"AAAAAHtz14Q=")</f>
        <v>#VALUE!</v>
      </c>
      <c r="ED4" t="e">
        <f>AND(Feuil1!E44,"AAAAAHtz14U=")</f>
        <v>#VALUE!</v>
      </c>
      <c r="EE4">
        <f>IF(Feuil1!45:45,"AAAAAHtz14Y=",0)</f>
        <v>0</v>
      </c>
      <c r="EF4" t="e">
        <f>AND(Feuil1!A45,"AAAAAHtz14c=")</f>
        <v>#VALUE!</v>
      </c>
      <c r="EG4" t="e">
        <f>AND(Feuil1!B45,"AAAAAHtz14g=")</f>
        <v>#VALUE!</v>
      </c>
      <c r="EH4" t="e">
        <f>AND(Feuil1!C45,"AAAAAHtz14k=")</f>
        <v>#VALUE!</v>
      </c>
      <c r="EI4" t="e">
        <f>AND(Feuil1!D45,"AAAAAHtz14o=")</f>
        <v>#VALUE!</v>
      </c>
      <c r="EJ4" t="e">
        <f>AND(Feuil1!E45,"AAAAAHtz14s=")</f>
        <v>#VALUE!</v>
      </c>
      <c r="EK4">
        <f>IF(Feuil1!46:46,"AAAAAHtz14w=",0)</f>
        <v>0</v>
      </c>
      <c r="EL4" t="e">
        <f>AND(Feuil1!A46,"AAAAAHtz140=")</f>
        <v>#VALUE!</v>
      </c>
      <c r="EM4" t="e">
        <f>AND(Feuil1!B46,"AAAAAHtz144=")</f>
        <v>#VALUE!</v>
      </c>
      <c r="EN4" t="e">
        <f>AND(Feuil1!C46,"AAAAAHtz148=")</f>
        <v>#VALUE!</v>
      </c>
      <c r="EO4" t="e">
        <f>AND(Feuil1!D46,"AAAAAHtz15A=")</f>
        <v>#VALUE!</v>
      </c>
      <c r="EP4" t="e">
        <f>AND(Feuil1!E46,"AAAAAHtz15E=")</f>
        <v>#VALUE!</v>
      </c>
      <c r="EQ4">
        <f>IF(Feuil1!47:47,"AAAAAHtz15I=",0)</f>
        <v>0</v>
      </c>
      <c r="ER4" t="e">
        <f>AND(Feuil1!A47,"AAAAAHtz15M=")</f>
        <v>#VALUE!</v>
      </c>
      <c r="ES4" t="e">
        <f>AND(Feuil1!B47,"AAAAAHtz15Q=")</f>
        <v>#VALUE!</v>
      </c>
      <c r="ET4" t="e">
        <f>AND(Feuil1!C47,"AAAAAHtz15U=")</f>
        <v>#VALUE!</v>
      </c>
      <c r="EU4" t="e">
        <f>AND(Feuil1!D47,"AAAAAHtz15Y=")</f>
        <v>#VALUE!</v>
      </c>
      <c r="EV4" t="e">
        <f>AND(Feuil1!E47,"AAAAAHtz15c=")</f>
        <v>#VALUE!</v>
      </c>
      <c r="EW4">
        <f>IF(Feuil1!48:48,"AAAAAHtz15g=",0)</f>
        <v>0</v>
      </c>
      <c r="EX4" t="e">
        <f>AND(Feuil1!A48,"AAAAAHtz15k=")</f>
        <v>#VALUE!</v>
      </c>
      <c r="EY4" t="e">
        <f>AND(Feuil1!B48,"AAAAAHtz15o=")</f>
        <v>#VALUE!</v>
      </c>
      <c r="EZ4" t="e">
        <f>AND(Feuil1!C48,"AAAAAHtz15s=")</f>
        <v>#VALUE!</v>
      </c>
      <c r="FA4" t="e">
        <f>AND(Feuil1!D48,"AAAAAHtz15w=")</f>
        <v>#VALUE!</v>
      </c>
      <c r="FB4" t="e">
        <f>AND(Feuil1!E48,"AAAAAHtz150=")</f>
        <v>#VALUE!</v>
      </c>
      <c r="FC4">
        <f>IF(Feuil1!49:49,"AAAAAHtz154=",0)</f>
        <v>0</v>
      </c>
      <c r="FD4" t="e">
        <f>AND(Feuil1!A49,"AAAAAHtz158=")</f>
        <v>#VALUE!</v>
      </c>
      <c r="FE4" t="e">
        <f>AND(Feuil1!B49,"AAAAAHtz16A=")</f>
        <v>#VALUE!</v>
      </c>
      <c r="FF4" t="e">
        <f>AND(Feuil1!C49,"AAAAAHtz16E=")</f>
        <v>#VALUE!</v>
      </c>
      <c r="FG4" t="e">
        <f>AND(Feuil1!D49,"AAAAAHtz16I=")</f>
        <v>#VALUE!</v>
      </c>
      <c r="FH4" t="e">
        <f>AND(Feuil1!E49,"AAAAAHtz16M=")</f>
        <v>#VALUE!</v>
      </c>
      <c r="FI4">
        <f>IF(Feuil1!50:50,"AAAAAHtz16Q=",0)</f>
        <v>0</v>
      </c>
      <c r="FJ4" t="e">
        <f>AND(Feuil1!A50,"AAAAAHtz16U=")</f>
        <v>#VALUE!</v>
      </c>
      <c r="FK4" t="e">
        <f>AND(Feuil1!B50,"AAAAAHtz16Y=")</f>
        <v>#VALUE!</v>
      </c>
      <c r="FL4" t="e">
        <f>AND(Feuil1!C50,"AAAAAHtz16c=")</f>
        <v>#VALUE!</v>
      </c>
      <c r="FM4" t="e">
        <f>AND(Feuil1!D50,"AAAAAHtz16g=")</f>
        <v>#VALUE!</v>
      </c>
      <c r="FN4" t="e">
        <f>AND(Feuil1!E50,"AAAAAHtz16k=")</f>
        <v>#VALUE!</v>
      </c>
      <c r="FO4">
        <f>IF(Feuil1!51:51,"AAAAAHtz16o=",0)</f>
        <v>0</v>
      </c>
      <c r="FP4" t="e">
        <f>AND(Feuil1!A51,"AAAAAHtz16s=")</f>
        <v>#VALUE!</v>
      </c>
      <c r="FQ4" t="e">
        <f>AND(Feuil1!B51,"AAAAAHtz16w=")</f>
        <v>#VALUE!</v>
      </c>
      <c r="FR4" t="e">
        <f>AND(Feuil1!C51,"AAAAAHtz160=")</f>
        <v>#VALUE!</v>
      </c>
      <c r="FS4" t="e">
        <f>AND(Feuil1!D51,"AAAAAHtz164=")</f>
        <v>#VALUE!</v>
      </c>
      <c r="FT4" t="e">
        <f>AND(Feuil1!E51,"AAAAAHtz168=")</f>
        <v>#VALUE!</v>
      </c>
      <c r="FU4">
        <f>IF(Feuil1!52:52,"AAAAAHtz17A=",0)</f>
        <v>0</v>
      </c>
      <c r="FV4" t="e">
        <f>AND(Feuil1!A52,"AAAAAHtz17E=")</f>
        <v>#VALUE!</v>
      </c>
      <c r="FW4" t="e">
        <f>AND(Feuil1!B52,"AAAAAHtz17I=")</f>
        <v>#VALUE!</v>
      </c>
      <c r="FX4" t="e">
        <f>AND(Feuil1!C52,"AAAAAHtz17M=")</f>
        <v>#VALUE!</v>
      </c>
      <c r="FY4" t="e">
        <f>AND(Feuil1!D52,"AAAAAHtz17Q=")</f>
        <v>#VALUE!</v>
      </c>
      <c r="FZ4" t="e">
        <f>AND(Feuil1!E52,"AAAAAHtz17U=")</f>
        <v>#VALUE!</v>
      </c>
      <c r="GA4">
        <f>IF(Feuil1!53:53,"AAAAAHtz17Y=",0)</f>
        <v>0</v>
      </c>
      <c r="GB4" t="e">
        <f>AND(Feuil1!A53,"AAAAAHtz17c=")</f>
        <v>#VALUE!</v>
      </c>
      <c r="GC4" t="e">
        <f>AND(Feuil1!B53,"AAAAAHtz17g=")</f>
        <v>#VALUE!</v>
      </c>
      <c r="GD4" t="e">
        <f>AND(Feuil1!C53,"AAAAAHtz17k=")</f>
        <v>#VALUE!</v>
      </c>
      <c r="GE4" t="e">
        <f>AND(Feuil1!D53,"AAAAAHtz17o=")</f>
        <v>#VALUE!</v>
      </c>
      <c r="GF4" t="e">
        <f>AND(Feuil1!E53,"AAAAAHtz17s=")</f>
        <v>#VALUE!</v>
      </c>
      <c r="GG4">
        <f>IF(Feuil1!54:54,"AAAAAHtz17w=",0)</f>
        <v>0</v>
      </c>
      <c r="GH4" t="e">
        <f>AND(Feuil1!A54,"AAAAAHtz170=")</f>
        <v>#VALUE!</v>
      </c>
      <c r="GI4" t="e">
        <f>AND(Feuil1!B54,"AAAAAHtz174=")</f>
        <v>#VALUE!</v>
      </c>
      <c r="GJ4" t="e">
        <f>AND(Feuil1!C54,"AAAAAHtz178=")</f>
        <v>#VALUE!</v>
      </c>
      <c r="GK4" t="e">
        <f>AND(Feuil1!D54,"AAAAAHtz18A=")</f>
        <v>#VALUE!</v>
      </c>
      <c r="GL4" t="e">
        <f>AND(Feuil1!E54,"AAAAAHtz18E=")</f>
        <v>#VALUE!</v>
      </c>
      <c r="GM4">
        <f>IF(Feuil1!55:55,"AAAAAHtz18I=",0)</f>
        <v>0</v>
      </c>
      <c r="GN4" t="e">
        <f>AND(Feuil1!A55,"AAAAAHtz18M=")</f>
        <v>#VALUE!</v>
      </c>
      <c r="GO4" t="e">
        <f>AND(Feuil1!B55,"AAAAAHtz18Q=")</f>
        <v>#VALUE!</v>
      </c>
      <c r="GP4" t="e">
        <f>AND(Feuil1!C55,"AAAAAHtz18U=")</f>
        <v>#VALUE!</v>
      </c>
      <c r="GQ4" t="e">
        <f>AND(Feuil1!D55,"AAAAAHtz18Y=")</f>
        <v>#VALUE!</v>
      </c>
      <c r="GR4" t="e">
        <f>AND(Feuil1!E55,"AAAAAHtz18c=")</f>
        <v>#VALUE!</v>
      </c>
      <c r="GS4">
        <f>IF(Feuil1!56:56,"AAAAAHtz18g=",0)</f>
        <v>0</v>
      </c>
      <c r="GT4" t="e">
        <f>AND(Feuil1!A56,"AAAAAHtz18k=")</f>
        <v>#VALUE!</v>
      </c>
      <c r="GU4" t="e">
        <f>AND(Feuil1!B56,"AAAAAHtz18o=")</f>
        <v>#VALUE!</v>
      </c>
      <c r="GV4" t="e">
        <f>AND(Feuil1!C56,"AAAAAHtz18s=")</f>
        <v>#VALUE!</v>
      </c>
      <c r="GW4" t="e">
        <f>AND(Feuil1!D56,"AAAAAHtz18w=")</f>
        <v>#VALUE!</v>
      </c>
      <c r="GX4" t="e">
        <f>AND(Feuil1!E56,"AAAAAHtz180=")</f>
        <v>#VALUE!</v>
      </c>
      <c r="GY4">
        <f>IF(Feuil1!57:57,"AAAAAHtz184=",0)</f>
        <v>0</v>
      </c>
      <c r="GZ4" t="e">
        <f>AND(Feuil1!A57,"AAAAAHtz188=")</f>
        <v>#VALUE!</v>
      </c>
      <c r="HA4" t="e">
        <f>AND(Feuil1!B57,"AAAAAHtz19A=")</f>
        <v>#VALUE!</v>
      </c>
      <c r="HB4" t="e">
        <f>AND(Feuil1!C57,"AAAAAHtz19E=")</f>
        <v>#VALUE!</v>
      </c>
      <c r="HC4" t="e">
        <f>AND(Feuil1!D57,"AAAAAHtz19I=")</f>
        <v>#VALUE!</v>
      </c>
      <c r="HD4" t="e">
        <f>AND(Feuil1!E57,"AAAAAHtz19M=")</f>
        <v>#VALUE!</v>
      </c>
      <c r="HE4">
        <f>IF(Feuil1!58:58,"AAAAAHtz19Q=",0)</f>
        <v>0</v>
      </c>
      <c r="HF4" t="e">
        <f>AND(Feuil1!A58,"AAAAAHtz19U=")</f>
        <v>#VALUE!</v>
      </c>
      <c r="HG4" t="e">
        <f>AND(Feuil1!B58,"AAAAAHtz19Y=")</f>
        <v>#VALUE!</v>
      </c>
      <c r="HH4" t="e">
        <f>AND(Feuil1!C58,"AAAAAHtz19c=")</f>
        <v>#VALUE!</v>
      </c>
      <c r="HI4" t="e">
        <f>AND(Feuil1!D58,"AAAAAHtz19g=")</f>
        <v>#VALUE!</v>
      </c>
      <c r="HJ4" t="e">
        <f>AND(Feuil1!E58,"AAAAAHtz19k=")</f>
        <v>#VALUE!</v>
      </c>
      <c r="HK4">
        <f>IF(Feuil1!59:59,"AAAAAHtz19o=",0)</f>
        <v>0</v>
      </c>
      <c r="HL4" t="e">
        <f>AND(Feuil1!A59,"AAAAAHtz19s=")</f>
        <v>#VALUE!</v>
      </c>
      <c r="HM4" t="e">
        <f>AND(Feuil1!B59,"AAAAAHtz19w=")</f>
        <v>#VALUE!</v>
      </c>
      <c r="HN4" t="e">
        <f>AND(Feuil1!C59,"AAAAAHtz190=")</f>
        <v>#VALUE!</v>
      </c>
      <c r="HO4" t="e">
        <f>AND(Feuil1!D59,"AAAAAHtz194=")</f>
        <v>#VALUE!</v>
      </c>
      <c r="HP4" t="e">
        <f>AND(Feuil1!E59,"AAAAAHtz198=")</f>
        <v>#VALUE!</v>
      </c>
      <c r="HQ4">
        <f>IF(Feuil1!60:60,"AAAAAHtz1+A=",0)</f>
        <v>0</v>
      </c>
      <c r="HR4" t="e">
        <f>AND(Feuil1!A60,"AAAAAHtz1+E=")</f>
        <v>#VALUE!</v>
      </c>
      <c r="HS4" t="e">
        <f>AND(Feuil1!B60,"AAAAAHtz1+I=")</f>
        <v>#VALUE!</v>
      </c>
      <c r="HT4" t="e">
        <f>AND(Feuil1!C60,"AAAAAHtz1+M=")</f>
        <v>#VALUE!</v>
      </c>
      <c r="HU4" t="e">
        <f>AND(Feuil1!D60,"AAAAAHtz1+Q=")</f>
        <v>#VALUE!</v>
      </c>
      <c r="HV4" t="e">
        <f>AND(Feuil1!E60,"AAAAAHtz1+U=")</f>
        <v>#VALUE!</v>
      </c>
      <c r="HW4">
        <f>IF(Feuil1!61:61,"AAAAAHtz1+Y=",0)</f>
        <v>0</v>
      </c>
      <c r="HX4" t="e">
        <f>AND(Feuil1!A61,"AAAAAHtz1+c=")</f>
        <v>#VALUE!</v>
      </c>
      <c r="HY4" t="e">
        <f>AND(Feuil1!B61,"AAAAAHtz1+g=")</f>
        <v>#VALUE!</v>
      </c>
      <c r="HZ4" t="e">
        <f>AND(Feuil1!C61,"AAAAAHtz1+k=")</f>
        <v>#VALUE!</v>
      </c>
      <c r="IA4" t="e">
        <f>AND(Feuil1!D61,"AAAAAHtz1+o=")</f>
        <v>#VALUE!</v>
      </c>
      <c r="IB4" t="e">
        <f>AND(Feuil1!E61,"AAAAAHtz1+s=")</f>
        <v>#VALUE!</v>
      </c>
      <c r="IC4">
        <f>IF(Feuil1!62:62,"AAAAAHtz1+w=",0)</f>
        <v>0</v>
      </c>
      <c r="ID4" t="e">
        <f>AND(Feuil1!A62,"AAAAAHtz1+0=")</f>
        <v>#VALUE!</v>
      </c>
      <c r="IE4" t="e">
        <f>AND(Feuil1!B62,"AAAAAHtz1+4=")</f>
        <v>#VALUE!</v>
      </c>
      <c r="IF4" t="e">
        <f>AND(Feuil1!C62,"AAAAAHtz1+8=")</f>
        <v>#VALUE!</v>
      </c>
      <c r="IG4" t="e">
        <f>AND(Feuil1!D62,"AAAAAHtz1/A=")</f>
        <v>#VALUE!</v>
      </c>
      <c r="IH4" t="e">
        <f>AND(Feuil1!E62,"AAAAAHtz1/E=")</f>
        <v>#VALUE!</v>
      </c>
      <c r="II4">
        <f>IF(Feuil1!63:63,"AAAAAHtz1/I=",0)</f>
        <v>0</v>
      </c>
      <c r="IJ4" t="e">
        <f>AND(Feuil1!A63,"AAAAAHtz1/M=")</f>
        <v>#VALUE!</v>
      </c>
      <c r="IK4" t="e">
        <f>AND(Feuil1!B63,"AAAAAHtz1/Q=")</f>
        <v>#VALUE!</v>
      </c>
      <c r="IL4" t="e">
        <f>AND(Feuil1!C63,"AAAAAHtz1/U=")</f>
        <v>#VALUE!</v>
      </c>
      <c r="IM4" t="e">
        <f>AND(Feuil1!D63,"AAAAAHtz1/Y=")</f>
        <v>#VALUE!</v>
      </c>
      <c r="IN4" t="e">
        <f>AND(Feuil1!E63,"AAAAAHtz1/c=")</f>
        <v>#VALUE!</v>
      </c>
      <c r="IO4">
        <f>IF(Feuil1!64:64,"AAAAAHtz1/g=",0)</f>
        <v>0</v>
      </c>
      <c r="IP4" t="e">
        <f>AND(Feuil1!A64,"AAAAAHtz1/k=")</f>
        <v>#VALUE!</v>
      </c>
      <c r="IQ4" t="e">
        <f>AND(Feuil1!B64,"AAAAAHtz1/o=")</f>
        <v>#VALUE!</v>
      </c>
      <c r="IR4" t="e">
        <f>AND(Feuil1!C64,"AAAAAHtz1/s=")</f>
        <v>#VALUE!</v>
      </c>
      <c r="IS4" t="e">
        <f>AND(Feuil1!D64,"AAAAAHtz1/w=")</f>
        <v>#VALUE!</v>
      </c>
      <c r="IT4" t="e">
        <f>AND(Feuil1!E64,"AAAAAHtz1/0=")</f>
        <v>#VALUE!</v>
      </c>
      <c r="IU4">
        <f>IF(Feuil1!65:65,"AAAAAHtz1/4=",0)</f>
        <v>0</v>
      </c>
      <c r="IV4" t="e">
        <f>AND(Feuil1!A65,"AAAAAHtz1/8=")</f>
        <v>#VALUE!</v>
      </c>
    </row>
    <row r="5" spans="1:256" x14ac:dyDescent="0.25">
      <c r="A5" t="e">
        <f>AND(Feuil1!B65,"AAAAAG6/3wA=")</f>
        <v>#VALUE!</v>
      </c>
      <c r="B5" t="e">
        <f>AND(Feuil1!C65,"AAAAAG6/3wE=")</f>
        <v>#VALUE!</v>
      </c>
      <c r="C5" t="e">
        <f>AND(Feuil1!D65,"AAAAAG6/3wI=")</f>
        <v>#VALUE!</v>
      </c>
      <c r="D5" t="e">
        <f>AND(Feuil1!E65,"AAAAAG6/3wM=")</f>
        <v>#VALUE!</v>
      </c>
      <c r="E5" t="e">
        <f>IF(Feuil1!66:66,"AAAAAG6/3wQ=",0)</f>
        <v>#VALUE!</v>
      </c>
      <c r="F5" t="e">
        <f>AND(Feuil1!A66,"AAAAAG6/3wU=")</f>
        <v>#VALUE!</v>
      </c>
      <c r="G5" t="e">
        <f>AND(Feuil1!B66,"AAAAAG6/3wY=")</f>
        <v>#VALUE!</v>
      </c>
      <c r="H5" t="e">
        <f>AND(Feuil1!C66,"AAAAAG6/3wc=")</f>
        <v>#VALUE!</v>
      </c>
      <c r="I5" t="e">
        <f>AND(Feuil1!D66,"AAAAAG6/3wg=")</f>
        <v>#VALUE!</v>
      </c>
      <c r="J5" t="e">
        <f>AND(Feuil1!E66,"AAAAAG6/3wk=")</f>
        <v>#VALUE!</v>
      </c>
      <c r="K5">
        <f>IF(Feuil1!67:67,"AAAAAG6/3wo=",0)</f>
        <v>0</v>
      </c>
      <c r="L5" t="e">
        <f>AND(Feuil1!A67,"AAAAAG6/3ws=")</f>
        <v>#VALUE!</v>
      </c>
      <c r="M5" t="e">
        <f>AND(Feuil1!B67,"AAAAAG6/3ww=")</f>
        <v>#VALUE!</v>
      </c>
      <c r="N5" t="e">
        <f>AND(Feuil1!C67,"AAAAAG6/3w0=")</f>
        <v>#VALUE!</v>
      </c>
      <c r="O5" t="e">
        <f>AND(Feuil1!D67,"AAAAAG6/3w4=")</f>
        <v>#VALUE!</v>
      </c>
      <c r="P5" t="e">
        <f>AND(Feuil1!E67,"AAAAAG6/3w8=")</f>
        <v>#VALUE!</v>
      </c>
      <c r="Q5">
        <f>IF(Feuil1!68:68,"AAAAAG6/3xA=",0)</f>
        <v>0</v>
      </c>
      <c r="R5" t="e">
        <f>AND(Feuil1!A68,"AAAAAG6/3xE=")</f>
        <v>#VALUE!</v>
      </c>
      <c r="S5" t="e">
        <f>AND(Feuil1!B68,"AAAAAG6/3xI=")</f>
        <v>#VALUE!</v>
      </c>
      <c r="T5" t="e">
        <f>AND(Feuil1!C68,"AAAAAG6/3xM=")</f>
        <v>#VALUE!</v>
      </c>
      <c r="U5" t="e">
        <f>AND(Feuil1!D68,"AAAAAG6/3xQ=")</f>
        <v>#VALUE!</v>
      </c>
      <c r="V5" t="e">
        <f>AND(Feuil1!E68,"AAAAAG6/3xU=")</f>
        <v>#VALUE!</v>
      </c>
      <c r="W5">
        <f>IF(Feuil1!69:69,"AAAAAG6/3xY=",0)</f>
        <v>0</v>
      </c>
      <c r="X5" t="e">
        <f>AND(Feuil1!A69,"AAAAAG6/3xc=")</f>
        <v>#VALUE!</v>
      </c>
      <c r="Y5" t="e">
        <f>AND(Feuil1!B69,"AAAAAG6/3xg=")</f>
        <v>#VALUE!</v>
      </c>
      <c r="Z5" t="e">
        <f>AND(Feuil1!C69,"AAAAAG6/3xk=")</f>
        <v>#VALUE!</v>
      </c>
      <c r="AA5" t="e">
        <f>AND(Feuil1!D69,"AAAAAG6/3xo=")</f>
        <v>#VALUE!</v>
      </c>
      <c r="AB5" t="e">
        <f>AND(Feuil1!E69,"AAAAAG6/3xs=")</f>
        <v>#VALUE!</v>
      </c>
      <c r="AC5">
        <f>IF(Feuil1!70:70,"AAAAAG6/3xw=",0)</f>
        <v>0</v>
      </c>
      <c r="AD5" t="e">
        <f>AND(Feuil1!A70,"AAAAAG6/3x0=")</f>
        <v>#VALUE!</v>
      </c>
      <c r="AE5" t="e">
        <f>AND(Feuil1!B70,"AAAAAG6/3x4=")</f>
        <v>#VALUE!</v>
      </c>
      <c r="AF5" t="e">
        <f>AND(Feuil1!C70,"AAAAAG6/3x8=")</f>
        <v>#VALUE!</v>
      </c>
      <c r="AG5" t="e">
        <f>AND(Feuil1!D70,"AAAAAG6/3yA=")</f>
        <v>#VALUE!</v>
      </c>
      <c r="AH5" t="e">
        <f>AND(Feuil1!E70,"AAAAAG6/3yE=")</f>
        <v>#VALUE!</v>
      </c>
      <c r="AI5">
        <f>IF(Feuil1!71:71,"AAAAAG6/3yI=",0)</f>
        <v>0</v>
      </c>
      <c r="AJ5" t="e">
        <f>AND(Feuil1!A71,"AAAAAG6/3yM=")</f>
        <v>#VALUE!</v>
      </c>
      <c r="AK5" t="e">
        <f>AND(Feuil1!B71,"AAAAAG6/3yQ=")</f>
        <v>#VALUE!</v>
      </c>
      <c r="AL5" t="e">
        <f>AND(Feuil1!C71,"AAAAAG6/3yU=")</f>
        <v>#VALUE!</v>
      </c>
      <c r="AM5" t="e">
        <f>AND(Feuil1!D71,"AAAAAG6/3yY=")</f>
        <v>#VALUE!</v>
      </c>
      <c r="AN5" t="e">
        <f>AND(Feuil1!E71,"AAAAAG6/3yc=")</f>
        <v>#VALUE!</v>
      </c>
      <c r="AO5">
        <f>IF(Feuil1!72:72,"AAAAAG6/3yg=",0)</f>
        <v>0</v>
      </c>
      <c r="AP5" t="e">
        <f>AND(Feuil1!A72,"AAAAAG6/3yk=")</f>
        <v>#VALUE!</v>
      </c>
      <c r="AQ5" t="e">
        <f>AND(Feuil1!B72,"AAAAAG6/3yo=")</f>
        <v>#VALUE!</v>
      </c>
      <c r="AR5" t="e">
        <f>AND(Feuil1!C72,"AAAAAG6/3ys=")</f>
        <v>#VALUE!</v>
      </c>
      <c r="AS5" t="e">
        <f>AND(Feuil1!D72,"AAAAAG6/3yw=")</f>
        <v>#VALUE!</v>
      </c>
      <c r="AT5" t="e">
        <f>AND(Feuil1!E72,"AAAAAG6/3y0=")</f>
        <v>#VALUE!</v>
      </c>
      <c r="AU5">
        <f>IF(Feuil1!73:73,"AAAAAG6/3y4=",0)</f>
        <v>0</v>
      </c>
      <c r="AV5" t="e">
        <f>AND(Feuil1!A73,"AAAAAG6/3y8=")</f>
        <v>#VALUE!</v>
      </c>
      <c r="AW5" t="e">
        <f>AND(Feuil1!B73,"AAAAAG6/3zA=")</f>
        <v>#VALUE!</v>
      </c>
      <c r="AX5" t="e">
        <f>AND(Feuil1!C73,"AAAAAG6/3zE=")</f>
        <v>#VALUE!</v>
      </c>
      <c r="AY5" t="e">
        <f>AND(Feuil1!D73,"AAAAAG6/3zI=")</f>
        <v>#VALUE!</v>
      </c>
      <c r="AZ5" t="e">
        <f>AND(Feuil1!E73,"AAAAAG6/3zM=")</f>
        <v>#VALUE!</v>
      </c>
      <c r="BA5">
        <f>IF(Feuil1!74:74,"AAAAAG6/3zQ=",0)</f>
        <v>0</v>
      </c>
      <c r="BB5" t="e">
        <f>AND(Feuil1!A74,"AAAAAG6/3zU=")</f>
        <v>#VALUE!</v>
      </c>
      <c r="BC5" t="e">
        <f>AND(Feuil1!B74,"AAAAAG6/3zY=")</f>
        <v>#VALUE!</v>
      </c>
      <c r="BD5" t="e">
        <f>AND(Feuil1!C74,"AAAAAG6/3zc=")</f>
        <v>#VALUE!</v>
      </c>
      <c r="BE5" t="e">
        <f>AND(Feuil1!D74,"AAAAAG6/3zg=")</f>
        <v>#VALUE!</v>
      </c>
      <c r="BF5" t="e">
        <f>AND(Feuil1!E74,"AAAAAG6/3zk=")</f>
        <v>#VALUE!</v>
      </c>
      <c r="BG5">
        <f>IF(Feuil1!75:75,"AAAAAG6/3zo=",0)</f>
        <v>0</v>
      </c>
      <c r="BH5" t="e">
        <f>AND(Feuil1!A75,"AAAAAG6/3zs=")</f>
        <v>#VALUE!</v>
      </c>
      <c r="BI5" t="e">
        <f>AND(Feuil1!B75,"AAAAAG6/3zw=")</f>
        <v>#VALUE!</v>
      </c>
      <c r="BJ5" t="e">
        <f>AND(Feuil1!C75,"AAAAAG6/3z0=")</f>
        <v>#VALUE!</v>
      </c>
      <c r="BK5" t="e">
        <f>AND(Feuil1!D75,"AAAAAG6/3z4=")</f>
        <v>#VALUE!</v>
      </c>
      <c r="BL5" t="e">
        <f>AND(Feuil1!E75,"AAAAAG6/3z8=")</f>
        <v>#VALUE!</v>
      </c>
      <c r="BM5">
        <f>IF(Feuil1!76:76,"AAAAAG6/30A=",0)</f>
        <v>0</v>
      </c>
      <c r="BN5" t="e">
        <f>AND(Feuil1!A76,"AAAAAG6/30E=")</f>
        <v>#VALUE!</v>
      </c>
      <c r="BO5" t="e">
        <f>AND(Feuil1!B76,"AAAAAG6/30I=")</f>
        <v>#VALUE!</v>
      </c>
      <c r="BP5" t="e">
        <f>AND(Feuil1!C76,"AAAAAG6/30M=")</f>
        <v>#VALUE!</v>
      </c>
      <c r="BQ5" t="e">
        <f>AND(Feuil1!D76,"AAAAAG6/30Q=")</f>
        <v>#VALUE!</v>
      </c>
      <c r="BR5" t="e">
        <f>AND(Feuil1!E76,"AAAAAG6/30U=")</f>
        <v>#VALUE!</v>
      </c>
      <c r="BS5">
        <f>IF(Feuil1!77:77,"AAAAAG6/30Y=",0)</f>
        <v>0</v>
      </c>
      <c r="BT5" t="e">
        <f>AND(Feuil1!A77,"AAAAAG6/30c=")</f>
        <v>#VALUE!</v>
      </c>
      <c r="BU5" t="e">
        <f>AND(Feuil1!B77,"AAAAAG6/30g=")</f>
        <v>#VALUE!</v>
      </c>
      <c r="BV5" t="e">
        <f>AND(Feuil1!C77,"AAAAAG6/30k=")</f>
        <v>#VALUE!</v>
      </c>
      <c r="BW5" t="e">
        <f>AND(Feuil1!D77,"AAAAAG6/30o=")</f>
        <v>#VALUE!</v>
      </c>
      <c r="BX5" t="e">
        <f>AND(Feuil1!E77,"AAAAAG6/30s=")</f>
        <v>#VALUE!</v>
      </c>
      <c r="BY5">
        <f>IF(Feuil1!78:78,"AAAAAG6/30w=",0)</f>
        <v>0</v>
      </c>
      <c r="BZ5" t="e">
        <f>AND(Feuil1!A78,"AAAAAG6/300=")</f>
        <v>#VALUE!</v>
      </c>
      <c r="CA5" t="e">
        <f>AND(Feuil1!B78,"AAAAAG6/304=")</f>
        <v>#VALUE!</v>
      </c>
      <c r="CB5" t="e">
        <f>AND(Feuil1!C78,"AAAAAG6/308=")</f>
        <v>#VALUE!</v>
      </c>
      <c r="CC5" t="e">
        <f>AND(Feuil1!D78,"AAAAAG6/31A=")</f>
        <v>#VALUE!</v>
      </c>
      <c r="CD5" t="e">
        <f>AND(Feuil1!E78,"AAAAAG6/31E=")</f>
        <v>#VALUE!</v>
      </c>
      <c r="CE5">
        <f>IF(Feuil1!79:79,"AAAAAG6/31I=",0)</f>
        <v>0</v>
      </c>
      <c r="CF5" t="e">
        <f>AND(Feuil1!A79,"AAAAAG6/31M=")</f>
        <v>#VALUE!</v>
      </c>
      <c r="CG5" t="e">
        <f>AND(Feuil1!B79,"AAAAAG6/31Q=")</f>
        <v>#VALUE!</v>
      </c>
      <c r="CH5" t="e">
        <f>AND(Feuil1!C79,"AAAAAG6/31U=")</f>
        <v>#VALUE!</v>
      </c>
      <c r="CI5" t="e">
        <f>AND(Feuil1!D79,"AAAAAG6/31Y=")</f>
        <v>#VALUE!</v>
      </c>
      <c r="CJ5" t="e">
        <f>AND(Feuil1!E79,"AAAAAG6/31c=")</f>
        <v>#VALUE!</v>
      </c>
      <c r="CK5">
        <f>IF(Feuil1!80:80,"AAAAAG6/31g=",0)</f>
        <v>0</v>
      </c>
      <c r="CL5" t="e">
        <f>AND(Feuil1!A80,"AAAAAG6/31k=")</f>
        <v>#VALUE!</v>
      </c>
      <c r="CM5" t="e">
        <f>AND(Feuil1!B80,"AAAAAG6/31o=")</f>
        <v>#VALUE!</v>
      </c>
      <c r="CN5" t="e">
        <f>AND(Feuil1!C80,"AAAAAG6/31s=")</f>
        <v>#VALUE!</v>
      </c>
      <c r="CO5" t="e">
        <f>AND(Feuil1!D80,"AAAAAG6/31w=")</f>
        <v>#VALUE!</v>
      </c>
      <c r="CP5" t="e">
        <f>AND(Feuil1!E80,"AAAAAG6/310=")</f>
        <v>#VALUE!</v>
      </c>
      <c r="CQ5">
        <f>IF(Feuil1!81:81,"AAAAAG6/314=",0)</f>
        <v>0</v>
      </c>
      <c r="CR5" t="e">
        <f>AND(Feuil1!A81,"AAAAAG6/318=")</f>
        <v>#VALUE!</v>
      </c>
      <c r="CS5" t="e">
        <f>AND(Feuil1!B81,"AAAAAG6/32A=")</f>
        <v>#VALUE!</v>
      </c>
      <c r="CT5" t="e">
        <f>AND(Feuil1!C81,"AAAAAG6/32E=")</f>
        <v>#VALUE!</v>
      </c>
      <c r="CU5" t="e">
        <f>AND(Feuil1!D81,"AAAAAG6/32I=")</f>
        <v>#VALUE!</v>
      </c>
      <c r="CV5" t="e">
        <f>AND(Feuil1!E81,"AAAAAG6/32M=")</f>
        <v>#VALUE!</v>
      </c>
      <c r="CW5">
        <f>IF(Feuil1!82:82,"AAAAAG6/32Q=",0)</f>
        <v>0</v>
      </c>
      <c r="CX5" t="e">
        <f>AND(Feuil1!A82,"AAAAAG6/32U=")</f>
        <v>#VALUE!</v>
      </c>
      <c r="CY5" t="e">
        <f>AND(Feuil1!B82,"AAAAAG6/32Y=")</f>
        <v>#VALUE!</v>
      </c>
      <c r="CZ5" t="e">
        <f>AND(Feuil1!C82,"AAAAAG6/32c=")</f>
        <v>#VALUE!</v>
      </c>
      <c r="DA5" t="e">
        <f>AND(Feuil1!D82,"AAAAAG6/32g=")</f>
        <v>#VALUE!</v>
      </c>
      <c r="DB5" t="e">
        <f>AND(Feuil1!E82,"AAAAAG6/32k=")</f>
        <v>#VALUE!</v>
      </c>
      <c r="DC5">
        <f>IF(Feuil1!83:83,"AAAAAG6/32o=",0)</f>
        <v>0</v>
      </c>
      <c r="DD5" t="e">
        <f>AND(Feuil1!A83,"AAAAAG6/32s=")</f>
        <v>#VALUE!</v>
      </c>
      <c r="DE5" t="e">
        <f>AND(Feuil1!B83,"AAAAAG6/32w=")</f>
        <v>#VALUE!</v>
      </c>
      <c r="DF5" t="e">
        <f>AND(Feuil1!C83,"AAAAAG6/320=")</f>
        <v>#VALUE!</v>
      </c>
      <c r="DG5" t="e">
        <f>AND(Feuil1!D83,"AAAAAG6/324=")</f>
        <v>#VALUE!</v>
      </c>
      <c r="DH5" t="e">
        <f>AND(Feuil1!E83,"AAAAAG6/328=")</f>
        <v>#VALUE!</v>
      </c>
      <c r="DI5">
        <f>IF(Feuil1!84:84,"AAAAAG6/33A=",0)</f>
        <v>0</v>
      </c>
      <c r="DJ5" t="e">
        <f>AND(Feuil1!A84,"AAAAAG6/33E=")</f>
        <v>#VALUE!</v>
      </c>
      <c r="DK5" t="e">
        <f>AND(Feuil1!B84,"AAAAAG6/33I=")</f>
        <v>#VALUE!</v>
      </c>
      <c r="DL5" t="e">
        <f>AND(Feuil1!C84,"AAAAAG6/33M=")</f>
        <v>#VALUE!</v>
      </c>
      <c r="DM5" t="e">
        <f>AND(Feuil1!D84,"AAAAAG6/33Q=")</f>
        <v>#VALUE!</v>
      </c>
      <c r="DN5" t="e">
        <f>AND(Feuil1!E84,"AAAAAG6/33U=")</f>
        <v>#VALUE!</v>
      </c>
      <c r="DO5">
        <f>IF(Feuil1!85:85,"AAAAAG6/33Y=",0)</f>
        <v>0</v>
      </c>
      <c r="DP5" t="e">
        <f>AND(Feuil1!A85,"AAAAAG6/33c=")</f>
        <v>#VALUE!</v>
      </c>
      <c r="DQ5" t="e">
        <f>AND(Feuil1!B85,"AAAAAG6/33g=")</f>
        <v>#VALUE!</v>
      </c>
      <c r="DR5" t="e">
        <f>AND(Feuil1!C85,"AAAAAG6/33k=")</f>
        <v>#VALUE!</v>
      </c>
      <c r="DS5" t="e">
        <f>AND(Feuil1!D85,"AAAAAG6/33o=")</f>
        <v>#VALUE!</v>
      </c>
      <c r="DT5" t="e">
        <f>AND(Feuil1!E85,"AAAAAG6/33s=")</f>
        <v>#VALUE!</v>
      </c>
      <c r="DU5">
        <f>IF(Feuil1!86:86,"AAAAAG6/33w=",0)</f>
        <v>0</v>
      </c>
      <c r="DV5" t="e">
        <f>AND(Feuil1!A86,"AAAAAG6/330=")</f>
        <v>#VALUE!</v>
      </c>
      <c r="DW5" t="e">
        <f>AND(Feuil1!B86,"AAAAAG6/334=")</f>
        <v>#VALUE!</v>
      </c>
      <c r="DX5" t="e">
        <f>AND(Feuil1!C86,"AAAAAG6/338=")</f>
        <v>#VALUE!</v>
      </c>
      <c r="DY5" t="e">
        <f>AND(Feuil1!D86,"AAAAAG6/34A=")</f>
        <v>#VALUE!</v>
      </c>
      <c r="DZ5" t="e">
        <f>AND(Feuil1!E86,"AAAAAG6/34E=")</f>
        <v>#VALUE!</v>
      </c>
      <c r="EA5">
        <f>IF(Feuil1!87:87,"AAAAAG6/34I=",0)</f>
        <v>0</v>
      </c>
      <c r="EB5" t="e">
        <f>AND(Feuil1!A87,"AAAAAG6/34M=")</f>
        <v>#VALUE!</v>
      </c>
      <c r="EC5" t="e">
        <f>AND(Feuil1!B87,"AAAAAG6/34Q=")</f>
        <v>#VALUE!</v>
      </c>
      <c r="ED5" t="e">
        <f>AND(Feuil1!C87,"AAAAAG6/34U=")</f>
        <v>#VALUE!</v>
      </c>
      <c r="EE5" t="e">
        <f>AND(Feuil1!D87,"AAAAAG6/34Y=")</f>
        <v>#VALUE!</v>
      </c>
      <c r="EF5" t="e">
        <f>AND(Feuil1!E87,"AAAAAG6/34c=")</f>
        <v>#VALUE!</v>
      </c>
      <c r="EG5">
        <f>IF(Feuil1!88:88,"AAAAAG6/34g=",0)</f>
        <v>0</v>
      </c>
      <c r="EH5" t="e">
        <f>AND(Feuil1!A88,"AAAAAG6/34k=")</f>
        <v>#VALUE!</v>
      </c>
      <c r="EI5" t="e">
        <f>AND(Feuil1!B88,"AAAAAG6/34o=")</f>
        <v>#VALUE!</v>
      </c>
      <c r="EJ5" t="e">
        <f>AND(Feuil1!C88,"AAAAAG6/34s=")</f>
        <v>#VALUE!</v>
      </c>
      <c r="EK5" t="e">
        <f>AND(Feuil1!D88,"AAAAAG6/34w=")</f>
        <v>#VALUE!</v>
      </c>
      <c r="EL5" t="e">
        <f>AND(Feuil1!E88,"AAAAAG6/340=")</f>
        <v>#VALUE!</v>
      </c>
      <c r="EM5">
        <f>IF(Feuil1!89:89,"AAAAAG6/344=",0)</f>
        <v>0</v>
      </c>
      <c r="EN5" t="e">
        <f>AND(Feuil1!A89,"AAAAAG6/348=")</f>
        <v>#VALUE!</v>
      </c>
      <c r="EO5" t="e">
        <f>AND(Feuil1!B89,"AAAAAG6/35A=")</f>
        <v>#VALUE!</v>
      </c>
      <c r="EP5" t="e">
        <f>AND(Feuil1!C89,"AAAAAG6/35E=")</f>
        <v>#VALUE!</v>
      </c>
      <c r="EQ5" t="e">
        <f>AND(Feuil1!D89,"AAAAAG6/35I=")</f>
        <v>#VALUE!</v>
      </c>
      <c r="ER5" t="e">
        <f>AND(Feuil1!E89,"AAAAAG6/35M=")</f>
        <v>#VALUE!</v>
      </c>
      <c r="ES5">
        <f>IF(Feuil1!90:90,"AAAAAG6/35Q=",0)</f>
        <v>0</v>
      </c>
      <c r="ET5" t="e">
        <f>AND(Feuil1!A90,"AAAAAG6/35U=")</f>
        <v>#VALUE!</v>
      </c>
      <c r="EU5" t="e">
        <f>AND(Feuil1!B90,"AAAAAG6/35Y=")</f>
        <v>#VALUE!</v>
      </c>
      <c r="EV5" t="e">
        <f>AND(Feuil1!C90,"AAAAAG6/35c=")</f>
        <v>#VALUE!</v>
      </c>
      <c r="EW5" t="e">
        <f>AND(Feuil1!D90,"AAAAAG6/35g=")</f>
        <v>#VALUE!</v>
      </c>
      <c r="EX5" t="e">
        <f>AND(Feuil1!E90,"AAAAAG6/35k=")</f>
        <v>#VALUE!</v>
      </c>
      <c r="EY5">
        <f>IF(Feuil1!91:91,"AAAAAG6/35o=",0)</f>
        <v>0</v>
      </c>
      <c r="EZ5" t="e">
        <f>AND(Feuil1!A91,"AAAAAG6/35s=")</f>
        <v>#VALUE!</v>
      </c>
      <c r="FA5" t="e">
        <f>AND(Feuil1!B91,"AAAAAG6/35w=")</f>
        <v>#VALUE!</v>
      </c>
      <c r="FB5" t="e">
        <f>AND(Feuil1!C91,"AAAAAG6/350=")</f>
        <v>#VALUE!</v>
      </c>
      <c r="FC5" t="e">
        <f>AND(Feuil1!D91,"AAAAAG6/354=")</f>
        <v>#VALUE!</v>
      </c>
      <c r="FD5" t="e">
        <f>AND(Feuil1!E91,"AAAAAG6/358=")</f>
        <v>#VALUE!</v>
      </c>
      <c r="FE5">
        <f>IF(Feuil1!92:92,"AAAAAG6/36A=",0)</f>
        <v>0</v>
      </c>
      <c r="FF5" t="e">
        <f>AND(Feuil1!A92,"AAAAAG6/36E=")</f>
        <v>#VALUE!</v>
      </c>
      <c r="FG5" t="e">
        <f>AND(Feuil1!B92,"AAAAAG6/36I=")</f>
        <v>#VALUE!</v>
      </c>
      <c r="FH5" t="e">
        <f>AND(Feuil1!C92,"AAAAAG6/36M=")</f>
        <v>#VALUE!</v>
      </c>
      <c r="FI5" t="e">
        <f>AND(Feuil1!D92,"AAAAAG6/36Q=")</f>
        <v>#VALUE!</v>
      </c>
      <c r="FJ5" t="e">
        <f>AND(Feuil1!E92,"AAAAAG6/36U=")</f>
        <v>#VALUE!</v>
      </c>
      <c r="FK5">
        <f>IF(Feuil1!93:93,"AAAAAG6/36Y=",0)</f>
        <v>0</v>
      </c>
      <c r="FL5" t="e">
        <f>AND(Feuil1!A93,"AAAAAG6/36c=")</f>
        <v>#VALUE!</v>
      </c>
      <c r="FM5" t="e">
        <f>AND(Feuil1!B93,"AAAAAG6/36g=")</f>
        <v>#VALUE!</v>
      </c>
      <c r="FN5" t="e">
        <f>AND(Feuil1!C93,"AAAAAG6/36k=")</f>
        <v>#VALUE!</v>
      </c>
      <c r="FO5" t="e">
        <f>AND(Feuil1!D93,"AAAAAG6/36o=")</f>
        <v>#VALUE!</v>
      </c>
      <c r="FP5" t="e">
        <f>AND(Feuil1!E93,"AAAAAG6/36s=")</f>
        <v>#VALUE!</v>
      </c>
      <c r="FQ5">
        <f>IF(Feuil1!94:94,"AAAAAG6/36w=",0)</f>
        <v>0</v>
      </c>
      <c r="FR5" t="e">
        <f>AND(Feuil1!A94,"AAAAAG6/360=")</f>
        <v>#VALUE!</v>
      </c>
      <c r="FS5" t="e">
        <f>AND(Feuil1!B94,"AAAAAG6/364=")</f>
        <v>#VALUE!</v>
      </c>
      <c r="FT5" t="e">
        <f>AND(Feuil1!C94,"AAAAAG6/368=")</f>
        <v>#VALUE!</v>
      </c>
      <c r="FU5" t="e">
        <f>AND(Feuil1!D94,"AAAAAG6/37A=")</f>
        <v>#VALUE!</v>
      </c>
      <c r="FV5" t="e">
        <f>AND(Feuil1!E94,"AAAAAG6/37E=")</f>
        <v>#VALUE!</v>
      </c>
      <c r="FW5">
        <f>IF(Feuil1!95:95,"AAAAAG6/37I=",0)</f>
        <v>0</v>
      </c>
      <c r="FX5" t="e">
        <f>AND(Feuil1!A95,"AAAAAG6/37M=")</f>
        <v>#VALUE!</v>
      </c>
      <c r="FY5" t="e">
        <f>AND(Feuil1!B95,"AAAAAG6/37Q=")</f>
        <v>#VALUE!</v>
      </c>
      <c r="FZ5" t="e">
        <f>AND(Feuil1!C95,"AAAAAG6/37U=")</f>
        <v>#VALUE!</v>
      </c>
      <c r="GA5" t="e">
        <f>AND(Feuil1!D95,"AAAAAG6/37Y=")</f>
        <v>#VALUE!</v>
      </c>
      <c r="GB5" t="e">
        <f>AND(Feuil1!E95,"AAAAAG6/37c=")</f>
        <v>#VALUE!</v>
      </c>
      <c r="GC5">
        <f>IF(Feuil1!96:96,"AAAAAG6/37g=",0)</f>
        <v>0</v>
      </c>
      <c r="GD5" t="e">
        <f>AND(Feuil1!A96,"AAAAAG6/37k=")</f>
        <v>#VALUE!</v>
      </c>
      <c r="GE5" t="e">
        <f>AND(Feuil1!B96,"AAAAAG6/37o=")</f>
        <v>#VALUE!</v>
      </c>
      <c r="GF5" t="e">
        <f>AND(Feuil1!C96,"AAAAAG6/37s=")</f>
        <v>#VALUE!</v>
      </c>
      <c r="GG5" t="e">
        <f>AND(Feuil1!D96,"AAAAAG6/37w=")</f>
        <v>#VALUE!</v>
      </c>
      <c r="GH5" t="e">
        <f>AND(Feuil1!E96,"AAAAAG6/370=")</f>
        <v>#VALUE!</v>
      </c>
      <c r="GI5">
        <f>IF(Feuil1!97:97,"AAAAAG6/374=",0)</f>
        <v>0</v>
      </c>
      <c r="GJ5" t="e">
        <f>AND(Feuil1!A97,"AAAAAG6/378=")</f>
        <v>#VALUE!</v>
      </c>
      <c r="GK5" t="e">
        <f>AND(Feuil1!B97,"AAAAAG6/38A=")</f>
        <v>#VALUE!</v>
      </c>
      <c r="GL5" t="e">
        <f>AND(Feuil1!C97,"AAAAAG6/38E=")</f>
        <v>#VALUE!</v>
      </c>
      <c r="GM5" t="e">
        <f>AND(Feuil1!D97,"AAAAAG6/38I=")</f>
        <v>#VALUE!</v>
      </c>
      <c r="GN5" t="e">
        <f>AND(Feuil1!E97,"AAAAAG6/38M=")</f>
        <v>#VALUE!</v>
      </c>
      <c r="GO5">
        <f>IF(Feuil1!98:98,"AAAAAG6/38Q=",0)</f>
        <v>0</v>
      </c>
      <c r="GP5" t="e">
        <f>AND(Feuil1!A98,"AAAAAG6/38U=")</f>
        <v>#VALUE!</v>
      </c>
      <c r="GQ5" t="e">
        <f>AND(Feuil1!B98,"AAAAAG6/38Y=")</f>
        <v>#VALUE!</v>
      </c>
      <c r="GR5" t="e">
        <f>AND(Feuil1!C98,"AAAAAG6/38c=")</f>
        <v>#VALUE!</v>
      </c>
      <c r="GS5" t="e">
        <f>AND(Feuil1!D98,"AAAAAG6/38g=")</f>
        <v>#VALUE!</v>
      </c>
      <c r="GT5" t="e">
        <f>AND(Feuil1!E98,"AAAAAG6/38k=")</f>
        <v>#VALUE!</v>
      </c>
      <c r="GU5">
        <f>IF(Feuil1!99:99,"AAAAAG6/38o=",0)</f>
        <v>0</v>
      </c>
      <c r="GV5" t="e">
        <f>AND(Feuil1!A99,"AAAAAG6/38s=")</f>
        <v>#VALUE!</v>
      </c>
      <c r="GW5" t="e">
        <f>AND(Feuil1!B99,"AAAAAG6/38w=")</f>
        <v>#VALUE!</v>
      </c>
      <c r="GX5" t="e">
        <f>AND(Feuil1!C99,"AAAAAG6/380=")</f>
        <v>#VALUE!</v>
      </c>
      <c r="GY5" t="e">
        <f>AND(Feuil1!D99,"AAAAAG6/384=")</f>
        <v>#VALUE!</v>
      </c>
      <c r="GZ5" t="e">
        <f>AND(Feuil1!E99,"AAAAAG6/388=")</f>
        <v>#VALUE!</v>
      </c>
      <c r="HA5">
        <f>IF(Feuil1!100:100,"AAAAAG6/39A=",0)</f>
        <v>0</v>
      </c>
      <c r="HB5" t="e">
        <f>AND(Feuil1!A100,"AAAAAG6/39E=")</f>
        <v>#VALUE!</v>
      </c>
      <c r="HC5" t="e">
        <f>AND(Feuil1!B100,"AAAAAG6/39I=")</f>
        <v>#VALUE!</v>
      </c>
      <c r="HD5" t="e">
        <f>AND(Feuil1!C100,"AAAAAG6/39M=")</f>
        <v>#VALUE!</v>
      </c>
      <c r="HE5" t="e">
        <f>AND(Feuil1!D100,"AAAAAG6/39Q=")</f>
        <v>#VALUE!</v>
      </c>
      <c r="HF5" t="e">
        <f>AND(Feuil1!E100,"AAAAAG6/39U=")</f>
        <v>#VALUE!</v>
      </c>
      <c r="HG5">
        <f>IF(Feuil1!101:101,"AAAAAG6/39Y=",0)</f>
        <v>0</v>
      </c>
      <c r="HH5" t="e">
        <f>AND(Feuil1!A101,"AAAAAG6/39c=")</f>
        <v>#VALUE!</v>
      </c>
      <c r="HI5" t="e">
        <f>AND(Feuil1!B101,"AAAAAG6/39g=")</f>
        <v>#VALUE!</v>
      </c>
      <c r="HJ5" t="e">
        <f>AND(Feuil1!C101,"AAAAAG6/39k=")</f>
        <v>#VALUE!</v>
      </c>
      <c r="HK5" t="e">
        <f>AND(Feuil1!D101,"AAAAAG6/39o=")</f>
        <v>#VALUE!</v>
      </c>
      <c r="HL5" t="e">
        <f>AND(Feuil1!E101,"AAAAAG6/39s=")</f>
        <v>#VALUE!</v>
      </c>
      <c r="HM5">
        <f>IF(Feuil1!102:102,"AAAAAG6/39w=",0)</f>
        <v>0</v>
      </c>
      <c r="HN5" t="e">
        <f>AND(Feuil1!A102,"AAAAAG6/390=")</f>
        <v>#VALUE!</v>
      </c>
      <c r="HO5" t="e">
        <f>AND(Feuil1!B102,"AAAAAG6/394=")</f>
        <v>#VALUE!</v>
      </c>
      <c r="HP5" t="e">
        <f>AND(Feuil1!C102,"AAAAAG6/398=")</f>
        <v>#VALUE!</v>
      </c>
      <c r="HQ5" t="e">
        <f>AND(Feuil1!D102,"AAAAAG6/3+A=")</f>
        <v>#VALUE!</v>
      </c>
      <c r="HR5" t="e">
        <f>AND(Feuil1!E102,"AAAAAG6/3+E=")</f>
        <v>#VALUE!</v>
      </c>
      <c r="HS5">
        <f>IF(Feuil1!103:103,"AAAAAG6/3+I=",0)</f>
        <v>0</v>
      </c>
      <c r="HT5" t="e">
        <f>AND(Feuil1!A103,"AAAAAG6/3+M=")</f>
        <v>#VALUE!</v>
      </c>
      <c r="HU5" t="e">
        <f>AND(Feuil1!B103,"AAAAAG6/3+Q=")</f>
        <v>#VALUE!</v>
      </c>
      <c r="HV5" t="e">
        <f>AND(Feuil1!C103,"AAAAAG6/3+U=")</f>
        <v>#VALUE!</v>
      </c>
      <c r="HW5" t="e">
        <f>AND(Feuil1!D103,"AAAAAG6/3+Y=")</f>
        <v>#VALUE!</v>
      </c>
      <c r="HX5" t="e">
        <f>AND(Feuil1!E103,"AAAAAG6/3+c=")</f>
        <v>#VALUE!</v>
      </c>
      <c r="HY5">
        <f>IF(Feuil1!104:104,"AAAAAG6/3+g=",0)</f>
        <v>0</v>
      </c>
      <c r="HZ5" t="e">
        <f>AND(Feuil1!A104,"AAAAAG6/3+k=")</f>
        <v>#VALUE!</v>
      </c>
      <c r="IA5" t="e">
        <f>AND(Feuil1!B104,"AAAAAG6/3+o=")</f>
        <v>#VALUE!</v>
      </c>
      <c r="IB5" t="e">
        <f>AND(Feuil1!C104,"AAAAAG6/3+s=")</f>
        <v>#VALUE!</v>
      </c>
      <c r="IC5" t="e">
        <f>AND(Feuil1!D104,"AAAAAG6/3+w=")</f>
        <v>#VALUE!</v>
      </c>
      <c r="ID5" t="e">
        <f>AND(Feuil1!E104,"AAAAAG6/3+0=")</f>
        <v>#VALUE!</v>
      </c>
      <c r="IE5">
        <f>IF(Feuil1!105:105,"AAAAAG6/3+4=",0)</f>
        <v>0</v>
      </c>
      <c r="IF5" t="e">
        <f>AND(Feuil1!A105,"AAAAAG6/3+8=")</f>
        <v>#VALUE!</v>
      </c>
      <c r="IG5" t="e">
        <f>AND(Feuil1!B105,"AAAAAG6/3/A=")</f>
        <v>#VALUE!</v>
      </c>
      <c r="IH5" t="e">
        <f>AND(Feuil1!C105,"AAAAAG6/3/E=")</f>
        <v>#VALUE!</v>
      </c>
      <c r="II5" t="e">
        <f>AND(Feuil1!D105,"AAAAAG6/3/I=")</f>
        <v>#VALUE!</v>
      </c>
      <c r="IJ5" t="e">
        <f>AND(Feuil1!E105,"AAAAAG6/3/M=")</f>
        <v>#VALUE!</v>
      </c>
      <c r="IK5">
        <f>IF(Feuil1!106:106,"AAAAAG6/3/Q=",0)</f>
        <v>0</v>
      </c>
      <c r="IL5" t="e">
        <f>AND(Feuil1!A106,"AAAAAG6/3/U=")</f>
        <v>#VALUE!</v>
      </c>
      <c r="IM5" t="e">
        <f>AND(Feuil1!B106,"AAAAAG6/3/Y=")</f>
        <v>#VALUE!</v>
      </c>
      <c r="IN5" t="e">
        <f>AND(Feuil1!C106,"AAAAAG6/3/c=")</f>
        <v>#VALUE!</v>
      </c>
      <c r="IO5" t="e">
        <f>AND(Feuil1!D106,"AAAAAG6/3/g=")</f>
        <v>#VALUE!</v>
      </c>
      <c r="IP5" t="e">
        <f>AND(Feuil1!E106,"AAAAAG6/3/k=")</f>
        <v>#VALUE!</v>
      </c>
      <c r="IQ5">
        <f>IF(Feuil1!107:107,"AAAAAG6/3/o=",0)</f>
        <v>0</v>
      </c>
      <c r="IR5" t="e">
        <f>AND(Feuil1!A107,"AAAAAG6/3/s=")</f>
        <v>#VALUE!</v>
      </c>
      <c r="IS5" t="e">
        <f>AND(Feuil1!B107,"AAAAAG6/3/w=")</f>
        <v>#VALUE!</v>
      </c>
      <c r="IT5" t="e">
        <f>AND(Feuil1!C107,"AAAAAG6/3/0=")</f>
        <v>#VALUE!</v>
      </c>
      <c r="IU5" t="e">
        <f>AND(Feuil1!D107,"AAAAAG6/3/4=")</f>
        <v>#VALUE!</v>
      </c>
      <c r="IV5" t="e">
        <f>AND(Feuil1!E107,"AAAAAG6/3/8=")</f>
        <v>#VALUE!</v>
      </c>
    </row>
    <row r="6" spans="1:256" x14ac:dyDescent="0.25">
      <c r="A6">
        <f>IF(Feuil1!108:108,"AAAAAH8+5wA=",0)</f>
        <v>0</v>
      </c>
      <c r="B6" t="e">
        <f>AND(Feuil1!A108,"AAAAAH8+5wE=")</f>
        <v>#VALUE!</v>
      </c>
      <c r="C6" t="e">
        <f>AND(Feuil1!B108,"AAAAAH8+5wI=")</f>
        <v>#VALUE!</v>
      </c>
      <c r="D6" t="e">
        <f>AND(Feuil1!C108,"AAAAAH8+5wM=")</f>
        <v>#VALUE!</v>
      </c>
      <c r="E6" t="e">
        <f>AND(Feuil1!D108,"AAAAAH8+5wQ=")</f>
        <v>#VALUE!</v>
      </c>
      <c r="F6" t="e">
        <f>AND(Feuil1!E108,"AAAAAH8+5wU=")</f>
        <v>#VALUE!</v>
      </c>
      <c r="G6">
        <f>IF(Feuil1!109:109,"AAAAAH8+5wY=",0)</f>
        <v>0</v>
      </c>
      <c r="H6" t="e">
        <f>AND(Feuil1!A109,"AAAAAH8+5wc=")</f>
        <v>#VALUE!</v>
      </c>
      <c r="I6" t="e">
        <f>AND(Feuil1!B109,"AAAAAH8+5wg=")</f>
        <v>#VALUE!</v>
      </c>
      <c r="J6" t="e">
        <f>AND(Feuil1!C109,"AAAAAH8+5wk=")</f>
        <v>#VALUE!</v>
      </c>
      <c r="K6" t="e">
        <f>AND(Feuil1!D109,"AAAAAH8+5wo=")</f>
        <v>#VALUE!</v>
      </c>
      <c r="L6" t="e">
        <f>AND(Feuil1!E109,"AAAAAH8+5ws=")</f>
        <v>#VALUE!</v>
      </c>
      <c r="M6">
        <f>IF(Feuil1!110:110,"AAAAAH8+5ww=",0)</f>
        <v>0</v>
      </c>
      <c r="N6" t="e">
        <f>AND(Feuil1!A110,"AAAAAH8+5w0=")</f>
        <v>#VALUE!</v>
      </c>
      <c r="O6" t="e">
        <f>AND(Feuil1!B110,"AAAAAH8+5w4=")</f>
        <v>#VALUE!</v>
      </c>
      <c r="P6" t="e">
        <f>AND(Feuil1!C110,"AAAAAH8+5w8=")</f>
        <v>#VALUE!</v>
      </c>
      <c r="Q6" t="e">
        <f>AND(Feuil1!D110,"AAAAAH8+5xA=")</f>
        <v>#VALUE!</v>
      </c>
      <c r="R6" t="e">
        <f>AND(Feuil1!E110,"AAAAAH8+5xE=")</f>
        <v>#VALUE!</v>
      </c>
      <c r="S6">
        <f>IF(Feuil1!111:111,"AAAAAH8+5xI=",0)</f>
        <v>0</v>
      </c>
      <c r="T6" t="e">
        <f>AND(Feuil1!A111,"AAAAAH8+5xM=")</f>
        <v>#VALUE!</v>
      </c>
      <c r="U6" t="e">
        <f>AND(Feuil1!B111,"AAAAAH8+5xQ=")</f>
        <v>#VALUE!</v>
      </c>
      <c r="V6" t="e">
        <f>AND(Feuil1!C111,"AAAAAH8+5xU=")</f>
        <v>#VALUE!</v>
      </c>
      <c r="W6" t="e">
        <f>AND(Feuil1!D111,"AAAAAH8+5xY=")</f>
        <v>#VALUE!</v>
      </c>
      <c r="X6" t="e">
        <f>AND(Feuil1!E111,"AAAAAH8+5xc=")</f>
        <v>#VALUE!</v>
      </c>
      <c r="Y6">
        <f>IF(Feuil1!112:112,"AAAAAH8+5xg=",0)</f>
        <v>0</v>
      </c>
      <c r="Z6" t="e">
        <f>AND(Feuil1!A112,"AAAAAH8+5xk=")</f>
        <v>#VALUE!</v>
      </c>
      <c r="AA6" t="e">
        <f>AND(Feuil1!B112,"AAAAAH8+5xo=")</f>
        <v>#VALUE!</v>
      </c>
      <c r="AB6" t="e">
        <f>AND(Feuil1!C112,"AAAAAH8+5xs=")</f>
        <v>#VALUE!</v>
      </c>
      <c r="AC6" t="e">
        <f>AND(Feuil1!D112,"AAAAAH8+5xw=")</f>
        <v>#VALUE!</v>
      </c>
      <c r="AD6" t="e">
        <f>AND(Feuil1!E112,"AAAAAH8+5x0=")</f>
        <v>#VALUE!</v>
      </c>
      <c r="AE6">
        <f>IF(Feuil1!113:113,"AAAAAH8+5x4=",0)</f>
        <v>0</v>
      </c>
      <c r="AF6" t="e">
        <f>AND(Feuil1!A113,"AAAAAH8+5x8=")</f>
        <v>#VALUE!</v>
      </c>
      <c r="AG6" t="e">
        <f>AND(Feuil1!B113,"AAAAAH8+5yA=")</f>
        <v>#VALUE!</v>
      </c>
      <c r="AH6" t="e">
        <f>AND(Feuil1!C113,"AAAAAH8+5yE=")</f>
        <v>#VALUE!</v>
      </c>
      <c r="AI6" t="e">
        <f>AND(Feuil1!D113,"AAAAAH8+5yI=")</f>
        <v>#VALUE!</v>
      </c>
      <c r="AJ6" t="e">
        <f>AND(Feuil1!E113,"AAAAAH8+5yM=")</f>
        <v>#VALUE!</v>
      </c>
      <c r="AK6">
        <f>IF(Feuil1!114:114,"AAAAAH8+5yQ=",0)</f>
        <v>0</v>
      </c>
      <c r="AL6" t="e">
        <f>AND(Feuil1!A114,"AAAAAH8+5yU=")</f>
        <v>#VALUE!</v>
      </c>
      <c r="AM6" t="e">
        <f>AND(Feuil1!B114,"AAAAAH8+5yY=")</f>
        <v>#VALUE!</v>
      </c>
      <c r="AN6" t="e">
        <f>AND(Feuil1!C114,"AAAAAH8+5yc=")</f>
        <v>#VALUE!</v>
      </c>
      <c r="AO6" t="e">
        <f>AND(Feuil1!D114,"AAAAAH8+5yg=")</f>
        <v>#VALUE!</v>
      </c>
      <c r="AP6" t="e">
        <f>AND(Feuil1!E114,"AAAAAH8+5yk=")</f>
        <v>#VALUE!</v>
      </c>
      <c r="AQ6">
        <f>IF(Feuil1!115:115,"AAAAAH8+5yo=",0)</f>
        <v>0</v>
      </c>
      <c r="AR6" t="e">
        <f>AND(Feuil1!A115,"AAAAAH8+5ys=")</f>
        <v>#VALUE!</v>
      </c>
      <c r="AS6" t="e">
        <f>AND(Feuil1!B115,"AAAAAH8+5yw=")</f>
        <v>#VALUE!</v>
      </c>
      <c r="AT6" t="e">
        <f>AND(Feuil1!C115,"AAAAAH8+5y0=")</f>
        <v>#VALUE!</v>
      </c>
      <c r="AU6" t="e">
        <f>AND(Feuil1!D115,"AAAAAH8+5y4=")</f>
        <v>#VALUE!</v>
      </c>
      <c r="AV6" t="e">
        <f>AND(Feuil1!E115,"AAAAAH8+5y8=")</f>
        <v>#VALUE!</v>
      </c>
      <c r="AW6">
        <f>IF(Feuil1!116:116,"AAAAAH8+5zA=",0)</f>
        <v>0</v>
      </c>
      <c r="AX6" t="e">
        <f>AND(Feuil1!A116,"AAAAAH8+5zE=")</f>
        <v>#VALUE!</v>
      </c>
      <c r="AY6" t="e">
        <f>AND(Feuil1!B116,"AAAAAH8+5zI=")</f>
        <v>#VALUE!</v>
      </c>
      <c r="AZ6" t="e">
        <f>AND(Feuil1!C116,"AAAAAH8+5zM=")</f>
        <v>#VALUE!</v>
      </c>
      <c r="BA6" t="e">
        <f>AND(Feuil1!D116,"AAAAAH8+5zQ=")</f>
        <v>#VALUE!</v>
      </c>
      <c r="BB6" t="e">
        <f>AND(Feuil1!E116,"AAAAAH8+5zU=")</f>
        <v>#VALUE!</v>
      </c>
      <c r="BC6">
        <f>IF(Feuil1!117:117,"AAAAAH8+5zY=",0)</f>
        <v>0</v>
      </c>
      <c r="BD6" t="e">
        <f>AND(Feuil1!A117,"AAAAAH8+5zc=")</f>
        <v>#VALUE!</v>
      </c>
      <c r="BE6" t="e">
        <f>AND(Feuil1!B117,"AAAAAH8+5zg=")</f>
        <v>#VALUE!</v>
      </c>
      <c r="BF6" t="e">
        <f>AND(Feuil1!C117,"AAAAAH8+5zk=")</f>
        <v>#VALUE!</v>
      </c>
      <c r="BG6" t="e">
        <f>AND(Feuil1!D117,"AAAAAH8+5zo=")</f>
        <v>#VALUE!</v>
      </c>
      <c r="BH6" t="e">
        <f>AND(Feuil1!E117,"AAAAAH8+5zs=")</f>
        <v>#VALUE!</v>
      </c>
      <c r="BI6">
        <f>IF(Feuil1!118:118,"AAAAAH8+5zw=",0)</f>
        <v>0</v>
      </c>
      <c r="BJ6" t="e">
        <f>AND(Feuil1!A118,"AAAAAH8+5z0=")</f>
        <v>#VALUE!</v>
      </c>
      <c r="BK6" t="e">
        <f>AND(Feuil1!B118,"AAAAAH8+5z4=")</f>
        <v>#VALUE!</v>
      </c>
      <c r="BL6" t="e">
        <f>AND(Feuil1!C118,"AAAAAH8+5z8=")</f>
        <v>#VALUE!</v>
      </c>
      <c r="BM6" t="e">
        <f>AND(Feuil1!D118,"AAAAAH8+50A=")</f>
        <v>#VALUE!</v>
      </c>
      <c r="BN6" t="e">
        <f>AND(Feuil1!E118,"AAAAAH8+50E=")</f>
        <v>#VALUE!</v>
      </c>
      <c r="BO6">
        <f>IF(Feuil1!119:119,"AAAAAH8+50I=",0)</f>
        <v>0</v>
      </c>
      <c r="BP6" t="e">
        <f>AND(Feuil1!A119,"AAAAAH8+50M=")</f>
        <v>#VALUE!</v>
      </c>
      <c r="BQ6" t="e">
        <f>AND(Feuil1!B119,"AAAAAH8+50Q=")</f>
        <v>#VALUE!</v>
      </c>
      <c r="BR6" t="e">
        <f>AND(Feuil1!C119,"AAAAAH8+50U=")</f>
        <v>#VALUE!</v>
      </c>
      <c r="BS6" t="e">
        <f>AND(Feuil1!D119,"AAAAAH8+50Y=")</f>
        <v>#VALUE!</v>
      </c>
      <c r="BT6" t="e">
        <f>AND(Feuil1!E119,"AAAAAH8+50c=")</f>
        <v>#VALUE!</v>
      </c>
      <c r="BU6">
        <f>IF(Feuil1!120:120,"AAAAAH8+50g=",0)</f>
        <v>0</v>
      </c>
      <c r="BV6" t="e">
        <f>AND(Feuil1!A120,"AAAAAH8+50k=")</f>
        <v>#VALUE!</v>
      </c>
      <c r="BW6" t="e">
        <f>AND(Feuil1!B120,"AAAAAH8+50o=")</f>
        <v>#VALUE!</v>
      </c>
      <c r="BX6" t="e">
        <f>AND(Feuil1!C120,"AAAAAH8+50s=")</f>
        <v>#VALUE!</v>
      </c>
      <c r="BY6" t="e">
        <f>AND(Feuil1!D120,"AAAAAH8+50w=")</f>
        <v>#VALUE!</v>
      </c>
      <c r="BZ6" t="e">
        <f>AND(Feuil1!E120,"AAAAAH8+500=")</f>
        <v>#VALUE!</v>
      </c>
      <c r="CA6">
        <f>IF(Feuil1!121:121,"AAAAAH8+504=",0)</f>
        <v>0</v>
      </c>
      <c r="CB6" t="e">
        <f>AND(Feuil1!A121,"AAAAAH8+508=")</f>
        <v>#VALUE!</v>
      </c>
      <c r="CC6" t="e">
        <f>AND(Feuil1!B121,"AAAAAH8+51A=")</f>
        <v>#VALUE!</v>
      </c>
      <c r="CD6" t="e">
        <f>AND(Feuil1!C121,"AAAAAH8+51E=")</f>
        <v>#VALUE!</v>
      </c>
      <c r="CE6" t="e">
        <f>AND(Feuil1!D121,"AAAAAH8+51I=")</f>
        <v>#VALUE!</v>
      </c>
      <c r="CF6" t="e">
        <f>AND(Feuil1!E121,"AAAAAH8+51M=")</f>
        <v>#VALUE!</v>
      </c>
      <c r="CG6">
        <f>IF(Feuil1!122:122,"AAAAAH8+51Q=",0)</f>
        <v>0</v>
      </c>
      <c r="CH6" t="e">
        <f>AND(Feuil1!A122,"AAAAAH8+51U=")</f>
        <v>#VALUE!</v>
      </c>
      <c r="CI6" t="e">
        <f>AND(Feuil1!B122,"AAAAAH8+51Y=")</f>
        <v>#VALUE!</v>
      </c>
      <c r="CJ6" t="e">
        <f>AND(Feuil1!C122,"AAAAAH8+51c=")</f>
        <v>#VALUE!</v>
      </c>
      <c r="CK6" t="e">
        <f>AND(Feuil1!D122,"AAAAAH8+51g=")</f>
        <v>#VALUE!</v>
      </c>
      <c r="CL6" t="e">
        <f>AND(Feuil1!E122,"AAAAAH8+51k=")</f>
        <v>#VALUE!</v>
      </c>
      <c r="CM6">
        <f>IF(Feuil1!123:123,"AAAAAH8+51o=",0)</f>
        <v>0</v>
      </c>
      <c r="CN6" t="e">
        <f>AND(Feuil1!A123,"AAAAAH8+51s=")</f>
        <v>#VALUE!</v>
      </c>
      <c r="CO6" t="e">
        <f>AND(Feuil1!B123,"AAAAAH8+51w=")</f>
        <v>#VALUE!</v>
      </c>
      <c r="CP6" t="e">
        <f>AND(Feuil1!C123,"AAAAAH8+510=")</f>
        <v>#VALUE!</v>
      </c>
      <c r="CQ6" t="e">
        <f>AND(Feuil1!D123,"AAAAAH8+514=")</f>
        <v>#VALUE!</v>
      </c>
      <c r="CR6" t="e">
        <f>AND(Feuil1!E123,"AAAAAH8+518=")</f>
        <v>#VALUE!</v>
      </c>
      <c r="CS6">
        <f>IF(Feuil1!124:124,"AAAAAH8+52A=",0)</f>
        <v>0</v>
      </c>
      <c r="CT6" t="e">
        <f>AND(Feuil1!A124,"AAAAAH8+52E=")</f>
        <v>#VALUE!</v>
      </c>
      <c r="CU6" t="e">
        <f>AND(Feuil1!B124,"AAAAAH8+52I=")</f>
        <v>#VALUE!</v>
      </c>
      <c r="CV6" t="e">
        <f>AND(Feuil1!C124,"AAAAAH8+52M=")</f>
        <v>#VALUE!</v>
      </c>
      <c r="CW6" t="e">
        <f>AND(Feuil1!D124,"AAAAAH8+52Q=")</f>
        <v>#VALUE!</v>
      </c>
      <c r="CX6" t="e">
        <f>AND(Feuil1!E124,"AAAAAH8+52U=")</f>
        <v>#VALUE!</v>
      </c>
      <c r="CY6">
        <f>IF(Feuil1!125:125,"AAAAAH8+52Y=",0)</f>
        <v>0</v>
      </c>
      <c r="CZ6" t="e">
        <f>AND(Feuil1!A125,"AAAAAH8+52c=")</f>
        <v>#VALUE!</v>
      </c>
      <c r="DA6" t="e">
        <f>AND(Feuil1!B125,"AAAAAH8+52g=")</f>
        <v>#VALUE!</v>
      </c>
      <c r="DB6" t="e">
        <f>AND(Feuil1!C125,"AAAAAH8+52k=")</f>
        <v>#VALUE!</v>
      </c>
      <c r="DC6" t="e">
        <f>AND(Feuil1!D125,"AAAAAH8+52o=")</f>
        <v>#VALUE!</v>
      </c>
      <c r="DD6" t="e">
        <f>AND(Feuil1!E125,"AAAAAH8+52s=")</f>
        <v>#VALUE!</v>
      </c>
      <c r="DE6">
        <f>IF(Feuil1!126:126,"AAAAAH8+52w=",0)</f>
        <v>0</v>
      </c>
      <c r="DF6" t="e">
        <f>AND(Feuil1!A126,"AAAAAH8+520=")</f>
        <v>#VALUE!</v>
      </c>
      <c r="DG6" t="e">
        <f>AND(Feuil1!B126,"AAAAAH8+524=")</f>
        <v>#VALUE!</v>
      </c>
      <c r="DH6" t="e">
        <f>AND(Feuil1!C126,"AAAAAH8+528=")</f>
        <v>#VALUE!</v>
      </c>
      <c r="DI6" t="e">
        <f>AND(Feuil1!D126,"AAAAAH8+53A=")</f>
        <v>#VALUE!</v>
      </c>
      <c r="DJ6" t="e">
        <f>AND(Feuil1!E126,"AAAAAH8+53E=")</f>
        <v>#VALUE!</v>
      </c>
      <c r="DK6">
        <f>IF(Feuil1!127:127,"AAAAAH8+53I=",0)</f>
        <v>0</v>
      </c>
      <c r="DL6" t="e">
        <f>AND(Feuil1!A127,"AAAAAH8+53M=")</f>
        <v>#VALUE!</v>
      </c>
      <c r="DM6" t="e">
        <f>AND(Feuil1!B127,"AAAAAH8+53Q=")</f>
        <v>#VALUE!</v>
      </c>
      <c r="DN6" t="e">
        <f>AND(Feuil1!C127,"AAAAAH8+53U=")</f>
        <v>#VALUE!</v>
      </c>
      <c r="DO6" t="e">
        <f>AND(Feuil1!D127,"AAAAAH8+53Y=")</f>
        <v>#VALUE!</v>
      </c>
      <c r="DP6" t="e">
        <f>AND(Feuil1!E127,"AAAAAH8+53c=")</f>
        <v>#VALUE!</v>
      </c>
      <c r="DQ6">
        <f>IF(Feuil1!128:128,"AAAAAH8+53g=",0)</f>
        <v>0</v>
      </c>
      <c r="DR6" t="e">
        <f>AND(Feuil1!A128,"AAAAAH8+53k=")</f>
        <v>#VALUE!</v>
      </c>
      <c r="DS6" t="e">
        <f>AND(Feuil1!B128,"AAAAAH8+53o=")</f>
        <v>#VALUE!</v>
      </c>
      <c r="DT6" t="e">
        <f>AND(Feuil1!C128,"AAAAAH8+53s=")</f>
        <v>#VALUE!</v>
      </c>
      <c r="DU6" t="e">
        <f>AND(Feuil1!D128,"AAAAAH8+53w=")</f>
        <v>#VALUE!</v>
      </c>
      <c r="DV6" t="e">
        <f>AND(Feuil1!E128,"AAAAAH8+530=")</f>
        <v>#VALUE!</v>
      </c>
      <c r="DW6">
        <f>IF(Feuil1!129:129,"AAAAAH8+534=",0)</f>
        <v>0</v>
      </c>
      <c r="DX6" t="e">
        <f>AND(Feuil1!A129,"AAAAAH8+538=")</f>
        <v>#VALUE!</v>
      </c>
      <c r="DY6" t="e">
        <f>AND(Feuil1!B129,"AAAAAH8+54A=")</f>
        <v>#VALUE!</v>
      </c>
      <c r="DZ6" t="e">
        <f>AND(Feuil1!C129,"AAAAAH8+54E=")</f>
        <v>#VALUE!</v>
      </c>
      <c r="EA6" t="e">
        <f>AND(Feuil1!D129,"AAAAAH8+54I=")</f>
        <v>#VALUE!</v>
      </c>
      <c r="EB6" t="e">
        <f>AND(Feuil1!E129,"AAAAAH8+54M=")</f>
        <v>#VALUE!</v>
      </c>
      <c r="EC6">
        <f>IF(Feuil1!130:130,"AAAAAH8+54Q=",0)</f>
        <v>0</v>
      </c>
      <c r="ED6" t="e">
        <f>AND(Feuil1!A130,"AAAAAH8+54U=")</f>
        <v>#VALUE!</v>
      </c>
      <c r="EE6" t="e">
        <f>AND(Feuil1!B130,"AAAAAH8+54Y=")</f>
        <v>#VALUE!</v>
      </c>
      <c r="EF6" t="e">
        <f>AND(Feuil1!C130,"AAAAAH8+54c=")</f>
        <v>#VALUE!</v>
      </c>
      <c r="EG6" t="e">
        <f>AND(Feuil1!D130,"AAAAAH8+54g=")</f>
        <v>#VALUE!</v>
      </c>
      <c r="EH6" t="e">
        <f>AND(Feuil1!E130,"AAAAAH8+54k=")</f>
        <v>#VALUE!</v>
      </c>
      <c r="EI6">
        <f>IF(Feuil1!131:131,"AAAAAH8+54o=",0)</f>
        <v>0</v>
      </c>
      <c r="EJ6" t="e">
        <f>AND(Feuil1!A131,"AAAAAH8+54s=")</f>
        <v>#VALUE!</v>
      </c>
      <c r="EK6" t="e">
        <f>AND(Feuil1!B131,"AAAAAH8+54w=")</f>
        <v>#VALUE!</v>
      </c>
      <c r="EL6" t="e">
        <f>AND(Feuil1!C131,"AAAAAH8+540=")</f>
        <v>#VALUE!</v>
      </c>
      <c r="EM6" t="e">
        <f>AND(Feuil1!D131,"AAAAAH8+544=")</f>
        <v>#VALUE!</v>
      </c>
      <c r="EN6" t="e">
        <f>AND(Feuil1!E131,"AAAAAH8+548=")</f>
        <v>#VALUE!</v>
      </c>
      <c r="EO6">
        <f>IF(Feuil1!132:132,"AAAAAH8+55A=",0)</f>
        <v>0</v>
      </c>
      <c r="EP6" t="e">
        <f>AND(Feuil1!A132,"AAAAAH8+55E=")</f>
        <v>#VALUE!</v>
      </c>
      <c r="EQ6" t="e">
        <f>AND(Feuil1!B132,"AAAAAH8+55I=")</f>
        <v>#VALUE!</v>
      </c>
      <c r="ER6" t="e">
        <f>AND(Feuil1!C132,"AAAAAH8+55M=")</f>
        <v>#VALUE!</v>
      </c>
      <c r="ES6" t="e">
        <f>AND(Feuil1!D132,"AAAAAH8+55Q=")</f>
        <v>#VALUE!</v>
      </c>
      <c r="ET6" t="e">
        <f>AND(Feuil1!E132,"AAAAAH8+55U=")</f>
        <v>#VALUE!</v>
      </c>
      <c r="EU6">
        <f>IF(Feuil1!133:133,"AAAAAH8+55Y=",0)</f>
        <v>0</v>
      </c>
      <c r="EV6" t="e">
        <f>AND(Feuil1!A133,"AAAAAH8+55c=")</f>
        <v>#VALUE!</v>
      </c>
      <c r="EW6" t="e">
        <f>AND(Feuil1!B133,"AAAAAH8+55g=")</f>
        <v>#VALUE!</v>
      </c>
      <c r="EX6" t="e">
        <f>AND(Feuil1!C133,"AAAAAH8+55k=")</f>
        <v>#VALUE!</v>
      </c>
      <c r="EY6" t="e">
        <f>AND(Feuil1!D133,"AAAAAH8+55o=")</f>
        <v>#VALUE!</v>
      </c>
      <c r="EZ6" t="e">
        <f>AND(Feuil1!E133,"AAAAAH8+55s=")</f>
        <v>#VALUE!</v>
      </c>
      <c r="FA6">
        <f>IF(Feuil1!134:134,"AAAAAH8+55w=",0)</f>
        <v>0</v>
      </c>
      <c r="FB6" t="e">
        <f>AND(Feuil1!A134,"AAAAAH8+550=")</f>
        <v>#VALUE!</v>
      </c>
      <c r="FC6" t="e">
        <f>AND(Feuil1!B134,"AAAAAH8+554=")</f>
        <v>#VALUE!</v>
      </c>
      <c r="FD6" t="e">
        <f>AND(Feuil1!C134,"AAAAAH8+558=")</f>
        <v>#VALUE!</v>
      </c>
      <c r="FE6" t="e">
        <f>AND(Feuil1!D134,"AAAAAH8+56A=")</f>
        <v>#VALUE!</v>
      </c>
      <c r="FF6" t="e">
        <f>AND(Feuil1!E134,"AAAAAH8+56E=")</f>
        <v>#VALUE!</v>
      </c>
      <c r="FG6">
        <f>IF(Feuil1!135:135,"AAAAAH8+56I=",0)</f>
        <v>0</v>
      </c>
      <c r="FH6" t="e">
        <f>AND(Feuil1!A135,"AAAAAH8+56M=")</f>
        <v>#VALUE!</v>
      </c>
      <c r="FI6" t="e">
        <f>AND(Feuil1!B135,"AAAAAH8+56Q=")</f>
        <v>#VALUE!</v>
      </c>
      <c r="FJ6" t="e">
        <f>AND(Feuil1!C135,"AAAAAH8+56U=")</f>
        <v>#VALUE!</v>
      </c>
      <c r="FK6" t="e">
        <f>AND(Feuil1!D135,"AAAAAH8+56Y=")</f>
        <v>#VALUE!</v>
      </c>
      <c r="FL6" t="e">
        <f>AND(Feuil1!E135,"AAAAAH8+56c=")</f>
        <v>#VALUE!</v>
      </c>
      <c r="FM6">
        <f>IF(Feuil1!136:136,"AAAAAH8+56g=",0)</f>
        <v>0</v>
      </c>
      <c r="FN6" t="e">
        <f>AND(Feuil1!A136,"AAAAAH8+56k=")</f>
        <v>#VALUE!</v>
      </c>
      <c r="FO6" t="e">
        <f>AND(Feuil1!B136,"AAAAAH8+56o=")</f>
        <v>#VALUE!</v>
      </c>
      <c r="FP6" t="e">
        <f>AND(Feuil1!C136,"AAAAAH8+56s=")</f>
        <v>#VALUE!</v>
      </c>
      <c r="FQ6" t="e">
        <f>AND(Feuil1!D136,"AAAAAH8+56w=")</f>
        <v>#VALUE!</v>
      </c>
      <c r="FR6" t="e">
        <f>AND(Feuil1!E136,"AAAAAH8+560=")</f>
        <v>#VALUE!</v>
      </c>
      <c r="FS6">
        <f>IF(Feuil1!137:137,"AAAAAH8+564=",0)</f>
        <v>0</v>
      </c>
      <c r="FT6" t="e">
        <f>AND(Feuil1!A137,"AAAAAH8+568=")</f>
        <v>#VALUE!</v>
      </c>
      <c r="FU6" t="e">
        <f>AND(Feuil1!B137,"AAAAAH8+57A=")</f>
        <v>#VALUE!</v>
      </c>
      <c r="FV6" t="e">
        <f>AND(Feuil1!C137,"AAAAAH8+57E=")</f>
        <v>#VALUE!</v>
      </c>
      <c r="FW6" t="e">
        <f>AND(Feuil1!D137,"AAAAAH8+57I=")</f>
        <v>#VALUE!</v>
      </c>
      <c r="FX6" t="e">
        <f>AND(Feuil1!E137,"AAAAAH8+57M=")</f>
        <v>#VALUE!</v>
      </c>
      <c r="FY6">
        <f>IF(Feuil1!138:138,"AAAAAH8+57Q=",0)</f>
        <v>0</v>
      </c>
      <c r="FZ6" t="e">
        <f>AND(Feuil1!A138,"AAAAAH8+57U=")</f>
        <v>#VALUE!</v>
      </c>
      <c r="GA6" t="e">
        <f>AND(Feuil1!B138,"AAAAAH8+57Y=")</f>
        <v>#VALUE!</v>
      </c>
      <c r="GB6" t="e">
        <f>AND(Feuil1!C138,"AAAAAH8+57c=")</f>
        <v>#VALUE!</v>
      </c>
      <c r="GC6" t="e">
        <f>AND(Feuil1!D138,"AAAAAH8+57g=")</f>
        <v>#VALUE!</v>
      </c>
      <c r="GD6" t="e">
        <f>AND(Feuil1!E138,"AAAAAH8+57k=")</f>
        <v>#VALUE!</v>
      </c>
      <c r="GE6">
        <f>IF(Feuil1!139:139,"AAAAAH8+57o=",0)</f>
        <v>0</v>
      </c>
      <c r="GF6" t="e">
        <f>AND(Feuil1!A139,"AAAAAH8+57s=")</f>
        <v>#VALUE!</v>
      </c>
      <c r="GG6" t="e">
        <f>AND(Feuil1!B139,"AAAAAH8+57w=")</f>
        <v>#VALUE!</v>
      </c>
      <c r="GH6" t="e">
        <f>AND(Feuil1!C139,"AAAAAH8+570=")</f>
        <v>#VALUE!</v>
      </c>
      <c r="GI6" t="e">
        <f>AND(Feuil1!D139,"AAAAAH8+574=")</f>
        <v>#VALUE!</v>
      </c>
      <c r="GJ6" t="e">
        <f>AND(Feuil1!E139,"AAAAAH8+578=")</f>
        <v>#VALUE!</v>
      </c>
      <c r="GK6">
        <f>IF(Feuil1!140:140,"AAAAAH8+58A=",0)</f>
        <v>0</v>
      </c>
      <c r="GL6" t="e">
        <f>AND(Feuil1!A140,"AAAAAH8+58E=")</f>
        <v>#VALUE!</v>
      </c>
      <c r="GM6" t="e">
        <f>AND(Feuil1!B140,"AAAAAH8+58I=")</f>
        <v>#VALUE!</v>
      </c>
      <c r="GN6" t="e">
        <f>AND(Feuil1!C140,"AAAAAH8+58M=")</f>
        <v>#VALUE!</v>
      </c>
      <c r="GO6" t="e">
        <f>AND(Feuil1!D140,"AAAAAH8+58Q=")</f>
        <v>#VALUE!</v>
      </c>
      <c r="GP6" t="e">
        <f>AND(Feuil1!E140,"AAAAAH8+58U=")</f>
        <v>#VALUE!</v>
      </c>
      <c r="GQ6">
        <f>IF(Feuil1!141:141,"AAAAAH8+58Y=",0)</f>
        <v>0</v>
      </c>
      <c r="GR6" t="e">
        <f>AND(Feuil1!A141,"AAAAAH8+58c=")</f>
        <v>#VALUE!</v>
      </c>
      <c r="GS6" t="e">
        <f>AND(Feuil1!B141,"AAAAAH8+58g=")</f>
        <v>#VALUE!</v>
      </c>
      <c r="GT6" t="e">
        <f>AND(Feuil1!C141,"AAAAAH8+58k=")</f>
        <v>#VALUE!</v>
      </c>
      <c r="GU6" t="e">
        <f>AND(Feuil1!D141,"AAAAAH8+58o=")</f>
        <v>#VALUE!</v>
      </c>
      <c r="GV6" t="e">
        <f>AND(Feuil1!E141,"AAAAAH8+58s=")</f>
        <v>#VALUE!</v>
      </c>
      <c r="GW6">
        <f>IF(Feuil1!142:142,"AAAAAH8+58w=",0)</f>
        <v>0</v>
      </c>
      <c r="GX6" t="e">
        <f>AND(Feuil1!A142,"AAAAAH8+580=")</f>
        <v>#VALUE!</v>
      </c>
      <c r="GY6" t="e">
        <f>AND(Feuil1!B142,"AAAAAH8+584=")</f>
        <v>#VALUE!</v>
      </c>
      <c r="GZ6" t="e">
        <f>AND(Feuil1!C142,"AAAAAH8+588=")</f>
        <v>#VALUE!</v>
      </c>
      <c r="HA6" t="e">
        <f>AND(Feuil1!D142,"AAAAAH8+59A=")</f>
        <v>#VALUE!</v>
      </c>
      <c r="HB6" t="e">
        <f>AND(Feuil1!E142,"AAAAAH8+59E=")</f>
        <v>#VALUE!</v>
      </c>
      <c r="HC6">
        <f>IF(Feuil1!143:143,"AAAAAH8+59I=",0)</f>
        <v>0</v>
      </c>
      <c r="HD6" t="e">
        <f>AND(Feuil1!A143,"AAAAAH8+59M=")</f>
        <v>#VALUE!</v>
      </c>
      <c r="HE6" t="e">
        <f>AND(Feuil1!B143,"AAAAAH8+59Q=")</f>
        <v>#VALUE!</v>
      </c>
      <c r="HF6" t="e">
        <f>AND(Feuil1!C143,"AAAAAH8+59U=")</f>
        <v>#VALUE!</v>
      </c>
      <c r="HG6" t="e">
        <f>AND(Feuil1!D143,"AAAAAH8+59Y=")</f>
        <v>#VALUE!</v>
      </c>
      <c r="HH6" t="e">
        <f>AND(Feuil1!E143,"AAAAAH8+59c=")</f>
        <v>#VALUE!</v>
      </c>
      <c r="HI6">
        <f>IF(Feuil1!144:144,"AAAAAH8+59g=",0)</f>
        <v>0</v>
      </c>
      <c r="HJ6" t="e">
        <f>AND(Feuil1!A144,"AAAAAH8+59k=")</f>
        <v>#VALUE!</v>
      </c>
      <c r="HK6" t="e">
        <f>AND(Feuil1!B144,"AAAAAH8+59o=")</f>
        <v>#VALUE!</v>
      </c>
      <c r="HL6" t="e">
        <f>AND(Feuil1!C144,"AAAAAH8+59s=")</f>
        <v>#VALUE!</v>
      </c>
      <c r="HM6" t="e">
        <f>AND(Feuil1!D144,"AAAAAH8+59w=")</f>
        <v>#VALUE!</v>
      </c>
      <c r="HN6" t="e">
        <f>AND(Feuil1!E144,"AAAAAH8+590=")</f>
        <v>#VALUE!</v>
      </c>
      <c r="HO6">
        <f>IF(Feuil1!145:145,"AAAAAH8+594=",0)</f>
        <v>0</v>
      </c>
      <c r="HP6" t="e">
        <f>AND(Feuil1!A145,"AAAAAH8+598=")</f>
        <v>#VALUE!</v>
      </c>
      <c r="HQ6" t="e">
        <f>AND(Feuil1!B145,"AAAAAH8+5+A=")</f>
        <v>#VALUE!</v>
      </c>
      <c r="HR6" t="e">
        <f>AND(Feuil1!C145,"AAAAAH8+5+E=")</f>
        <v>#VALUE!</v>
      </c>
      <c r="HS6" t="e">
        <f>AND(Feuil1!D145,"AAAAAH8+5+I=")</f>
        <v>#VALUE!</v>
      </c>
      <c r="HT6" t="e">
        <f>AND(Feuil1!E145,"AAAAAH8+5+M=")</f>
        <v>#VALUE!</v>
      </c>
      <c r="HU6">
        <f>IF(Feuil1!146:146,"AAAAAH8+5+Q=",0)</f>
        <v>0</v>
      </c>
      <c r="HV6" t="e">
        <f>AND(Feuil1!A146,"AAAAAH8+5+U=")</f>
        <v>#VALUE!</v>
      </c>
      <c r="HW6" t="e">
        <f>AND(Feuil1!B146,"AAAAAH8+5+Y=")</f>
        <v>#VALUE!</v>
      </c>
      <c r="HX6" t="e">
        <f>AND(Feuil1!C146,"AAAAAH8+5+c=")</f>
        <v>#VALUE!</v>
      </c>
      <c r="HY6" t="e">
        <f>AND(Feuil1!D146,"AAAAAH8+5+g=")</f>
        <v>#VALUE!</v>
      </c>
      <c r="HZ6" t="e">
        <f>AND(Feuil1!E146,"AAAAAH8+5+k=")</f>
        <v>#VALUE!</v>
      </c>
      <c r="IA6">
        <f>IF(Feuil1!147:147,"AAAAAH8+5+o=",0)</f>
        <v>0</v>
      </c>
      <c r="IB6" t="e">
        <f>AND(Feuil1!A147,"AAAAAH8+5+s=")</f>
        <v>#VALUE!</v>
      </c>
      <c r="IC6" t="e">
        <f>AND(Feuil1!B147,"AAAAAH8+5+w=")</f>
        <v>#VALUE!</v>
      </c>
      <c r="ID6" t="e">
        <f>AND(Feuil1!C147,"AAAAAH8+5+0=")</f>
        <v>#VALUE!</v>
      </c>
      <c r="IE6" t="e">
        <f>AND(Feuil1!D147,"AAAAAH8+5+4=")</f>
        <v>#VALUE!</v>
      </c>
      <c r="IF6" t="e">
        <f>AND(Feuil1!E147,"AAAAAH8+5+8=")</f>
        <v>#VALUE!</v>
      </c>
      <c r="IG6">
        <f>IF(Feuil1!148:148,"AAAAAH8+5/A=",0)</f>
        <v>0</v>
      </c>
      <c r="IH6" t="e">
        <f>AND(Feuil1!A148,"AAAAAH8+5/E=")</f>
        <v>#VALUE!</v>
      </c>
      <c r="II6" t="e">
        <f>AND(Feuil1!B148,"AAAAAH8+5/I=")</f>
        <v>#VALUE!</v>
      </c>
      <c r="IJ6" t="e">
        <f>AND(Feuil1!C148,"AAAAAH8+5/M=")</f>
        <v>#VALUE!</v>
      </c>
      <c r="IK6" t="e">
        <f>AND(Feuil1!D148,"AAAAAH8+5/Q=")</f>
        <v>#VALUE!</v>
      </c>
      <c r="IL6" t="e">
        <f>AND(Feuil1!E148,"AAAAAH8+5/U=")</f>
        <v>#VALUE!</v>
      </c>
      <c r="IM6">
        <f>IF(Feuil1!149:149,"AAAAAH8+5/Y=",0)</f>
        <v>0</v>
      </c>
      <c r="IN6" t="e">
        <f>AND(Feuil1!A149,"AAAAAH8+5/c=")</f>
        <v>#VALUE!</v>
      </c>
      <c r="IO6" t="e">
        <f>AND(Feuil1!B149,"AAAAAH8+5/g=")</f>
        <v>#VALUE!</v>
      </c>
      <c r="IP6" t="e">
        <f>AND(Feuil1!C149,"AAAAAH8+5/k=")</f>
        <v>#VALUE!</v>
      </c>
      <c r="IQ6" t="e">
        <f>AND(Feuil1!D149,"AAAAAH8+5/o=")</f>
        <v>#VALUE!</v>
      </c>
      <c r="IR6" t="e">
        <f>AND(Feuil1!E149,"AAAAAH8+5/s=")</f>
        <v>#VALUE!</v>
      </c>
      <c r="IS6">
        <f>IF(Feuil1!150:150,"AAAAAH8+5/w=",0)</f>
        <v>0</v>
      </c>
      <c r="IT6" t="e">
        <f>AND(Feuil1!A150,"AAAAAH8+5/0=")</f>
        <v>#VALUE!</v>
      </c>
      <c r="IU6" t="e">
        <f>AND(Feuil1!B150,"AAAAAH8+5/4=")</f>
        <v>#VALUE!</v>
      </c>
      <c r="IV6" t="e">
        <f>AND(Feuil1!C150,"AAAAAH8+5/8=")</f>
        <v>#VALUE!</v>
      </c>
    </row>
    <row r="7" spans="1:256" x14ac:dyDescent="0.25">
      <c r="A7" t="e">
        <f>AND(Feuil1!D150,"AAAAAFWu5wA=")</f>
        <v>#VALUE!</v>
      </c>
      <c r="B7" t="e">
        <f>AND(Feuil1!E150,"AAAAAFWu5wE=")</f>
        <v>#VALUE!</v>
      </c>
      <c r="C7" t="str">
        <f>IF(Feuil1!151:151,"AAAAAFWu5wI=",0)</f>
        <v>AAAAAFWu5wI=</v>
      </c>
      <c r="D7" t="e">
        <f>AND(Feuil1!A151,"AAAAAFWu5wM=")</f>
        <v>#VALUE!</v>
      </c>
      <c r="E7" t="e">
        <f>AND(Feuil1!B151,"AAAAAFWu5wQ=")</f>
        <v>#VALUE!</v>
      </c>
      <c r="F7" t="e">
        <f>AND(Feuil1!C151,"AAAAAFWu5wU=")</f>
        <v>#VALUE!</v>
      </c>
      <c r="G7" t="e">
        <f>AND(Feuil1!D151,"AAAAAFWu5wY=")</f>
        <v>#VALUE!</v>
      </c>
      <c r="H7" t="e">
        <f>AND(Feuil1!E151,"AAAAAFWu5wc=")</f>
        <v>#VALUE!</v>
      </c>
      <c r="I7">
        <f>IF(Feuil1!152:152,"AAAAAFWu5wg=",0)</f>
        <v>0</v>
      </c>
      <c r="J7" t="e">
        <f>AND(Feuil1!A152,"AAAAAFWu5wk=")</f>
        <v>#VALUE!</v>
      </c>
      <c r="K7" t="e">
        <f>AND(Feuil1!B152,"AAAAAFWu5wo=")</f>
        <v>#VALUE!</v>
      </c>
      <c r="L7" t="e">
        <f>AND(Feuil1!C152,"AAAAAFWu5ws=")</f>
        <v>#VALUE!</v>
      </c>
      <c r="M7" t="e">
        <f>AND(Feuil1!D152,"AAAAAFWu5ww=")</f>
        <v>#VALUE!</v>
      </c>
      <c r="N7" t="e">
        <f>AND(Feuil1!E152,"AAAAAFWu5w0=")</f>
        <v>#VALUE!</v>
      </c>
      <c r="O7">
        <f>IF(Feuil1!153:153,"AAAAAFWu5w4=",0)</f>
        <v>0</v>
      </c>
      <c r="P7" t="e">
        <f>AND(Feuil1!A153,"AAAAAFWu5w8=")</f>
        <v>#VALUE!</v>
      </c>
      <c r="Q7" t="e">
        <f>AND(Feuil1!B153,"AAAAAFWu5xA=")</f>
        <v>#VALUE!</v>
      </c>
      <c r="R7" t="e">
        <f>AND(Feuil1!C153,"AAAAAFWu5xE=")</f>
        <v>#VALUE!</v>
      </c>
      <c r="S7" t="e">
        <f>AND(Feuil1!D153,"AAAAAFWu5xI=")</f>
        <v>#VALUE!</v>
      </c>
      <c r="T7" t="e">
        <f>AND(Feuil1!E153,"AAAAAFWu5xM=")</f>
        <v>#VALUE!</v>
      </c>
      <c r="U7">
        <f>IF(Feuil1!154:154,"AAAAAFWu5xQ=",0)</f>
        <v>0</v>
      </c>
      <c r="V7" t="e">
        <f>AND(Feuil1!A154,"AAAAAFWu5xU=")</f>
        <v>#VALUE!</v>
      </c>
      <c r="W7" t="e">
        <f>AND(Feuil1!B154,"AAAAAFWu5xY=")</f>
        <v>#VALUE!</v>
      </c>
      <c r="X7" t="e">
        <f>AND(Feuil1!C154,"AAAAAFWu5xc=")</f>
        <v>#VALUE!</v>
      </c>
      <c r="Y7" t="e">
        <f>AND(Feuil1!D154,"AAAAAFWu5xg=")</f>
        <v>#VALUE!</v>
      </c>
      <c r="Z7" t="e">
        <f>AND(Feuil1!E154,"AAAAAFWu5xk=")</f>
        <v>#VALUE!</v>
      </c>
      <c r="AA7">
        <f>IF(Feuil1!155:155,"AAAAAFWu5xo=",0)</f>
        <v>0</v>
      </c>
      <c r="AB7" t="e">
        <f>AND(Feuil1!A155,"AAAAAFWu5xs=")</f>
        <v>#VALUE!</v>
      </c>
      <c r="AC7" t="e">
        <f>AND(Feuil1!B155,"AAAAAFWu5xw=")</f>
        <v>#VALUE!</v>
      </c>
      <c r="AD7" t="e">
        <f>AND(Feuil1!C155,"AAAAAFWu5x0=")</f>
        <v>#VALUE!</v>
      </c>
      <c r="AE7" t="e">
        <f>AND(Feuil1!D155,"AAAAAFWu5x4=")</f>
        <v>#VALUE!</v>
      </c>
      <c r="AF7" t="e">
        <f>AND(Feuil1!E155,"AAAAAFWu5x8=")</f>
        <v>#VALUE!</v>
      </c>
      <c r="AG7">
        <f>IF(Feuil1!156:156,"AAAAAFWu5yA=",0)</f>
        <v>0</v>
      </c>
      <c r="AH7" t="e">
        <f>AND(Feuil1!A156,"AAAAAFWu5yE=")</f>
        <v>#VALUE!</v>
      </c>
      <c r="AI7" t="e">
        <f>AND(Feuil1!B156,"AAAAAFWu5yI=")</f>
        <v>#VALUE!</v>
      </c>
      <c r="AJ7" t="e">
        <f>AND(Feuil1!C156,"AAAAAFWu5yM=")</f>
        <v>#VALUE!</v>
      </c>
      <c r="AK7" t="e">
        <f>AND(Feuil1!D156,"AAAAAFWu5yQ=")</f>
        <v>#VALUE!</v>
      </c>
      <c r="AL7" t="e">
        <f>AND(Feuil1!E156,"AAAAAFWu5yU=")</f>
        <v>#VALUE!</v>
      </c>
      <c r="AM7">
        <f>IF(Feuil1!157:157,"AAAAAFWu5yY=",0)</f>
        <v>0</v>
      </c>
      <c r="AN7" t="e">
        <f>AND(Feuil1!A157,"AAAAAFWu5yc=")</f>
        <v>#VALUE!</v>
      </c>
      <c r="AO7" t="e">
        <f>AND(Feuil1!B157,"AAAAAFWu5yg=")</f>
        <v>#VALUE!</v>
      </c>
      <c r="AP7" t="e">
        <f>AND(Feuil1!C157,"AAAAAFWu5yk=")</f>
        <v>#VALUE!</v>
      </c>
      <c r="AQ7" t="e">
        <f>AND(Feuil1!D157,"AAAAAFWu5yo=")</f>
        <v>#VALUE!</v>
      </c>
      <c r="AR7" t="e">
        <f>AND(Feuil1!E157,"AAAAAFWu5ys=")</f>
        <v>#VALUE!</v>
      </c>
      <c r="AS7">
        <f>IF(Feuil1!158:158,"AAAAAFWu5yw=",0)</f>
        <v>0</v>
      </c>
      <c r="AT7" t="e">
        <f>AND(Feuil1!A158,"AAAAAFWu5y0=")</f>
        <v>#VALUE!</v>
      </c>
      <c r="AU7" t="e">
        <f>AND(Feuil1!B158,"AAAAAFWu5y4=")</f>
        <v>#VALUE!</v>
      </c>
      <c r="AV7" t="e">
        <f>AND(Feuil1!C158,"AAAAAFWu5y8=")</f>
        <v>#VALUE!</v>
      </c>
      <c r="AW7" t="e">
        <f>AND(Feuil1!D158,"AAAAAFWu5zA=")</f>
        <v>#VALUE!</v>
      </c>
      <c r="AX7" t="e">
        <f>AND(Feuil1!E158,"AAAAAFWu5zE=")</f>
        <v>#VALUE!</v>
      </c>
      <c r="AY7">
        <f>IF(Feuil1!159:159,"AAAAAFWu5zI=",0)</f>
        <v>0</v>
      </c>
      <c r="AZ7" t="e">
        <f>AND(Feuil1!A159,"AAAAAFWu5zM=")</f>
        <v>#VALUE!</v>
      </c>
      <c r="BA7" t="e">
        <f>AND(Feuil1!B159,"AAAAAFWu5zQ=")</f>
        <v>#VALUE!</v>
      </c>
      <c r="BB7" t="e">
        <f>AND(Feuil1!C159,"AAAAAFWu5zU=")</f>
        <v>#VALUE!</v>
      </c>
      <c r="BC7" t="e">
        <f>AND(Feuil1!D159,"AAAAAFWu5zY=")</f>
        <v>#VALUE!</v>
      </c>
      <c r="BD7" t="e">
        <f>AND(Feuil1!E159,"AAAAAFWu5zc=")</f>
        <v>#VALUE!</v>
      </c>
      <c r="BE7">
        <f>IF(Feuil1!160:160,"AAAAAFWu5zg=",0)</f>
        <v>0</v>
      </c>
      <c r="BF7" t="e">
        <f>AND(Feuil1!A160,"AAAAAFWu5zk=")</f>
        <v>#VALUE!</v>
      </c>
      <c r="BG7" t="e">
        <f>AND(Feuil1!B160,"AAAAAFWu5zo=")</f>
        <v>#VALUE!</v>
      </c>
      <c r="BH7" t="e">
        <f>AND(Feuil1!C160,"AAAAAFWu5zs=")</f>
        <v>#VALUE!</v>
      </c>
      <c r="BI7" t="e">
        <f>AND(Feuil1!D160,"AAAAAFWu5zw=")</f>
        <v>#VALUE!</v>
      </c>
      <c r="BJ7" t="e">
        <f>AND(Feuil1!E160,"AAAAAFWu5z0=")</f>
        <v>#VALUE!</v>
      </c>
      <c r="BK7">
        <f>IF(Feuil1!161:161,"AAAAAFWu5z4=",0)</f>
        <v>0</v>
      </c>
      <c r="BL7" t="e">
        <f>AND(Feuil1!A161,"AAAAAFWu5z8=")</f>
        <v>#VALUE!</v>
      </c>
      <c r="BM7" t="e">
        <f>AND(Feuil1!B161,"AAAAAFWu50A=")</f>
        <v>#VALUE!</v>
      </c>
      <c r="BN7" t="e">
        <f>AND(Feuil1!C161,"AAAAAFWu50E=")</f>
        <v>#VALUE!</v>
      </c>
      <c r="BO7" t="e">
        <f>AND(Feuil1!D161,"AAAAAFWu50I=")</f>
        <v>#VALUE!</v>
      </c>
      <c r="BP7" t="e">
        <f>AND(Feuil1!E161,"AAAAAFWu50M=")</f>
        <v>#VALUE!</v>
      </c>
      <c r="BQ7">
        <f>IF(Feuil1!162:162,"AAAAAFWu50Q=",0)</f>
        <v>0</v>
      </c>
      <c r="BR7" t="e">
        <f>AND(Feuil1!A162,"AAAAAFWu50U=")</f>
        <v>#VALUE!</v>
      </c>
      <c r="BS7" t="e">
        <f>AND(Feuil1!B162,"AAAAAFWu50Y=")</f>
        <v>#VALUE!</v>
      </c>
      <c r="BT7" t="e">
        <f>AND(Feuil1!C162,"AAAAAFWu50c=")</f>
        <v>#VALUE!</v>
      </c>
      <c r="BU7" t="e">
        <f>AND(Feuil1!D162,"AAAAAFWu50g=")</f>
        <v>#VALUE!</v>
      </c>
      <c r="BV7" t="e">
        <f>AND(Feuil1!E162,"AAAAAFWu50k=")</f>
        <v>#VALUE!</v>
      </c>
      <c r="BW7">
        <f>IF(Feuil1!163:163,"AAAAAFWu50o=",0)</f>
        <v>0</v>
      </c>
      <c r="BX7" t="e">
        <f>AND(Feuil1!A163,"AAAAAFWu50s=")</f>
        <v>#VALUE!</v>
      </c>
      <c r="BY7" t="e">
        <f>AND(Feuil1!B163,"AAAAAFWu50w=")</f>
        <v>#VALUE!</v>
      </c>
      <c r="BZ7" t="e">
        <f>AND(Feuil1!C163,"AAAAAFWu500=")</f>
        <v>#VALUE!</v>
      </c>
      <c r="CA7" t="e">
        <f>AND(Feuil1!D163,"AAAAAFWu504=")</f>
        <v>#VALUE!</v>
      </c>
      <c r="CB7" t="e">
        <f>AND(Feuil1!E163,"AAAAAFWu508=")</f>
        <v>#VALUE!</v>
      </c>
      <c r="CC7">
        <f>IF(Feuil1!164:164,"AAAAAFWu51A=",0)</f>
        <v>0</v>
      </c>
      <c r="CD7" t="e">
        <f>AND(Feuil1!A164,"AAAAAFWu51E=")</f>
        <v>#VALUE!</v>
      </c>
      <c r="CE7" t="e">
        <f>AND(Feuil1!B164,"AAAAAFWu51I=")</f>
        <v>#VALUE!</v>
      </c>
      <c r="CF7" t="e">
        <f>AND(Feuil1!C164,"AAAAAFWu51M=")</f>
        <v>#VALUE!</v>
      </c>
      <c r="CG7" t="e">
        <f>AND(Feuil1!D164,"AAAAAFWu51Q=")</f>
        <v>#VALUE!</v>
      </c>
      <c r="CH7" t="e">
        <f>AND(Feuil1!E164,"AAAAAFWu51U=")</f>
        <v>#VALUE!</v>
      </c>
      <c r="CI7">
        <f>IF(Feuil1!165:165,"AAAAAFWu51Y=",0)</f>
        <v>0</v>
      </c>
      <c r="CJ7" t="e">
        <f>AND(Feuil1!A165,"AAAAAFWu51c=")</f>
        <v>#VALUE!</v>
      </c>
      <c r="CK7" t="e">
        <f>AND(Feuil1!B165,"AAAAAFWu51g=")</f>
        <v>#VALUE!</v>
      </c>
      <c r="CL7" t="e">
        <f>AND(Feuil1!C165,"AAAAAFWu51k=")</f>
        <v>#VALUE!</v>
      </c>
      <c r="CM7" t="e">
        <f>AND(Feuil1!D165,"AAAAAFWu51o=")</f>
        <v>#VALUE!</v>
      </c>
      <c r="CN7" t="e">
        <f>AND(Feuil1!E165,"AAAAAFWu51s=")</f>
        <v>#VALUE!</v>
      </c>
      <c r="CO7">
        <f>IF(Feuil1!166:166,"AAAAAFWu51w=",0)</f>
        <v>0</v>
      </c>
      <c r="CP7" t="e">
        <f>AND(Feuil1!A166,"AAAAAFWu510=")</f>
        <v>#VALUE!</v>
      </c>
      <c r="CQ7" t="e">
        <f>AND(Feuil1!B166,"AAAAAFWu514=")</f>
        <v>#VALUE!</v>
      </c>
      <c r="CR7" t="e">
        <f>AND(Feuil1!C166,"AAAAAFWu518=")</f>
        <v>#VALUE!</v>
      </c>
      <c r="CS7" t="e">
        <f>AND(Feuil1!D166,"AAAAAFWu52A=")</f>
        <v>#VALUE!</v>
      </c>
      <c r="CT7" t="e">
        <f>AND(Feuil1!E166,"AAAAAFWu52E=")</f>
        <v>#VALUE!</v>
      </c>
      <c r="CU7">
        <f>IF(Feuil1!167:167,"AAAAAFWu52I=",0)</f>
        <v>0</v>
      </c>
      <c r="CV7" t="e">
        <f>AND(Feuil1!A167,"AAAAAFWu52M=")</f>
        <v>#VALUE!</v>
      </c>
      <c r="CW7" t="e">
        <f>AND(Feuil1!B167,"AAAAAFWu52Q=")</f>
        <v>#VALUE!</v>
      </c>
      <c r="CX7" t="e">
        <f>AND(Feuil1!C167,"AAAAAFWu52U=")</f>
        <v>#VALUE!</v>
      </c>
      <c r="CY7" t="e">
        <f>AND(Feuil1!D167,"AAAAAFWu52Y=")</f>
        <v>#VALUE!</v>
      </c>
      <c r="CZ7" t="e">
        <f>AND(Feuil1!E167,"AAAAAFWu52c=")</f>
        <v>#VALUE!</v>
      </c>
      <c r="DA7">
        <f>IF(Feuil1!168:168,"AAAAAFWu52g=",0)</f>
        <v>0</v>
      </c>
      <c r="DB7" t="e">
        <f>AND(Feuil1!A168,"AAAAAFWu52k=")</f>
        <v>#VALUE!</v>
      </c>
      <c r="DC7" t="e">
        <f>AND(Feuil1!B168,"AAAAAFWu52o=")</f>
        <v>#VALUE!</v>
      </c>
      <c r="DD7" t="e">
        <f>AND(Feuil1!C168,"AAAAAFWu52s=")</f>
        <v>#VALUE!</v>
      </c>
      <c r="DE7" t="e">
        <f>AND(Feuil1!D168,"AAAAAFWu52w=")</f>
        <v>#VALUE!</v>
      </c>
      <c r="DF7" t="e">
        <f>AND(Feuil1!E168,"AAAAAFWu520=")</f>
        <v>#VALUE!</v>
      </c>
      <c r="DG7">
        <f>IF(Feuil1!169:169,"AAAAAFWu524=",0)</f>
        <v>0</v>
      </c>
      <c r="DH7" t="e">
        <f>AND(Feuil1!A169,"AAAAAFWu528=")</f>
        <v>#VALUE!</v>
      </c>
      <c r="DI7" t="e">
        <f>AND(Feuil1!B169,"AAAAAFWu53A=")</f>
        <v>#VALUE!</v>
      </c>
      <c r="DJ7" t="e">
        <f>AND(Feuil1!C169,"AAAAAFWu53E=")</f>
        <v>#VALUE!</v>
      </c>
      <c r="DK7" t="e">
        <f>AND(Feuil1!D169,"AAAAAFWu53I=")</f>
        <v>#VALUE!</v>
      </c>
      <c r="DL7" t="e">
        <f>AND(Feuil1!E169,"AAAAAFWu53M=")</f>
        <v>#VALUE!</v>
      </c>
      <c r="DM7">
        <f>IF(Feuil1!170:170,"AAAAAFWu53Q=",0)</f>
        <v>0</v>
      </c>
      <c r="DN7" t="e">
        <f>AND(Feuil1!A170,"AAAAAFWu53U=")</f>
        <v>#VALUE!</v>
      </c>
      <c r="DO7" t="e">
        <f>AND(Feuil1!B170,"AAAAAFWu53Y=")</f>
        <v>#VALUE!</v>
      </c>
      <c r="DP7" t="e">
        <f>AND(Feuil1!C170,"AAAAAFWu53c=")</f>
        <v>#VALUE!</v>
      </c>
      <c r="DQ7" t="e">
        <f>AND(Feuil1!D170,"AAAAAFWu53g=")</f>
        <v>#VALUE!</v>
      </c>
      <c r="DR7" t="e">
        <f>AND(Feuil1!E170,"AAAAAFWu53k=")</f>
        <v>#VALUE!</v>
      </c>
      <c r="DS7">
        <f>IF(Feuil1!171:171,"AAAAAFWu53o=",0)</f>
        <v>0</v>
      </c>
      <c r="DT7" t="e">
        <f>AND(Feuil1!A171,"AAAAAFWu53s=")</f>
        <v>#VALUE!</v>
      </c>
      <c r="DU7" t="e">
        <f>AND(Feuil1!B171,"AAAAAFWu53w=")</f>
        <v>#VALUE!</v>
      </c>
      <c r="DV7" t="e">
        <f>AND(Feuil1!C171,"AAAAAFWu530=")</f>
        <v>#VALUE!</v>
      </c>
      <c r="DW7" t="e">
        <f>AND(Feuil1!D171,"AAAAAFWu534=")</f>
        <v>#VALUE!</v>
      </c>
      <c r="DX7" t="e">
        <f>AND(Feuil1!E171,"AAAAAFWu538=")</f>
        <v>#VALUE!</v>
      </c>
      <c r="DY7">
        <f>IF(Feuil1!172:172,"AAAAAFWu54A=",0)</f>
        <v>0</v>
      </c>
      <c r="DZ7" t="e">
        <f>AND(Feuil1!A172,"AAAAAFWu54E=")</f>
        <v>#VALUE!</v>
      </c>
      <c r="EA7" t="e">
        <f>AND(Feuil1!B172,"AAAAAFWu54I=")</f>
        <v>#VALUE!</v>
      </c>
      <c r="EB7" t="e">
        <f>AND(Feuil1!C172,"AAAAAFWu54M=")</f>
        <v>#VALUE!</v>
      </c>
      <c r="EC7" t="e">
        <f>AND(Feuil1!D172,"AAAAAFWu54Q=")</f>
        <v>#VALUE!</v>
      </c>
      <c r="ED7" t="e">
        <f>AND(Feuil1!E172,"AAAAAFWu54U=")</f>
        <v>#VALUE!</v>
      </c>
      <c r="EE7">
        <f>IF(Feuil1!173:173,"AAAAAFWu54Y=",0)</f>
        <v>0</v>
      </c>
      <c r="EF7" t="e">
        <f>AND(Feuil1!A173,"AAAAAFWu54c=")</f>
        <v>#VALUE!</v>
      </c>
      <c r="EG7" t="e">
        <f>AND(Feuil1!B173,"AAAAAFWu54g=")</f>
        <v>#VALUE!</v>
      </c>
      <c r="EH7" t="e">
        <f>AND(Feuil1!C173,"AAAAAFWu54k=")</f>
        <v>#VALUE!</v>
      </c>
      <c r="EI7" t="e">
        <f>AND(Feuil1!D173,"AAAAAFWu54o=")</f>
        <v>#VALUE!</v>
      </c>
      <c r="EJ7" t="e">
        <f>AND(Feuil1!E173,"AAAAAFWu54s=")</f>
        <v>#VALUE!</v>
      </c>
      <c r="EK7">
        <f>IF(Feuil1!174:174,"AAAAAFWu54w=",0)</f>
        <v>0</v>
      </c>
      <c r="EL7" t="e">
        <f>AND(Feuil1!A174,"AAAAAFWu540=")</f>
        <v>#VALUE!</v>
      </c>
      <c r="EM7" t="e">
        <f>AND(Feuil1!B174,"AAAAAFWu544=")</f>
        <v>#VALUE!</v>
      </c>
      <c r="EN7" t="e">
        <f>AND(Feuil1!C174,"AAAAAFWu548=")</f>
        <v>#VALUE!</v>
      </c>
      <c r="EO7" t="e">
        <f>AND(Feuil1!D174,"AAAAAFWu55A=")</f>
        <v>#VALUE!</v>
      </c>
      <c r="EP7" t="e">
        <f>AND(Feuil1!E174,"AAAAAFWu55E=")</f>
        <v>#VALUE!</v>
      </c>
      <c r="EQ7">
        <f>IF(Feuil1!175:175,"AAAAAFWu55I=",0)</f>
        <v>0</v>
      </c>
      <c r="ER7" t="e">
        <f>AND(Feuil1!A175,"AAAAAFWu55M=")</f>
        <v>#VALUE!</v>
      </c>
      <c r="ES7" t="e">
        <f>AND(Feuil1!B175,"AAAAAFWu55Q=")</f>
        <v>#VALUE!</v>
      </c>
      <c r="ET7" t="e">
        <f>AND(Feuil1!C175,"AAAAAFWu55U=")</f>
        <v>#VALUE!</v>
      </c>
      <c r="EU7" t="e">
        <f>AND(Feuil1!D175,"AAAAAFWu55Y=")</f>
        <v>#VALUE!</v>
      </c>
      <c r="EV7" t="e">
        <f>AND(Feuil1!E175,"AAAAAFWu55c=")</f>
        <v>#VALUE!</v>
      </c>
      <c r="EW7">
        <f>IF(Feuil1!176:176,"AAAAAFWu55g=",0)</f>
        <v>0</v>
      </c>
      <c r="EX7" t="e">
        <f>AND(Feuil1!A176,"AAAAAFWu55k=")</f>
        <v>#VALUE!</v>
      </c>
      <c r="EY7" t="e">
        <f>AND(Feuil1!B176,"AAAAAFWu55o=")</f>
        <v>#VALUE!</v>
      </c>
      <c r="EZ7" t="e">
        <f>AND(Feuil1!C176,"AAAAAFWu55s=")</f>
        <v>#VALUE!</v>
      </c>
      <c r="FA7" t="e">
        <f>AND(Feuil1!D176,"AAAAAFWu55w=")</f>
        <v>#VALUE!</v>
      </c>
      <c r="FB7" t="e">
        <f>AND(Feuil1!E176,"AAAAAFWu550=")</f>
        <v>#VALUE!</v>
      </c>
      <c r="FC7">
        <f>IF(Feuil1!177:177,"AAAAAFWu554=",0)</f>
        <v>0</v>
      </c>
      <c r="FD7" t="e">
        <f>AND(Feuil1!A177,"AAAAAFWu558=")</f>
        <v>#VALUE!</v>
      </c>
      <c r="FE7" t="e">
        <f>AND(Feuil1!B177,"AAAAAFWu56A=")</f>
        <v>#VALUE!</v>
      </c>
      <c r="FF7" t="e">
        <f>AND(Feuil1!C177,"AAAAAFWu56E=")</f>
        <v>#VALUE!</v>
      </c>
      <c r="FG7" t="e">
        <f>AND(Feuil1!D177,"AAAAAFWu56I=")</f>
        <v>#VALUE!</v>
      </c>
      <c r="FH7" t="e">
        <f>AND(Feuil1!E177,"AAAAAFWu56M=")</f>
        <v>#VALUE!</v>
      </c>
      <c r="FI7">
        <f>IF(Feuil1!178:178,"AAAAAFWu56Q=",0)</f>
        <v>0</v>
      </c>
      <c r="FJ7" t="e">
        <f>AND(Feuil1!A178,"AAAAAFWu56U=")</f>
        <v>#VALUE!</v>
      </c>
      <c r="FK7" t="e">
        <f>AND(Feuil1!B178,"AAAAAFWu56Y=")</f>
        <v>#VALUE!</v>
      </c>
      <c r="FL7" t="e">
        <f>AND(Feuil1!C178,"AAAAAFWu56c=")</f>
        <v>#VALUE!</v>
      </c>
      <c r="FM7" t="e">
        <f>AND(Feuil1!D178,"AAAAAFWu56g=")</f>
        <v>#VALUE!</v>
      </c>
      <c r="FN7" t="e">
        <f>AND(Feuil1!E178,"AAAAAFWu56k=")</f>
        <v>#VALUE!</v>
      </c>
      <c r="FO7">
        <f>IF(Feuil1!179:179,"AAAAAFWu56o=",0)</f>
        <v>0</v>
      </c>
      <c r="FP7" t="e">
        <f>AND(Feuil1!A179,"AAAAAFWu56s=")</f>
        <v>#VALUE!</v>
      </c>
      <c r="FQ7" t="e">
        <f>AND(Feuil1!B179,"AAAAAFWu56w=")</f>
        <v>#VALUE!</v>
      </c>
      <c r="FR7" t="e">
        <f>AND(Feuil1!C179,"AAAAAFWu560=")</f>
        <v>#VALUE!</v>
      </c>
      <c r="FS7" t="e">
        <f>AND(Feuil1!D179,"AAAAAFWu564=")</f>
        <v>#VALUE!</v>
      </c>
      <c r="FT7" t="e">
        <f>AND(Feuil1!E179,"AAAAAFWu568=")</f>
        <v>#VALUE!</v>
      </c>
      <c r="FU7">
        <f>IF(Feuil1!180:180,"AAAAAFWu57A=",0)</f>
        <v>0</v>
      </c>
      <c r="FV7" t="e">
        <f>AND(Feuil1!A180,"AAAAAFWu57E=")</f>
        <v>#VALUE!</v>
      </c>
      <c r="FW7" t="e">
        <f>AND(Feuil1!B180,"AAAAAFWu57I=")</f>
        <v>#VALUE!</v>
      </c>
      <c r="FX7" t="e">
        <f>AND(Feuil1!C180,"AAAAAFWu57M=")</f>
        <v>#VALUE!</v>
      </c>
      <c r="FY7" t="e">
        <f>AND(Feuil1!D180,"AAAAAFWu57Q=")</f>
        <v>#VALUE!</v>
      </c>
      <c r="FZ7" t="e">
        <f>AND(Feuil1!E180,"AAAAAFWu57U=")</f>
        <v>#VALUE!</v>
      </c>
      <c r="GA7">
        <f>IF(Feuil1!181:181,"AAAAAFWu57Y=",0)</f>
        <v>0</v>
      </c>
      <c r="GB7" t="e">
        <f>AND(Feuil1!A181,"AAAAAFWu57c=")</f>
        <v>#VALUE!</v>
      </c>
      <c r="GC7" t="e">
        <f>AND(Feuil1!B181,"AAAAAFWu57g=")</f>
        <v>#VALUE!</v>
      </c>
      <c r="GD7" t="e">
        <f>AND(Feuil1!C181,"AAAAAFWu57k=")</f>
        <v>#VALUE!</v>
      </c>
      <c r="GE7" t="e">
        <f>AND(Feuil1!D181,"AAAAAFWu57o=")</f>
        <v>#VALUE!</v>
      </c>
      <c r="GF7" t="e">
        <f>AND(Feuil1!E181,"AAAAAFWu57s=")</f>
        <v>#VALUE!</v>
      </c>
      <c r="GG7">
        <f>IF(Feuil1!182:182,"AAAAAFWu57w=",0)</f>
        <v>0</v>
      </c>
      <c r="GH7" t="e">
        <f>AND(Feuil1!A182,"AAAAAFWu570=")</f>
        <v>#VALUE!</v>
      </c>
      <c r="GI7" t="e">
        <f>AND(Feuil1!B182,"AAAAAFWu574=")</f>
        <v>#VALUE!</v>
      </c>
      <c r="GJ7" t="e">
        <f>AND(Feuil1!C182,"AAAAAFWu578=")</f>
        <v>#VALUE!</v>
      </c>
      <c r="GK7" t="e">
        <f>AND(Feuil1!D182,"AAAAAFWu58A=")</f>
        <v>#VALUE!</v>
      </c>
      <c r="GL7" t="e">
        <f>AND(Feuil1!E182,"AAAAAFWu58E=")</f>
        <v>#VALUE!</v>
      </c>
      <c r="GM7">
        <f>IF(Feuil1!183:183,"AAAAAFWu58I=",0)</f>
        <v>0</v>
      </c>
      <c r="GN7" t="e">
        <f>AND(Feuil1!A183,"AAAAAFWu58M=")</f>
        <v>#VALUE!</v>
      </c>
      <c r="GO7" t="e">
        <f>AND(Feuil1!B183,"AAAAAFWu58Q=")</f>
        <v>#VALUE!</v>
      </c>
      <c r="GP7" t="e">
        <f>AND(Feuil1!C183,"AAAAAFWu58U=")</f>
        <v>#VALUE!</v>
      </c>
      <c r="GQ7" t="e">
        <f>AND(Feuil1!D183,"AAAAAFWu58Y=")</f>
        <v>#VALUE!</v>
      </c>
      <c r="GR7" t="e">
        <f>AND(Feuil1!E183,"AAAAAFWu58c=")</f>
        <v>#VALUE!</v>
      </c>
      <c r="GS7">
        <f>IF(Feuil1!184:184,"AAAAAFWu58g=",0)</f>
        <v>0</v>
      </c>
      <c r="GT7" t="e">
        <f>AND(Feuil1!A184,"AAAAAFWu58k=")</f>
        <v>#VALUE!</v>
      </c>
      <c r="GU7" t="e">
        <f>AND(Feuil1!B184,"AAAAAFWu58o=")</f>
        <v>#VALUE!</v>
      </c>
      <c r="GV7" t="e">
        <f>AND(Feuil1!C184,"AAAAAFWu58s=")</f>
        <v>#VALUE!</v>
      </c>
      <c r="GW7" t="e">
        <f>AND(Feuil1!D184,"AAAAAFWu58w=")</f>
        <v>#VALUE!</v>
      </c>
      <c r="GX7" t="e">
        <f>AND(Feuil1!E184,"AAAAAFWu580=")</f>
        <v>#VALUE!</v>
      </c>
      <c r="GY7">
        <f>IF(Feuil1!185:185,"AAAAAFWu584=",0)</f>
        <v>0</v>
      </c>
      <c r="GZ7" t="e">
        <f>AND(Feuil1!A185,"AAAAAFWu588=")</f>
        <v>#VALUE!</v>
      </c>
      <c r="HA7" t="e">
        <f>AND(Feuil1!B185,"AAAAAFWu59A=")</f>
        <v>#VALUE!</v>
      </c>
      <c r="HB7" t="e">
        <f>AND(Feuil1!C185,"AAAAAFWu59E=")</f>
        <v>#VALUE!</v>
      </c>
      <c r="HC7" t="e">
        <f>AND(Feuil1!D185,"AAAAAFWu59I=")</f>
        <v>#VALUE!</v>
      </c>
      <c r="HD7" t="e">
        <f>AND(Feuil1!E185,"AAAAAFWu59M=")</f>
        <v>#VALUE!</v>
      </c>
      <c r="HE7">
        <f>IF(Feuil1!186:186,"AAAAAFWu59Q=",0)</f>
        <v>0</v>
      </c>
      <c r="HF7" t="e">
        <f>AND(Feuil1!A186,"AAAAAFWu59U=")</f>
        <v>#VALUE!</v>
      </c>
      <c r="HG7" t="e">
        <f>AND(Feuil1!B186,"AAAAAFWu59Y=")</f>
        <v>#VALUE!</v>
      </c>
      <c r="HH7" t="e">
        <f>AND(Feuil1!C186,"AAAAAFWu59c=")</f>
        <v>#VALUE!</v>
      </c>
      <c r="HI7" t="e">
        <f>AND(Feuil1!D186,"AAAAAFWu59g=")</f>
        <v>#VALUE!</v>
      </c>
      <c r="HJ7" t="e">
        <f>AND(Feuil1!E186,"AAAAAFWu59k=")</f>
        <v>#VALUE!</v>
      </c>
      <c r="HK7">
        <f>IF(Feuil1!187:187,"AAAAAFWu59o=",0)</f>
        <v>0</v>
      </c>
      <c r="HL7" t="e">
        <f>AND(Feuil1!A187,"AAAAAFWu59s=")</f>
        <v>#VALUE!</v>
      </c>
      <c r="HM7" t="e">
        <f>AND(Feuil1!B187,"AAAAAFWu59w=")</f>
        <v>#VALUE!</v>
      </c>
      <c r="HN7" t="e">
        <f>AND(Feuil1!C187,"AAAAAFWu590=")</f>
        <v>#VALUE!</v>
      </c>
      <c r="HO7" t="e">
        <f>AND(Feuil1!D187,"AAAAAFWu594=")</f>
        <v>#VALUE!</v>
      </c>
      <c r="HP7" t="e">
        <f>AND(Feuil1!E187,"AAAAAFWu598=")</f>
        <v>#VALUE!</v>
      </c>
      <c r="HQ7">
        <f>IF(Feuil1!188:188,"AAAAAFWu5+A=",0)</f>
        <v>0</v>
      </c>
      <c r="HR7" t="e">
        <f>AND(Feuil1!A188,"AAAAAFWu5+E=")</f>
        <v>#VALUE!</v>
      </c>
      <c r="HS7" t="e">
        <f>AND(Feuil1!B188,"AAAAAFWu5+I=")</f>
        <v>#VALUE!</v>
      </c>
      <c r="HT7" t="e">
        <f>AND(Feuil1!C188,"AAAAAFWu5+M=")</f>
        <v>#VALUE!</v>
      </c>
      <c r="HU7" t="e">
        <f>AND(Feuil1!D188,"AAAAAFWu5+Q=")</f>
        <v>#VALUE!</v>
      </c>
      <c r="HV7" t="e">
        <f>AND(Feuil1!E188,"AAAAAFWu5+U=")</f>
        <v>#VALUE!</v>
      </c>
      <c r="HW7">
        <f>IF(Feuil1!189:189,"AAAAAFWu5+Y=",0)</f>
        <v>0</v>
      </c>
      <c r="HX7" t="e">
        <f>AND(Feuil1!A189,"AAAAAFWu5+c=")</f>
        <v>#VALUE!</v>
      </c>
      <c r="HY7" t="e">
        <f>AND(Feuil1!B189,"AAAAAFWu5+g=")</f>
        <v>#VALUE!</v>
      </c>
      <c r="HZ7" t="e">
        <f>AND(Feuil1!C189,"AAAAAFWu5+k=")</f>
        <v>#VALUE!</v>
      </c>
      <c r="IA7" t="e">
        <f>AND(Feuil1!D189,"AAAAAFWu5+o=")</f>
        <v>#VALUE!</v>
      </c>
      <c r="IB7" t="e">
        <f>AND(Feuil1!E189,"AAAAAFWu5+s=")</f>
        <v>#VALUE!</v>
      </c>
      <c r="IC7">
        <f>IF(Feuil1!190:190,"AAAAAFWu5+w=",0)</f>
        <v>0</v>
      </c>
      <c r="ID7" t="e">
        <f>AND(Feuil1!A190,"AAAAAFWu5+0=")</f>
        <v>#VALUE!</v>
      </c>
      <c r="IE7" t="e">
        <f>AND(Feuil1!B190,"AAAAAFWu5+4=")</f>
        <v>#VALUE!</v>
      </c>
      <c r="IF7" t="e">
        <f>AND(Feuil1!C190,"AAAAAFWu5+8=")</f>
        <v>#VALUE!</v>
      </c>
      <c r="IG7" t="e">
        <f>AND(Feuil1!D190,"AAAAAFWu5/A=")</f>
        <v>#VALUE!</v>
      </c>
      <c r="IH7" t="e">
        <f>AND(Feuil1!E190,"AAAAAFWu5/E=")</f>
        <v>#VALUE!</v>
      </c>
      <c r="II7">
        <f>IF(Feuil1!191:191,"AAAAAFWu5/I=",0)</f>
        <v>0</v>
      </c>
      <c r="IJ7" t="e">
        <f>AND(Feuil1!A191,"AAAAAFWu5/M=")</f>
        <v>#VALUE!</v>
      </c>
      <c r="IK7" t="e">
        <f>AND(Feuil1!B191,"AAAAAFWu5/Q=")</f>
        <v>#VALUE!</v>
      </c>
      <c r="IL7" t="e">
        <f>AND(Feuil1!C191,"AAAAAFWu5/U=")</f>
        <v>#VALUE!</v>
      </c>
      <c r="IM7" t="e">
        <f>AND(Feuil1!D191,"AAAAAFWu5/Y=")</f>
        <v>#VALUE!</v>
      </c>
      <c r="IN7" t="e">
        <f>AND(Feuil1!E191,"AAAAAFWu5/c=")</f>
        <v>#VALUE!</v>
      </c>
      <c r="IO7">
        <f>IF(Feuil1!192:192,"AAAAAFWu5/g=",0)</f>
        <v>0</v>
      </c>
      <c r="IP7" t="e">
        <f>AND(Feuil1!A192,"AAAAAFWu5/k=")</f>
        <v>#VALUE!</v>
      </c>
      <c r="IQ7" t="e">
        <f>AND(Feuil1!B192,"AAAAAFWu5/o=")</f>
        <v>#VALUE!</v>
      </c>
      <c r="IR7" t="e">
        <f>AND(Feuil1!C192,"AAAAAFWu5/s=")</f>
        <v>#VALUE!</v>
      </c>
      <c r="IS7" t="e">
        <f>AND(Feuil1!D192,"AAAAAFWu5/w=")</f>
        <v>#VALUE!</v>
      </c>
      <c r="IT7" t="e">
        <f>AND(Feuil1!E192,"AAAAAFWu5/0=")</f>
        <v>#VALUE!</v>
      </c>
      <c r="IU7">
        <f>IF(Feuil1!193:193,"AAAAAFWu5/4=",0)</f>
        <v>0</v>
      </c>
      <c r="IV7" t="e">
        <f>AND(Feuil1!A193,"AAAAAFWu5/8=")</f>
        <v>#VALUE!</v>
      </c>
    </row>
    <row r="8" spans="1:256" x14ac:dyDescent="0.25">
      <c r="A8" t="e">
        <f>AND(Feuil1!B193,"AAAAAF/+6wA=")</f>
        <v>#VALUE!</v>
      </c>
      <c r="B8" t="e">
        <f>AND(Feuil1!C193,"AAAAAF/+6wE=")</f>
        <v>#VALUE!</v>
      </c>
      <c r="C8" t="e">
        <f>AND(Feuil1!D193,"AAAAAF/+6wI=")</f>
        <v>#VALUE!</v>
      </c>
      <c r="D8" t="e">
        <f>AND(Feuil1!E193,"AAAAAF/+6wM=")</f>
        <v>#VALUE!</v>
      </c>
      <c r="E8" t="e">
        <f>IF(Feuil1!194:194,"AAAAAF/+6wQ=",0)</f>
        <v>#VALUE!</v>
      </c>
      <c r="F8" t="e">
        <f>AND(Feuil1!A194,"AAAAAF/+6wU=")</f>
        <v>#VALUE!</v>
      </c>
      <c r="G8" t="e">
        <f>AND(Feuil1!B194,"AAAAAF/+6wY=")</f>
        <v>#VALUE!</v>
      </c>
      <c r="H8" t="e">
        <f>AND(Feuil1!C194,"AAAAAF/+6wc=")</f>
        <v>#VALUE!</v>
      </c>
      <c r="I8" t="e">
        <f>AND(Feuil1!D194,"AAAAAF/+6wg=")</f>
        <v>#VALUE!</v>
      </c>
      <c r="J8" t="e">
        <f>AND(Feuil1!E194,"AAAAAF/+6wk=")</f>
        <v>#VALUE!</v>
      </c>
      <c r="K8">
        <f>IF(Feuil1!195:195,"AAAAAF/+6wo=",0)</f>
        <v>0</v>
      </c>
      <c r="L8" t="e">
        <f>AND(Feuil1!A195,"AAAAAF/+6ws=")</f>
        <v>#VALUE!</v>
      </c>
      <c r="M8" t="e">
        <f>AND(Feuil1!B195,"AAAAAF/+6ww=")</f>
        <v>#VALUE!</v>
      </c>
      <c r="N8" t="e">
        <f>AND(Feuil1!C195,"AAAAAF/+6w0=")</f>
        <v>#VALUE!</v>
      </c>
      <c r="O8" t="e">
        <f>AND(Feuil1!D195,"AAAAAF/+6w4=")</f>
        <v>#VALUE!</v>
      </c>
      <c r="P8" t="e">
        <f>AND(Feuil1!E195,"AAAAAF/+6w8=")</f>
        <v>#VALUE!</v>
      </c>
      <c r="Q8">
        <f>IF(Feuil1!196:196,"AAAAAF/+6xA=",0)</f>
        <v>0</v>
      </c>
      <c r="R8" t="e">
        <f>AND(Feuil1!A196,"AAAAAF/+6xE=")</f>
        <v>#VALUE!</v>
      </c>
      <c r="S8" t="e">
        <f>AND(Feuil1!B196,"AAAAAF/+6xI=")</f>
        <v>#VALUE!</v>
      </c>
      <c r="T8" t="e">
        <f>AND(Feuil1!C196,"AAAAAF/+6xM=")</f>
        <v>#VALUE!</v>
      </c>
      <c r="U8" t="e">
        <f>AND(Feuil1!D196,"AAAAAF/+6xQ=")</f>
        <v>#VALUE!</v>
      </c>
      <c r="V8" t="e">
        <f>AND(Feuil1!E196,"AAAAAF/+6xU=")</f>
        <v>#VALUE!</v>
      </c>
      <c r="W8">
        <f>IF(Feuil1!197:197,"AAAAAF/+6xY=",0)</f>
        <v>0</v>
      </c>
      <c r="X8" t="e">
        <f>AND(Feuil1!A197,"AAAAAF/+6xc=")</f>
        <v>#VALUE!</v>
      </c>
      <c r="Y8" t="e">
        <f>AND(Feuil1!B197,"AAAAAF/+6xg=")</f>
        <v>#VALUE!</v>
      </c>
      <c r="Z8" t="e">
        <f>AND(Feuil1!C197,"AAAAAF/+6xk=")</f>
        <v>#VALUE!</v>
      </c>
      <c r="AA8" t="e">
        <f>AND(Feuil1!D197,"AAAAAF/+6xo=")</f>
        <v>#VALUE!</v>
      </c>
      <c r="AB8" t="e">
        <f>AND(Feuil1!E197,"AAAAAF/+6xs=")</f>
        <v>#VALUE!</v>
      </c>
      <c r="AC8">
        <f>IF(Feuil1!198:198,"AAAAAF/+6xw=",0)</f>
        <v>0</v>
      </c>
      <c r="AD8" t="e">
        <f>AND(Feuil1!A198,"AAAAAF/+6x0=")</f>
        <v>#VALUE!</v>
      </c>
      <c r="AE8" t="e">
        <f>AND(Feuil1!B198,"AAAAAF/+6x4=")</f>
        <v>#VALUE!</v>
      </c>
      <c r="AF8" t="e">
        <f>AND(Feuil1!C198,"AAAAAF/+6x8=")</f>
        <v>#VALUE!</v>
      </c>
      <c r="AG8" t="e">
        <f>AND(Feuil1!D198,"AAAAAF/+6yA=")</f>
        <v>#VALUE!</v>
      </c>
      <c r="AH8" t="e">
        <f>AND(Feuil1!E198,"AAAAAF/+6yE=")</f>
        <v>#VALUE!</v>
      </c>
      <c r="AI8">
        <f>IF(Feuil1!199:199,"AAAAAF/+6yI=",0)</f>
        <v>0</v>
      </c>
      <c r="AJ8" t="e">
        <f>AND(Feuil1!A199,"AAAAAF/+6yM=")</f>
        <v>#VALUE!</v>
      </c>
      <c r="AK8" t="e">
        <f>AND(Feuil1!B199,"AAAAAF/+6yQ=")</f>
        <v>#VALUE!</v>
      </c>
      <c r="AL8" t="e">
        <f>AND(Feuil1!C199,"AAAAAF/+6yU=")</f>
        <v>#VALUE!</v>
      </c>
      <c r="AM8" t="e">
        <f>AND(Feuil1!D199,"AAAAAF/+6yY=")</f>
        <v>#VALUE!</v>
      </c>
      <c r="AN8" t="e">
        <f>AND(Feuil1!E199,"AAAAAF/+6yc=")</f>
        <v>#VALUE!</v>
      </c>
      <c r="AO8">
        <f>IF(Feuil1!200:200,"AAAAAF/+6yg=",0)</f>
        <v>0</v>
      </c>
      <c r="AP8" t="e">
        <f>AND(Feuil1!A200,"AAAAAF/+6yk=")</f>
        <v>#VALUE!</v>
      </c>
      <c r="AQ8" t="e">
        <f>AND(Feuil1!B200,"AAAAAF/+6yo=")</f>
        <v>#VALUE!</v>
      </c>
      <c r="AR8" t="e">
        <f>AND(Feuil1!C200,"AAAAAF/+6ys=")</f>
        <v>#VALUE!</v>
      </c>
      <c r="AS8" t="e">
        <f>AND(Feuil1!D200,"AAAAAF/+6yw=")</f>
        <v>#VALUE!</v>
      </c>
      <c r="AT8" t="e">
        <f>AND(Feuil1!E200,"AAAAAF/+6y0=")</f>
        <v>#VALUE!</v>
      </c>
      <c r="AU8">
        <f>IF(Feuil1!201:201,"AAAAAF/+6y4=",0)</f>
        <v>0</v>
      </c>
      <c r="AV8" t="e">
        <f>AND(Feuil1!A201,"AAAAAF/+6y8=")</f>
        <v>#VALUE!</v>
      </c>
      <c r="AW8" t="e">
        <f>AND(Feuil1!B201,"AAAAAF/+6zA=")</f>
        <v>#VALUE!</v>
      </c>
      <c r="AX8" t="e">
        <f>AND(Feuil1!C201,"AAAAAF/+6zE=")</f>
        <v>#VALUE!</v>
      </c>
      <c r="AY8" t="e">
        <f>AND(Feuil1!D201,"AAAAAF/+6zI=")</f>
        <v>#VALUE!</v>
      </c>
      <c r="AZ8" t="e">
        <f>AND(Feuil1!E201,"AAAAAF/+6zM=")</f>
        <v>#VALUE!</v>
      </c>
      <c r="BA8">
        <f>IF(Feuil1!202:202,"AAAAAF/+6zQ=",0)</f>
        <v>0</v>
      </c>
      <c r="BB8" t="e">
        <f>AND(Feuil1!A202,"AAAAAF/+6zU=")</f>
        <v>#VALUE!</v>
      </c>
      <c r="BC8" t="e">
        <f>AND(Feuil1!B202,"AAAAAF/+6zY=")</f>
        <v>#VALUE!</v>
      </c>
      <c r="BD8" t="e">
        <f>AND(Feuil1!C202,"AAAAAF/+6zc=")</f>
        <v>#VALUE!</v>
      </c>
      <c r="BE8" t="e">
        <f>AND(Feuil1!D202,"AAAAAF/+6zg=")</f>
        <v>#VALUE!</v>
      </c>
      <c r="BF8" t="e">
        <f>AND(Feuil1!E202,"AAAAAF/+6zk=")</f>
        <v>#VALUE!</v>
      </c>
      <c r="BG8">
        <f>IF(Feuil1!203:203,"AAAAAF/+6zo=",0)</f>
        <v>0</v>
      </c>
      <c r="BH8" t="e">
        <f>AND(Feuil1!A203,"AAAAAF/+6zs=")</f>
        <v>#VALUE!</v>
      </c>
      <c r="BI8" t="e">
        <f>AND(Feuil1!B203,"AAAAAF/+6zw=")</f>
        <v>#VALUE!</v>
      </c>
      <c r="BJ8" t="e">
        <f>AND(Feuil1!C203,"AAAAAF/+6z0=")</f>
        <v>#VALUE!</v>
      </c>
      <c r="BK8" t="e">
        <f>AND(Feuil1!D203,"AAAAAF/+6z4=")</f>
        <v>#VALUE!</v>
      </c>
      <c r="BL8" t="e">
        <f>AND(Feuil1!E203,"AAAAAF/+6z8=")</f>
        <v>#VALUE!</v>
      </c>
      <c r="BM8">
        <f>IF(Feuil1!204:204,"AAAAAF/+60A=",0)</f>
        <v>0</v>
      </c>
      <c r="BN8" t="e">
        <f>AND(Feuil1!A204,"AAAAAF/+60E=")</f>
        <v>#VALUE!</v>
      </c>
      <c r="BO8" t="e">
        <f>AND(Feuil1!B204,"AAAAAF/+60I=")</f>
        <v>#VALUE!</v>
      </c>
      <c r="BP8" t="e">
        <f>AND(Feuil1!C204,"AAAAAF/+60M=")</f>
        <v>#VALUE!</v>
      </c>
      <c r="BQ8" t="e">
        <f>AND(Feuil1!D204,"AAAAAF/+60Q=")</f>
        <v>#VALUE!</v>
      </c>
      <c r="BR8" t="e">
        <f>AND(Feuil1!E204,"AAAAAF/+60U=")</f>
        <v>#VALUE!</v>
      </c>
      <c r="BS8">
        <f>IF(Feuil1!205:205,"AAAAAF/+60Y=",0)</f>
        <v>0</v>
      </c>
      <c r="BT8" t="e">
        <f>AND(Feuil1!A205,"AAAAAF/+60c=")</f>
        <v>#VALUE!</v>
      </c>
      <c r="BU8" t="e">
        <f>AND(Feuil1!B205,"AAAAAF/+60g=")</f>
        <v>#VALUE!</v>
      </c>
      <c r="BV8" t="e">
        <f>AND(Feuil1!C205,"AAAAAF/+60k=")</f>
        <v>#VALUE!</v>
      </c>
      <c r="BW8" t="e">
        <f>AND(Feuil1!D205,"AAAAAF/+60o=")</f>
        <v>#VALUE!</v>
      </c>
      <c r="BX8" t="e">
        <f>AND(Feuil1!E205,"AAAAAF/+60s=")</f>
        <v>#VALUE!</v>
      </c>
      <c r="BY8">
        <f>IF(Feuil1!206:206,"AAAAAF/+60w=",0)</f>
        <v>0</v>
      </c>
      <c r="BZ8" t="e">
        <f>AND(Feuil1!A206,"AAAAAF/+600=")</f>
        <v>#VALUE!</v>
      </c>
      <c r="CA8" t="e">
        <f>AND(Feuil1!B206,"AAAAAF/+604=")</f>
        <v>#VALUE!</v>
      </c>
      <c r="CB8" t="e">
        <f>AND(Feuil1!C206,"AAAAAF/+608=")</f>
        <v>#VALUE!</v>
      </c>
      <c r="CC8" t="e">
        <f>AND(Feuil1!D206,"AAAAAF/+61A=")</f>
        <v>#VALUE!</v>
      </c>
      <c r="CD8" t="e">
        <f>AND(Feuil1!E206,"AAAAAF/+61E=")</f>
        <v>#VALUE!</v>
      </c>
      <c r="CE8">
        <f>IF(Feuil1!207:207,"AAAAAF/+61I=",0)</f>
        <v>0</v>
      </c>
      <c r="CF8" t="e">
        <f>AND(Feuil1!A207,"AAAAAF/+61M=")</f>
        <v>#VALUE!</v>
      </c>
      <c r="CG8" t="e">
        <f>AND(Feuil1!B207,"AAAAAF/+61Q=")</f>
        <v>#VALUE!</v>
      </c>
      <c r="CH8" t="e">
        <f>AND(Feuil1!C207,"AAAAAF/+61U=")</f>
        <v>#VALUE!</v>
      </c>
      <c r="CI8" t="e">
        <f>AND(Feuil1!D207,"AAAAAF/+61Y=")</f>
        <v>#VALUE!</v>
      </c>
      <c r="CJ8" t="e">
        <f>AND(Feuil1!E207,"AAAAAF/+61c=")</f>
        <v>#VALUE!</v>
      </c>
      <c r="CK8">
        <f>IF(Feuil1!208:208,"AAAAAF/+61g=",0)</f>
        <v>0</v>
      </c>
      <c r="CL8" t="e">
        <f>AND(Feuil1!A208,"AAAAAF/+61k=")</f>
        <v>#VALUE!</v>
      </c>
      <c r="CM8" t="e">
        <f>AND(Feuil1!B208,"AAAAAF/+61o=")</f>
        <v>#VALUE!</v>
      </c>
      <c r="CN8" t="e">
        <f>AND(Feuil1!C208,"AAAAAF/+61s=")</f>
        <v>#VALUE!</v>
      </c>
      <c r="CO8" t="e">
        <f>AND(Feuil1!D208,"AAAAAF/+61w=")</f>
        <v>#VALUE!</v>
      </c>
      <c r="CP8" t="e">
        <f>AND(Feuil1!E208,"AAAAAF/+610=")</f>
        <v>#VALUE!</v>
      </c>
      <c r="CQ8">
        <f>IF(Feuil1!209:209,"AAAAAF/+614=",0)</f>
        <v>0</v>
      </c>
      <c r="CR8" t="e">
        <f>AND(Feuil1!A209,"AAAAAF/+618=")</f>
        <v>#VALUE!</v>
      </c>
      <c r="CS8" t="e">
        <f>AND(Feuil1!B209,"AAAAAF/+62A=")</f>
        <v>#VALUE!</v>
      </c>
      <c r="CT8" t="e">
        <f>AND(Feuil1!C209,"AAAAAF/+62E=")</f>
        <v>#VALUE!</v>
      </c>
      <c r="CU8" t="e">
        <f>AND(Feuil1!D209,"AAAAAF/+62I=")</f>
        <v>#VALUE!</v>
      </c>
      <c r="CV8" t="e">
        <f>AND(Feuil1!E209,"AAAAAF/+62M=")</f>
        <v>#VALUE!</v>
      </c>
      <c r="CW8">
        <f>IF(Feuil1!210:210,"AAAAAF/+62Q=",0)</f>
        <v>0</v>
      </c>
      <c r="CX8" t="e">
        <f>AND(Feuil1!A210,"AAAAAF/+62U=")</f>
        <v>#VALUE!</v>
      </c>
      <c r="CY8" t="e">
        <f>AND(Feuil1!B210,"AAAAAF/+62Y=")</f>
        <v>#VALUE!</v>
      </c>
      <c r="CZ8" t="e">
        <f>AND(Feuil1!C210,"AAAAAF/+62c=")</f>
        <v>#VALUE!</v>
      </c>
      <c r="DA8" t="e">
        <f>AND(Feuil1!D210,"AAAAAF/+62g=")</f>
        <v>#VALUE!</v>
      </c>
      <c r="DB8" t="e">
        <f>AND(Feuil1!E210,"AAAAAF/+62k=")</f>
        <v>#VALUE!</v>
      </c>
      <c r="DC8">
        <f>IF(Feuil1!211:211,"AAAAAF/+62o=",0)</f>
        <v>0</v>
      </c>
      <c r="DD8" t="e">
        <f>AND(Feuil1!A211,"AAAAAF/+62s=")</f>
        <v>#VALUE!</v>
      </c>
      <c r="DE8" t="e">
        <f>AND(Feuil1!B211,"AAAAAF/+62w=")</f>
        <v>#VALUE!</v>
      </c>
      <c r="DF8" t="e">
        <f>AND(Feuil1!C211,"AAAAAF/+620=")</f>
        <v>#VALUE!</v>
      </c>
      <c r="DG8" t="e">
        <f>AND(Feuil1!D211,"AAAAAF/+624=")</f>
        <v>#VALUE!</v>
      </c>
      <c r="DH8" t="e">
        <f>AND(Feuil1!E211,"AAAAAF/+628=")</f>
        <v>#VALUE!</v>
      </c>
      <c r="DI8">
        <f>IF(Feuil1!212:212,"AAAAAF/+63A=",0)</f>
        <v>0</v>
      </c>
      <c r="DJ8" t="e">
        <f>AND(Feuil1!A212,"AAAAAF/+63E=")</f>
        <v>#VALUE!</v>
      </c>
      <c r="DK8" t="e">
        <f>AND(Feuil1!B212,"AAAAAF/+63I=")</f>
        <v>#VALUE!</v>
      </c>
      <c r="DL8" t="e">
        <f>AND(Feuil1!C212,"AAAAAF/+63M=")</f>
        <v>#VALUE!</v>
      </c>
      <c r="DM8" t="e">
        <f>AND(Feuil1!D212,"AAAAAF/+63Q=")</f>
        <v>#VALUE!</v>
      </c>
      <c r="DN8" t="e">
        <f>AND(Feuil1!E212,"AAAAAF/+63U=")</f>
        <v>#VALUE!</v>
      </c>
      <c r="DO8">
        <f>IF(Feuil1!213:213,"AAAAAF/+63Y=",0)</f>
        <v>0</v>
      </c>
      <c r="DP8" t="e">
        <f>AND(Feuil1!A213,"AAAAAF/+63c=")</f>
        <v>#VALUE!</v>
      </c>
      <c r="DQ8" t="e">
        <f>AND(Feuil1!B213,"AAAAAF/+63g=")</f>
        <v>#VALUE!</v>
      </c>
      <c r="DR8" t="e">
        <f>AND(Feuil1!C213,"AAAAAF/+63k=")</f>
        <v>#VALUE!</v>
      </c>
      <c r="DS8" t="e">
        <f>AND(Feuil1!D213,"AAAAAF/+63o=")</f>
        <v>#VALUE!</v>
      </c>
      <c r="DT8" t="e">
        <f>AND(Feuil1!E213,"AAAAAF/+63s=")</f>
        <v>#VALUE!</v>
      </c>
      <c r="DU8">
        <f>IF(Feuil1!214:214,"AAAAAF/+63w=",0)</f>
        <v>0</v>
      </c>
      <c r="DV8" t="e">
        <f>AND(Feuil1!A214,"AAAAAF/+630=")</f>
        <v>#VALUE!</v>
      </c>
      <c r="DW8" t="e">
        <f>AND(Feuil1!B214,"AAAAAF/+634=")</f>
        <v>#VALUE!</v>
      </c>
      <c r="DX8" t="e">
        <f>AND(Feuil1!C214,"AAAAAF/+638=")</f>
        <v>#VALUE!</v>
      </c>
      <c r="DY8" t="e">
        <f>AND(Feuil1!D214,"AAAAAF/+64A=")</f>
        <v>#VALUE!</v>
      </c>
      <c r="DZ8" t="e">
        <f>AND(Feuil1!E214,"AAAAAF/+64E=")</f>
        <v>#VALUE!</v>
      </c>
      <c r="EA8">
        <f>IF(Feuil1!215:215,"AAAAAF/+64I=",0)</f>
        <v>0</v>
      </c>
      <c r="EB8" t="e">
        <f>AND(Feuil1!A215,"AAAAAF/+64M=")</f>
        <v>#VALUE!</v>
      </c>
      <c r="EC8" t="e">
        <f>AND(Feuil1!B215,"AAAAAF/+64Q=")</f>
        <v>#VALUE!</v>
      </c>
      <c r="ED8" t="e">
        <f>AND(Feuil1!C215,"AAAAAF/+64U=")</f>
        <v>#VALUE!</v>
      </c>
      <c r="EE8" t="e">
        <f>AND(Feuil1!D215,"AAAAAF/+64Y=")</f>
        <v>#VALUE!</v>
      </c>
      <c r="EF8" t="e">
        <f>AND(Feuil1!E215,"AAAAAF/+64c=")</f>
        <v>#VALUE!</v>
      </c>
      <c r="EG8">
        <f>IF(Feuil1!216:216,"AAAAAF/+64g=",0)</f>
        <v>0</v>
      </c>
      <c r="EH8" t="e">
        <f>AND(Feuil1!A216,"AAAAAF/+64k=")</f>
        <v>#VALUE!</v>
      </c>
      <c r="EI8" t="e">
        <f>AND(Feuil1!B216,"AAAAAF/+64o=")</f>
        <v>#VALUE!</v>
      </c>
      <c r="EJ8" t="e">
        <f>AND(Feuil1!C216,"AAAAAF/+64s=")</f>
        <v>#VALUE!</v>
      </c>
      <c r="EK8" t="e">
        <f>AND(Feuil1!D216,"AAAAAF/+64w=")</f>
        <v>#VALUE!</v>
      </c>
      <c r="EL8" t="e">
        <f>AND(Feuil1!E216,"AAAAAF/+640=")</f>
        <v>#VALUE!</v>
      </c>
      <c r="EM8">
        <f>IF(Feuil1!217:217,"AAAAAF/+644=",0)</f>
        <v>0</v>
      </c>
      <c r="EN8" t="e">
        <f>AND(Feuil1!A217,"AAAAAF/+648=")</f>
        <v>#VALUE!</v>
      </c>
      <c r="EO8" t="e">
        <f>AND(Feuil1!B217,"AAAAAF/+65A=")</f>
        <v>#VALUE!</v>
      </c>
      <c r="EP8" t="e">
        <f>AND(Feuil1!C217,"AAAAAF/+65E=")</f>
        <v>#VALUE!</v>
      </c>
      <c r="EQ8" t="e">
        <f>AND(Feuil1!D217,"AAAAAF/+65I=")</f>
        <v>#VALUE!</v>
      </c>
      <c r="ER8" t="e">
        <f>AND(Feuil1!E217,"AAAAAF/+65M=")</f>
        <v>#VALUE!</v>
      </c>
      <c r="ES8">
        <f>IF(Feuil1!218:218,"AAAAAF/+65Q=",0)</f>
        <v>0</v>
      </c>
      <c r="ET8" t="e">
        <f>AND(Feuil1!A218,"AAAAAF/+65U=")</f>
        <v>#VALUE!</v>
      </c>
      <c r="EU8" t="e">
        <f>AND(Feuil1!B218,"AAAAAF/+65Y=")</f>
        <v>#VALUE!</v>
      </c>
      <c r="EV8" t="e">
        <f>AND(Feuil1!C218,"AAAAAF/+65c=")</f>
        <v>#VALUE!</v>
      </c>
      <c r="EW8" t="e">
        <f>AND(Feuil1!D218,"AAAAAF/+65g=")</f>
        <v>#VALUE!</v>
      </c>
      <c r="EX8" t="e">
        <f>AND(Feuil1!E218,"AAAAAF/+65k=")</f>
        <v>#VALUE!</v>
      </c>
      <c r="EY8">
        <f>IF(Feuil1!219:219,"AAAAAF/+65o=",0)</f>
        <v>0</v>
      </c>
      <c r="EZ8" t="e">
        <f>AND(Feuil1!A219,"AAAAAF/+65s=")</f>
        <v>#VALUE!</v>
      </c>
      <c r="FA8" t="e">
        <f>AND(Feuil1!B219,"AAAAAF/+65w=")</f>
        <v>#VALUE!</v>
      </c>
      <c r="FB8" t="e">
        <f>AND(Feuil1!C219,"AAAAAF/+650=")</f>
        <v>#VALUE!</v>
      </c>
      <c r="FC8" t="e">
        <f>AND(Feuil1!D219,"AAAAAF/+654=")</f>
        <v>#VALUE!</v>
      </c>
      <c r="FD8" t="e">
        <f>AND(Feuil1!E219,"AAAAAF/+658=")</f>
        <v>#VALUE!</v>
      </c>
      <c r="FE8">
        <f>IF(Feuil1!220:220,"AAAAAF/+66A=",0)</f>
        <v>0</v>
      </c>
      <c r="FF8" t="e">
        <f>AND(Feuil1!A220,"AAAAAF/+66E=")</f>
        <v>#VALUE!</v>
      </c>
      <c r="FG8" t="e">
        <f>AND(Feuil1!B220,"AAAAAF/+66I=")</f>
        <v>#VALUE!</v>
      </c>
      <c r="FH8" t="e">
        <f>AND(Feuil1!C220,"AAAAAF/+66M=")</f>
        <v>#VALUE!</v>
      </c>
      <c r="FI8" t="e">
        <f>AND(Feuil1!D220,"AAAAAF/+66Q=")</f>
        <v>#VALUE!</v>
      </c>
      <c r="FJ8" t="e">
        <f>AND(Feuil1!E220,"AAAAAF/+66U=")</f>
        <v>#VALUE!</v>
      </c>
      <c r="FK8">
        <f>IF(Feuil1!221:221,"AAAAAF/+66Y=",0)</f>
        <v>0</v>
      </c>
      <c r="FL8" t="e">
        <f>AND(Feuil1!A221,"AAAAAF/+66c=")</f>
        <v>#VALUE!</v>
      </c>
      <c r="FM8" t="e">
        <f>AND(Feuil1!B221,"AAAAAF/+66g=")</f>
        <v>#VALUE!</v>
      </c>
      <c r="FN8" t="e">
        <f>AND(Feuil1!C221,"AAAAAF/+66k=")</f>
        <v>#VALUE!</v>
      </c>
      <c r="FO8" t="e">
        <f>AND(Feuil1!D221,"AAAAAF/+66o=")</f>
        <v>#VALUE!</v>
      </c>
      <c r="FP8" t="e">
        <f>AND(Feuil1!E221,"AAAAAF/+66s=")</f>
        <v>#VALUE!</v>
      </c>
      <c r="FQ8">
        <f>IF(Feuil1!222:222,"AAAAAF/+66w=",0)</f>
        <v>0</v>
      </c>
      <c r="FR8" t="e">
        <f>AND(Feuil1!A222,"AAAAAF/+660=")</f>
        <v>#VALUE!</v>
      </c>
      <c r="FS8" t="e">
        <f>AND(Feuil1!B222,"AAAAAF/+664=")</f>
        <v>#VALUE!</v>
      </c>
      <c r="FT8" t="e">
        <f>AND(Feuil1!C222,"AAAAAF/+668=")</f>
        <v>#VALUE!</v>
      </c>
      <c r="FU8" t="e">
        <f>AND(Feuil1!D222,"AAAAAF/+67A=")</f>
        <v>#VALUE!</v>
      </c>
      <c r="FV8" t="e">
        <f>AND(Feuil1!E222,"AAAAAF/+67E=")</f>
        <v>#VALUE!</v>
      </c>
      <c r="FW8">
        <f>IF(Feuil1!223:223,"AAAAAF/+67I=",0)</f>
        <v>0</v>
      </c>
      <c r="FX8" t="e">
        <f>AND(Feuil1!A223,"AAAAAF/+67M=")</f>
        <v>#VALUE!</v>
      </c>
      <c r="FY8" t="e">
        <f>AND(Feuil1!B223,"AAAAAF/+67Q=")</f>
        <v>#VALUE!</v>
      </c>
      <c r="FZ8" t="e">
        <f>AND(Feuil1!C223,"AAAAAF/+67U=")</f>
        <v>#VALUE!</v>
      </c>
      <c r="GA8" t="e">
        <f>AND(Feuil1!D223,"AAAAAF/+67Y=")</f>
        <v>#VALUE!</v>
      </c>
      <c r="GB8" t="e">
        <f>AND(Feuil1!E223,"AAAAAF/+67c=")</f>
        <v>#VALUE!</v>
      </c>
      <c r="GC8">
        <f>IF(Feuil1!224:224,"AAAAAF/+67g=",0)</f>
        <v>0</v>
      </c>
      <c r="GD8" t="e">
        <f>AND(Feuil1!A224,"AAAAAF/+67k=")</f>
        <v>#VALUE!</v>
      </c>
      <c r="GE8" t="e">
        <f>AND(Feuil1!B224,"AAAAAF/+67o=")</f>
        <v>#VALUE!</v>
      </c>
      <c r="GF8" t="e">
        <f>AND(Feuil1!C224,"AAAAAF/+67s=")</f>
        <v>#VALUE!</v>
      </c>
      <c r="GG8" t="e">
        <f>AND(Feuil1!D224,"AAAAAF/+67w=")</f>
        <v>#VALUE!</v>
      </c>
      <c r="GH8" t="e">
        <f>AND(Feuil1!E224,"AAAAAF/+670=")</f>
        <v>#VALUE!</v>
      </c>
      <c r="GI8">
        <f>IF(Feuil1!225:225,"AAAAAF/+674=",0)</f>
        <v>0</v>
      </c>
      <c r="GJ8" t="e">
        <f>AND(Feuil1!A225,"AAAAAF/+678=")</f>
        <v>#VALUE!</v>
      </c>
      <c r="GK8" t="e">
        <f>AND(Feuil1!B225,"AAAAAF/+68A=")</f>
        <v>#VALUE!</v>
      </c>
      <c r="GL8" t="e">
        <f>AND(Feuil1!C225,"AAAAAF/+68E=")</f>
        <v>#VALUE!</v>
      </c>
      <c r="GM8" t="e">
        <f>AND(Feuil1!D225,"AAAAAF/+68I=")</f>
        <v>#VALUE!</v>
      </c>
      <c r="GN8" t="e">
        <f>AND(Feuil1!E225,"AAAAAF/+68M=")</f>
        <v>#VALUE!</v>
      </c>
      <c r="GO8">
        <f>IF(Feuil1!226:226,"AAAAAF/+68Q=",0)</f>
        <v>0</v>
      </c>
      <c r="GP8" t="e">
        <f>AND(Feuil1!A226,"AAAAAF/+68U=")</f>
        <v>#VALUE!</v>
      </c>
      <c r="GQ8" t="e">
        <f>AND(Feuil1!B226,"AAAAAF/+68Y=")</f>
        <v>#VALUE!</v>
      </c>
      <c r="GR8" t="e">
        <f>AND(Feuil1!C226,"AAAAAF/+68c=")</f>
        <v>#VALUE!</v>
      </c>
      <c r="GS8" t="e">
        <f>AND(Feuil1!D226,"AAAAAF/+68g=")</f>
        <v>#VALUE!</v>
      </c>
      <c r="GT8" t="e">
        <f>AND(Feuil1!E226,"AAAAAF/+68k=")</f>
        <v>#VALUE!</v>
      </c>
      <c r="GU8">
        <f>IF(Feuil1!227:227,"AAAAAF/+68o=",0)</f>
        <v>0</v>
      </c>
      <c r="GV8" t="e">
        <f>AND(Feuil1!A227,"AAAAAF/+68s=")</f>
        <v>#VALUE!</v>
      </c>
      <c r="GW8" t="e">
        <f>AND(Feuil1!B227,"AAAAAF/+68w=")</f>
        <v>#VALUE!</v>
      </c>
      <c r="GX8" t="e">
        <f>AND(Feuil1!C227,"AAAAAF/+680=")</f>
        <v>#VALUE!</v>
      </c>
      <c r="GY8" t="e">
        <f>AND(Feuil1!D227,"AAAAAF/+684=")</f>
        <v>#VALUE!</v>
      </c>
      <c r="GZ8" t="e">
        <f>AND(Feuil1!E227,"AAAAAF/+688=")</f>
        <v>#VALUE!</v>
      </c>
      <c r="HA8">
        <f>IF(Feuil1!228:228,"AAAAAF/+69A=",0)</f>
        <v>0</v>
      </c>
      <c r="HB8" t="e">
        <f>AND(Feuil1!A228,"AAAAAF/+69E=")</f>
        <v>#VALUE!</v>
      </c>
      <c r="HC8" t="e">
        <f>AND(Feuil1!B228,"AAAAAF/+69I=")</f>
        <v>#VALUE!</v>
      </c>
      <c r="HD8" t="e">
        <f>AND(Feuil1!C228,"AAAAAF/+69M=")</f>
        <v>#VALUE!</v>
      </c>
      <c r="HE8" t="e">
        <f>AND(Feuil1!D228,"AAAAAF/+69Q=")</f>
        <v>#VALUE!</v>
      </c>
      <c r="HF8" t="e">
        <f>AND(Feuil1!E228,"AAAAAF/+69U=")</f>
        <v>#VALUE!</v>
      </c>
      <c r="HG8">
        <f>IF(Feuil1!229:229,"AAAAAF/+69Y=",0)</f>
        <v>0</v>
      </c>
      <c r="HH8" t="e">
        <f>AND(Feuil1!A229,"AAAAAF/+69c=")</f>
        <v>#VALUE!</v>
      </c>
      <c r="HI8" t="e">
        <f>AND(Feuil1!B229,"AAAAAF/+69g=")</f>
        <v>#VALUE!</v>
      </c>
      <c r="HJ8" t="e">
        <f>AND(Feuil1!C229,"AAAAAF/+69k=")</f>
        <v>#VALUE!</v>
      </c>
      <c r="HK8" t="e">
        <f>AND(Feuil1!D229,"AAAAAF/+69o=")</f>
        <v>#VALUE!</v>
      </c>
      <c r="HL8" t="e">
        <f>AND(Feuil1!E229,"AAAAAF/+69s=")</f>
        <v>#VALUE!</v>
      </c>
      <c r="HM8">
        <f>IF(Feuil1!230:230,"AAAAAF/+69w=",0)</f>
        <v>0</v>
      </c>
      <c r="HN8" t="e">
        <f>AND(Feuil1!A230,"AAAAAF/+690=")</f>
        <v>#VALUE!</v>
      </c>
      <c r="HO8" t="e">
        <f>AND(Feuil1!B230,"AAAAAF/+694=")</f>
        <v>#VALUE!</v>
      </c>
      <c r="HP8" t="e">
        <f>AND(Feuil1!C230,"AAAAAF/+698=")</f>
        <v>#VALUE!</v>
      </c>
      <c r="HQ8" t="e">
        <f>AND(Feuil1!D230,"AAAAAF/+6+A=")</f>
        <v>#VALUE!</v>
      </c>
      <c r="HR8" t="e">
        <f>AND(Feuil1!E230,"AAAAAF/+6+E=")</f>
        <v>#VALUE!</v>
      </c>
      <c r="HS8">
        <f>IF(Feuil1!231:231,"AAAAAF/+6+I=",0)</f>
        <v>0</v>
      </c>
      <c r="HT8" t="e">
        <f>AND(Feuil1!A231,"AAAAAF/+6+M=")</f>
        <v>#VALUE!</v>
      </c>
      <c r="HU8" t="e">
        <f>AND(Feuil1!B231,"AAAAAF/+6+Q=")</f>
        <v>#VALUE!</v>
      </c>
      <c r="HV8" t="e">
        <f>AND(Feuil1!C231,"AAAAAF/+6+U=")</f>
        <v>#VALUE!</v>
      </c>
      <c r="HW8" t="e">
        <f>AND(Feuil1!D231,"AAAAAF/+6+Y=")</f>
        <v>#VALUE!</v>
      </c>
      <c r="HX8" t="e">
        <f>AND(Feuil1!E231,"AAAAAF/+6+c=")</f>
        <v>#VALUE!</v>
      </c>
      <c r="HY8">
        <f>IF(Feuil1!232:232,"AAAAAF/+6+g=",0)</f>
        <v>0</v>
      </c>
      <c r="HZ8" t="e">
        <f>AND(Feuil1!A232,"AAAAAF/+6+k=")</f>
        <v>#VALUE!</v>
      </c>
      <c r="IA8" t="e">
        <f>AND(Feuil1!B232,"AAAAAF/+6+o=")</f>
        <v>#VALUE!</v>
      </c>
      <c r="IB8" t="e">
        <f>AND(Feuil1!C232,"AAAAAF/+6+s=")</f>
        <v>#VALUE!</v>
      </c>
      <c r="IC8" t="e">
        <f>AND(Feuil1!D232,"AAAAAF/+6+w=")</f>
        <v>#VALUE!</v>
      </c>
      <c r="ID8" t="e">
        <f>AND(Feuil1!E232,"AAAAAF/+6+0=")</f>
        <v>#VALUE!</v>
      </c>
      <c r="IE8">
        <f>IF(Feuil1!233:233,"AAAAAF/+6+4=",0)</f>
        <v>0</v>
      </c>
      <c r="IF8" t="e">
        <f>AND(Feuil1!A233,"AAAAAF/+6+8=")</f>
        <v>#VALUE!</v>
      </c>
      <c r="IG8" t="e">
        <f>AND(Feuil1!B233,"AAAAAF/+6/A=")</f>
        <v>#VALUE!</v>
      </c>
      <c r="IH8" t="e">
        <f>AND(Feuil1!C233,"AAAAAF/+6/E=")</f>
        <v>#VALUE!</v>
      </c>
      <c r="II8" t="e">
        <f>AND(Feuil1!D233,"AAAAAF/+6/I=")</f>
        <v>#VALUE!</v>
      </c>
      <c r="IJ8" t="e">
        <f>AND(Feuil1!E233,"AAAAAF/+6/M=")</f>
        <v>#VALUE!</v>
      </c>
      <c r="IK8">
        <f>IF(Feuil1!234:234,"AAAAAF/+6/Q=",0)</f>
        <v>0</v>
      </c>
      <c r="IL8" t="e">
        <f>AND(Feuil1!A234,"AAAAAF/+6/U=")</f>
        <v>#VALUE!</v>
      </c>
      <c r="IM8" t="e">
        <f>AND(Feuil1!B234,"AAAAAF/+6/Y=")</f>
        <v>#VALUE!</v>
      </c>
      <c r="IN8" t="e">
        <f>AND(Feuil1!C234,"AAAAAF/+6/c=")</f>
        <v>#VALUE!</v>
      </c>
      <c r="IO8" t="e">
        <f>AND(Feuil1!D234,"AAAAAF/+6/g=")</f>
        <v>#VALUE!</v>
      </c>
      <c r="IP8" t="e">
        <f>AND(Feuil1!E234,"AAAAAF/+6/k=")</f>
        <v>#VALUE!</v>
      </c>
      <c r="IQ8">
        <f>IF(Feuil1!235:235,"AAAAAF/+6/o=",0)</f>
        <v>0</v>
      </c>
      <c r="IR8" t="e">
        <f>AND(Feuil1!A235,"AAAAAF/+6/s=")</f>
        <v>#VALUE!</v>
      </c>
      <c r="IS8" t="e">
        <f>AND(Feuil1!B235,"AAAAAF/+6/w=")</f>
        <v>#VALUE!</v>
      </c>
      <c r="IT8" t="e">
        <f>AND(Feuil1!C235,"AAAAAF/+6/0=")</f>
        <v>#VALUE!</v>
      </c>
      <c r="IU8" t="e">
        <f>AND(Feuil1!D235,"AAAAAF/+6/4=")</f>
        <v>#VALUE!</v>
      </c>
      <c r="IV8" t="e">
        <f>AND(Feuil1!E235,"AAAAAF/+6/8=")</f>
        <v>#VALUE!</v>
      </c>
    </row>
    <row r="9" spans="1:256" x14ac:dyDescent="0.25">
      <c r="A9">
        <f>IF(Feuil1!236:236,"AAAAAF5+XwA=",0)</f>
        <v>0</v>
      </c>
      <c r="B9" t="e">
        <f>AND(Feuil1!A236,"AAAAAF5+XwE=")</f>
        <v>#VALUE!</v>
      </c>
      <c r="C9" t="e">
        <f>AND(Feuil1!B236,"AAAAAF5+XwI=")</f>
        <v>#VALUE!</v>
      </c>
      <c r="D9" t="e">
        <f>AND(Feuil1!C236,"AAAAAF5+XwM=")</f>
        <v>#VALUE!</v>
      </c>
      <c r="E9" t="e">
        <f>AND(Feuil1!D236,"AAAAAF5+XwQ=")</f>
        <v>#VALUE!</v>
      </c>
      <c r="F9" t="e">
        <f>AND(Feuil1!E236,"AAAAAF5+XwU=")</f>
        <v>#VALUE!</v>
      </c>
      <c r="G9">
        <f>IF(Feuil1!237:237,"AAAAAF5+XwY=",0)</f>
        <v>0</v>
      </c>
      <c r="H9" t="e">
        <f>AND(Feuil1!A237,"AAAAAF5+Xwc=")</f>
        <v>#VALUE!</v>
      </c>
      <c r="I9" t="e">
        <f>AND(Feuil1!B237,"AAAAAF5+Xwg=")</f>
        <v>#VALUE!</v>
      </c>
      <c r="J9" t="e">
        <f>AND(Feuil1!C237,"AAAAAF5+Xwk=")</f>
        <v>#VALUE!</v>
      </c>
      <c r="K9" t="e">
        <f>AND(Feuil1!D237,"AAAAAF5+Xwo=")</f>
        <v>#VALUE!</v>
      </c>
      <c r="L9" t="e">
        <f>AND(Feuil1!E237,"AAAAAF5+Xws=")</f>
        <v>#VALUE!</v>
      </c>
      <c r="M9">
        <f>IF(Feuil1!238:238,"AAAAAF5+Xww=",0)</f>
        <v>0</v>
      </c>
      <c r="N9" t="e">
        <f>AND(Feuil1!A238,"AAAAAF5+Xw0=")</f>
        <v>#VALUE!</v>
      </c>
      <c r="O9" t="e">
        <f>AND(Feuil1!B238,"AAAAAF5+Xw4=")</f>
        <v>#VALUE!</v>
      </c>
      <c r="P9" t="e">
        <f>AND(Feuil1!C238,"AAAAAF5+Xw8=")</f>
        <v>#VALUE!</v>
      </c>
      <c r="Q9" t="e">
        <f>AND(Feuil1!D238,"AAAAAF5+XxA=")</f>
        <v>#VALUE!</v>
      </c>
      <c r="R9" t="e">
        <f>AND(Feuil1!E238,"AAAAAF5+XxE=")</f>
        <v>#VALUE!</v>
      </c>
      <c r="S9">
        <f>IF(Feuil1!239:239,"AAAAAF5+XxI=",0)</f>
        <v>0</v>
      </c>
      <c r="T9" t="e">
        <f>AND(Feuil1!A239,"AAAAAF5+XxM=")</f>
        <v>#VALUE!</v>
      </c>
      <c r="U9" t="e">
        <f>AND(Feuil1!B239,"AAAAAF5+XxQ=")</f>
        <v>#VALUE!</v>
      </c>
      <c r="V9" t="e">
        <f>AND(Feuil1!C239,"AAAAAF5+XxU=")</f>
        <v>#VALUE!</v>
      </c>
      <c r="W9" t="e">
        <f>AND(Feuil1!D239,"AAAAAF5+XxY=")</f>
        <v>#VALUE!</v>
      </c>
      <c r="X9" t="e">
        <f>AND(Feuil1!E239,"AAAAAF5+Xxc=")</f>
        <v>#VALUE!</v>
      </c>
      <c r="Y9">
        <f>IF(Feuil1!240:240,"AAAAAF5+Xxg=",0)</f>
        <v>0</v>
      </c>
      <c r="Z9" t="e">
        <f>AND(Feuil1!A240,"AAAAAF5+Xxk=")</f>
        <v>#VALUE!</v>
      </c>
      <c r="AA9" t="e">
        <f>AND(Feuil1!B240,"AAAAAF5+Xxo=")</f>
        <v>#VALUE!</v>
      </c>
      <c r="AB9" t="e">
        <f>AND(Feuil1!C240,"AAAAAF5+Xxs=")</f>
        <v>#VALUE!</v>
      </c>
      <c r="AC9" t="e">
        <f>AND(Feuil1!D240,"AAAAAF5+Xxw=")</f>
        <v>#VALUE!</v>
      </c>
      <c r="AD9" t="e">
        <f>AND(Feuil1!E240,"AAAAAF5+Xx0=")</f>
        <v>#VALUE!</v>
      </c>
      <c r="AE9">
        <f>IF(Feuil1!241:241,"AAAAAF5+Xx4=",0)</f>
        <v>0</v>
      </c>
      <c r="AF9" t="e">
        <f>AND(Feuil1!A241,"AAAAAF5+Xx8=")</f>
        <v>#VALUE!</v>
      </c>
      <c r="AG9" t="e">
        <f>AND(Feuil1!B241,"AAAAAF5+XyA=")</f>
        <v>#VALUE!</v>
      </c>
      <c r="AH9" t="e">
        <f>AND(Feuil1!C241,"AAAAAF5+XyE=")</f>
        <v>#VALUE!</v>
      </c>
      <c r="AI9" t="e">
        <f>AND(Feuil1!D241,"AAAAAF5+XyI=")</f>
        <v>#VALUE!</v>
      </c>
      <c r="AJ9" t="e">
        <f>AND(Feuil1!E241,"AAAAAF5+XyM=")</f>
        <v>#VALUE!</v>
      </c>
      <c r="AK9">
        <f>IF(Feuil1!242:242,"AAAAAF5+XyQ=",0)</f>
        <v>0</v>
      </c>
      <c r="AL9" t="e">
        <f>AND(Feuil1!A242,"AAAAAF5+XyU=")</f>
        <v>#VALUE!</v>
      </c>
      <c r="AM9" t="e">
        <f>AND(Feuil1!B242,"AAAAAF5+XyY=")</f>
        <v>#VALUE!</v>
      </c>
      <c r="AN9" t="e">
        <f>AND(Feuil1!C242,"AAAAAF5+Xyc=")</f>
        <v>#VALUE!</v>
      </c>
      <c r="AO9" t="e">
        <f>AND(Feuil1!D242,"AAAAAF5+Xyg=")</f>
        <v>#VALUE!</v>
      </c>
      <c r="AP9" t="e">
        <f>AND(Feuil1!E242,"AAAAAF5+Xyk=")</f>
        <v>#VALUE!</v>
      </c>
      <c r="AQ9">
        <f>IF(Feuil1!243:243,"AAAAAF5+Xyo=",0)</f>
        <v>0</v>
      </c>
      <c r="AR9" t="e">
        <f>AND(Feuil1!A243,"AAAAAF5+Xys=")</f>
        <v>#VALUE!</v>
      </c>
      <c r="AS9" t="e">
        <f>AND(Feuil1!B243,"AAAAAF5+Xyw=")</f>
        <v>#VALUE!</v>
      </c>
      <c r="AT9" t="e">
        <f>AND(Feuil1!C243,"AAAAAF5+Xy0=")</f>
        <v>#VALUE!</v>
      </c>
      <c r="AU9" t="e">
        <f>AND(Feuil1!D243,"AAAAAF5+Xy4=")</f>
        <v>#VALUE!</v>
      </c>
      <c r="AV9" t="e">
        <f>AND(Feuil1!E243,"AAAAAF5+Xy8=")</f>
        <v>#VALUE!</v>
      </c>
      <c r="AW9">
        <f>IF(Feuil1!244:244,"AAAAAF5+XzA=",0)</f>
        <v>0</v>
      </c>
      <c r="AX9" t="e">
        <f>AND(Feuil1!A244,"AAAAAF5+XzE=")</f>
        <v>#VALUE!</v>
      </c>
      <c r="AY9" t="e">
        <f>AND(Feuil1!B244,"AAAAAF5+XzI=")</f>
        <v>#VALUE!</v>
      </c>
      <c r="AZ9" t="e">
        <f>AND(Feuil1!C244,"AAAAAF5+XzM=")</f>
        <v>#VALUE!</v>
      </c>
      <c r="BA9" t="e">
        <f>AND(Feuil1!D244,"AAAAAF5+XzQ=")</f>
        <v>#VALUE!</v>
      </c>
      <c r="BB9" t="e">
        <f>AND(Feuil1!E244,"AAAAAF5+XzU=")</f>
        <v>#VALUE!</v>
      </c>
      <c r="BC9">
        <f>IF(Feuil1!245:245,"AAAAAF5+XzY=",0)</f>
        <v>0</v>
      </c>
      <c r="BD9" t="e">
        <f>AND(Feuil1!A245,"AAAAAF5+Xzc=")</f>
        <v>#VALUE!</v>
      </c>
      <c r="BE9" t="e">
        <f>AND(Feuil1!B245,"AAAAAF5+Xzg=")</f>
        <v>#VALUE!</v>
      </c>
      <c r="BF9" t="e">
        <f>AND(Feuil1!C245,"AAAAAF5+Xzk=")</f>
        <v>#VALUE!</v>
      </c>
      <c r="BG9" t="e">
        <f>AND(Feuil1!D245,"AAAAAF5+Xzo=")</f>
        <v>#VALUE!</v>
      </c>
      <c r="BH9" t="e">
        <f>AND(Feuil1!E245,"AAAAAF5+Xzs=")</f>
        <v>#VALUE!</v>
      </c>
      <c r="BI9">
        <f>IF(Feuil1!246:246,"AAAAAF5+Xzw=",0)</f>
        <v>0</v>
      </c>
      <c r="BJ9" t="e">
        <f>AND(Feuil1!A246,"AAAAAF5+Xz0=")</f>
        <v>#VALUE!</v>
      </c>
      <c r="BK9" t="e">
        <f>AND(Feuil1!B246,"AAAAAF5+Xz4=")</f>
        <v>#VALUE!</v>
      </c>
      <c r="BL9" t="e">
        <f>AND(Feuil1!C246,"AAAAAF5+Xz8=")</f>
        <v>#VALUE!</v>
      </c>
      <c r="BM9" t="e">
        <f>AND(Feuil1!D246,"AAAAAF5+X0A=")</f>
        <v>#VALUE!</v>
      </c>
      <c r="BN9" t="e">
        <f>AND(Feuil1!E246,"AAAAAF5+X0E=")</f>
        <v>#VALUE!</v>
      </c>
      <c r="BO9">
        <f>IF(Feuil1!247:247,"AAAAAF5+X0I=",0)</f>
        <v>0</v>
      </c>
      <c r="BP9" t="e">
        <f>AND(Feuil1!A247,"AAAAAF5+X0M=")</f>
        <v>#VALUE!</v>
      </c>
      <c r="BQ9" t="e">
        <f>AND(Feuil1!B247,"AAAAAF5+X0Q=")</f>
        <v>#VALUE!</v>
      </c>
      <c r="BR9" t="e">
        <f>AND(Feuil1!C247,"AAAAAF5+X0U=")</f>
        <v>#VALUE!</v>
      </c>
      <c r="BS9" t="e">
        <f>AND(Feuil1!D247,"AAAAAF5+X0Y=")</f>
        <v>#VALUE!</v>
      </c>
      <c r="BT9" t="e">
        <f>AND(Feuil1!E247,"AAAAAF5+X0c=")</f>
        <v>#VALUE!</v>
      </c>
      <c r="BU9">
        <f>IF(Feuil1!248:248,"AAAAAF5+X0g=",0)</f>
        <v>0</v>
      </c>
      <c r="BV9" t="e">
        <f>AND(Feuil1!A248,"AAAAAF5+X0k=")</f>
        <v>#VALUE!</v>
      </c>
      <c r="BW9" t="e">
        <f>AND(Feuil1!B248,"AAAAAF5+X0o=")</f>
        <v>#VALUE!</v>
      </c>
      <c r="BX9" t="e">
        <f>AND(Feuil1!C248,"AAAAAF5+X0s=")</f>
        <v>#VALUE!</v>
      </c>
      <c r="BY9" t="e">
        <f>AND(Feuil1!D248,"AAAAAF5+X0w=")</f>
        <v>#VALUE!</v>
      </c>
      <c r="BZ9" t="e">
        <f>AND(Feuil1!E248,"AAAAAF5+X00=")</f>
        <v>#VALUE!</v>
      </c>
      <c r="CA9">
        <f>IF(Feuil1!249:249,"AAAAAF5+X04=",0)</f>
        <v>0</v>
      </c>
      <c r="CB9" t="e">
        <f>AND(Feuil1!A249,"AAAAAF5+X08=")</f>
        <v>#VALUE!</v>
      </c>
      <c r="CC9" t="e">
        <f>AND(Feuil1!B249,"AAAAAF5+X1A=")</f>
        <v>#VALUE!</v>
      </c>
      <c r="CD9" t="e">
        <f>AND(Feuil1!C249,"AAAAAF5+X1E=")</f>
        <v>#VALUE!</v>
      </c>
      <c r="CE9" t="e">
        <f>AND(Feuil1!D249,"AAAAAF5+X1I=")</f>
        <v>#VALUE!</v>
      </c>
      <c r="CF9" t="e">
        <f>AND(Feuil1!E249,"AAAAAF5+X1M=")</f>
        <v>#VALUE!</v>
      </c>
      <c r="CG9">
        <f>IF(Feuil1!250:250,"AAAAAF5+X1Q=",0)</f>
        <v>0</v>
      </c>
      <c r="CH9" t="e">
        <f>AND(Feuil1!A250,"AAAAAF5+X1U=")</f>
        <v>#VALUE!</v>
      </c>
      <c r="CI9" t="e">
        <f>AND(Feuil1!B250,"AAAAAF5+X1Y=")</f>
        <v>#VALUE!</v>
      </c>
      <c r="CJ9" t="e">
        <f>AND(Feuil1!C250,"AAAAAF5+X1c=")</f>
        <v>#VALUE!</v>
      </c>
      <c r="CK9" t="e">
        <f>AND(Feuil1!D250,"AAAAAF5+X1g=")</f>
        <v>#VALUE!</v>
      </c>
      <c r="CL9" t="e">
        <f>AND(Feuil1!E250,"AAAAAF5+X1k=")</f>
        <v>#VALUE!</v>
      </c>
      <c r="CM9">
        <f>IF(Feuil1!251:251,"AAAAAF5+X1o=",0)</f>
        <v>0</v>
      </c>
      <c r="CN9" t="e">
        <f>AND(Feuil1!A251,"AAAAAF5+X1s=")</f>
        <v>#VALUE!</v>
      </c>
      <c r="CO9" t="e">
        <f>AND(Feuil1!B251,"AAAAAF5+X1w=")</f>
        <v>#VALUE!</v>
      </c>
      <c r="CP9" t="e">
        <f>AND(Feuil1!C251,"AAAAAF5+X10=")</f>
        <v>#VALUE!</v>
      </c>
      <c r="CQ9" t="e">
        <f>AND(Feuil1!D251,"AAAAAF5+X14=")</f>
        <v>#VALUE!</v>
      </c>
      <c r="CR9" t="e">
        <f>AND(Feuil1!E251,"AAAAAF5+X18=")</f>
        <v>#VALUE!</v>
      </c>
      <c r="CS9">
        <f>IF(Feuil1!252:252,"AAAAAF5+X2A=",0)</f>
        <v>0</v>
      </c>
      <c r="CT9" t="e">
        <f>AND(Feuil1!A252,"AAAAAF5+X2E=")</f>
        <v>#VALUE!</v>
      </c>
      <c r="CU9" t="e">
        <f>AND(Feuil1!B252,"AAAAAF5+X2I=")</f>
        <v>#VALUE!</v>
      </c>
      <c r="CV9" t="e">
        <f>AND(Feuil1!C252,"AAAAAF5+X2M=")</f>
        <v>#VALUE!</v>
      </c>
      <c r="CW9" t="e">
        <f>AND(Feuil1!D252,"AAAAAF5+X2Q=")</f>
        <v>#VALUE!</v>
      </c>
      <c r="CX9" t="e">
        <f>AND(Feuil1!E252,"AAAAAF5+X2U=")</f>
        <v>#VALUE!</v>
      </c>
      <c r="CY9">
        <f>IF(Feuil1!253:253,"AAAAAF5+X2Y=",0)</f>
        <v>0</v>
      </c>
      <c r="CZ9" t="e">
        <f>AND(Feuil1!A253,"AAAAAF5+X2c=")</f>
        <v>#VALUE!</v>
      </c>
      <c r="DA9" t="e">
        <f>AND(Feuil1!B253,"AAAAAF5+X2g=")</f>
        <v>#VALUE!</v>
      </c>
      <c r="DB9" t="e">
        <f>AND(Feuil1!C253,"AAAAAF5+X2k=")</f>
        <v>#VALUE!</v>
      </c>
      <c r="DC9" t="e">
        <f>AND(Feuil1!D253,"AAAAAF5+X2o=")</f>
        <v>#VALUE!</v>
      </c>
      <c r="DD9" t="e">
        <f>AND(Feuil1!E253,"AAAAAF5+X2s=")</f>
        <v>#VALUE!</v>
      </c>
      <c r="DE9">
        <f>IF(Feuil1!254:254,"AAAAAF5+X2w=",0)</f>
        <v>0</v>
      </c>
      <c r="DF9" t="e">
        <f>AND(Feuil1!A254,"AAAAAF5+X20=")</f>
        <v>#VALUE!</v>
      </c>
      <c r="DG9" t="e">
        <f>AND(Feuil1!B254,"AAAAAF5+X24=")</f>
        <v>#VALUE!</v>
      </c>
      <c r="DH9" t="e">
        <f>AND(Feuil1!C254,"AAAAAF5+X28=")</f>
        <v>#VALUE!</v>
      </c>
      <c r="DI9" t="e">
        <f>AND(Feuil1!D254,"AAAAAF5+X3A=")</f>
        <v>#VALUE!</v>
      </c>
      <c r="DJ9" t="e">
        <f>AND(Feuil1!E254,"AAAAAF5+X3E=")</f>
        <v>#VALUE!</v>
      </c>
      <c r="DK9">
        <f>IF(Feuil1!255:255,"AAAAAF5+X3I=",0)</f>
        <v>0</v>
      </c>
      <c r="DL9" t="e">
        <f>AND(Feuil1!A255,"AAAAAF5+X3M=")</f>
        <v>#VALUE!</v>
      </c>
      <c r="DM9" t="e">
        <f>AND(Feuil1!B255,"AAAAAF5+X3Q=")</f>
        <v>#VALUE!</v>
      </c>
      <c r="DN9" t="e">
        <f>AND(Feuil1!C255,"AAAAAF5+X3U=")</f>
        <v>#VALUE!</v>
      </c>
      <c r="DO9" t="e">
        <f>AND(Feuil1!D255,"AAAAAF5+X3Y=")</f>
        <v>#VALUE!</v>
      </c>
      <c r="DP9" t="e">
        <f>AND(Feuil1!E255,"AAAAAF5+X3c=")</f>
        <v>#VALUE!</v>
      </c>
      <c r="DQ9">
        <f>IF(Feuil1!256:256,"AAAAAF5+X3g=",0)</f>
        <v>0</v>
      </c>
      <c r="DR9" t="e">
        <f>AND(Feuil1!A256,"AAAAAF5+X3k=")</f>
        <v>#VALUE!</v>
      </c>
      <c r="DS9" t="e">
        <f>AND(Feuil1!B256,"AAAAAF5+X3o=")</f>
        <v>#VALUE!</v>
      </c>
      <c r="DT9" t="e">
        <f>AND(Feuil1!C256,"AAAAAF5+X3s=")</f>
        <v>#VALUE!</v>
      </c>
      <c r="DU9" t="e">
        <f>AND(Feuil1!D256,"AAAAAF5+X3w=")</f>
        <v>#VALUE!</v>
      </c>
      <c r="DV9" t="e">
        <f>AND(Feuil1!E256,"AAAAAF5+X30=")</f>
        <v>#VALUE!</v>
      </c>
      <c r="DW9">
        <f>IF(Feuil1!257:257,"AAAAAF5+X34=",0)</f>
        <v>0</v>
      </c>
      <c r="DX9" t="e">
        <f>AND(Feuil1!A257,"AAAAAF5+X38=")</f>
        <v>#VALUE!</v>
      </c>
      <c r="DY9" t="e">
        <f>AND(Feuil1!B257,"AAAAAF5+X4A=")</f>
        <v>#VALUE!</v>
      </c>
      <c r="DZ9" t="e">
        <f>AND(Feuil1!C257,"AAAAAF5+X4E=")</f>
        <v>#VALUE!</v>
      </c>
      <c r="EA9" t="e">
        <f>AND(Feuil1!D257,"AAAAAF5+X4I=")</f>
        <v>#VALUE!</v>
      </c>
      <c r="EB9" t="e">
        <f>AND(Feuil1!E257,"AAAAAF5+X4M=")</f>
        <v>#VALUE!</v>
      </c>
      <c r="EC9">
        <f>IF(Feuil1!258:258,"AAAAAF5+X4Q=",0)</f>
        <v>0</v>
      </c>
      <c r="ED9" t="e">
        <f>AND(Feuil1!A258,"AAAAAF5+X4U=")</f>
        <v>#VALUE!</v>
      </c>
      <c r="EE9" t="e">
        <f>AND(Feuil1!B258,"AAAAAF5+X4Y=")</f>
        <v>#VALUE!</v>
      </c>
      <c r="EF9" t="e">
        <f>AND(Feuil1!C258,"AAAAAF5+X4c=")</f>
        <v>#VALUE!</v>
      </c>
      <c r="EG9" t="e">
        <f>AND(Feuil1!D258,"AAAAAF5+X4g=")</f>
        <v>#VALUE!</v>
      </c>
      <c r="EH9" t="e">
        <f>AND(Feuil1!E258,"AAAAAF5+X4k=")</f>
        <v>#VALUE!</v>
      </c>
      <c r="EI9">
        <f>IF(Feuil1!259:259,"AAAAAF5+X4o=",0)</f>
        <v>0</v>
      </c>
      <c r="EJ9" t="e">
        <f>AND(Feuil1!A259,"AAAAAF5+X4s=")</f>
        <v>#VALUE!</v>
      </c>
      <c r="EK9" t="e">
        <f>AND(Feuil1!B259,"AAAAAF5+X4w=")</f>
        <v>#VALUE!</v>
      </c>
      <c r="EL9" t="e">
        <f>AND(Feuil1!C259,"AAAAAF5+X40=")</f>
        <v>#VALUE!</v>
      </c>
      <c r="EM9" t="e">
        <f>AND(Feuil1!D259,"AAAAAF5+X44=")</f>
        <v>#VALUE!</v>
      </c>
      <c r="EN9" t="e">
        <f>AND(Feuil1!E259,"AAAAAF5+X48=")</f>
        <v>#VALUE!</v>
      </c>
      <c r="EO9">
        <f>IF(Feuil1!260:260,"AAAAAF5+X5A=",0)</f>
        <v>0</v>
      </c>
      <c r="EP9" t="e">
        <f>AND(Feuil1!A260,"AAAAAF5+X5E=")</f>
        <v>#VALUE!</v>
      </c>
      <c r="EQ9" t="e">
        <f>AND(Feuil1!B260,"AAAAAF5+X5I=")</f>
        <v>#VALUE!</v>
      </c>
      <c r="ER9" t="e">
        <f>AND(Feuil1!C260,"AAAAAF5+X5M=")</f>
        <v>#VALUE!</v>
      </c>
      <c r="ES9" t="e">
        <f>AND(Feuil1!D260,"AAAAAF5+X5Q=")</f>
        <v>#VALUE!</v>
      </c>
      <c r="ET9" t="e">
        <f>AND(Feuil1!E260,"AAAAAF5+X5U=")</f>
        <v>#VALUE!</v>
      </c>
      <c r="EU9">
        <f>IF(Feuil1!261:261,"AAAAAF5+X5Y=",0)</f>
        <v>0</v>
      </c>
      <c r="EV9" t="e">
        <f>AND(Feuil1!A261,"AAAAAF5+X5c=")</f>
        <v>#VALUE!</v>
      </c>
      <c r="EW9" t="e">
        <f>AND(Feuil1!B261,"AAAAAF5+X5g=")</f>
        <v>#VALUE!</v>
      </c>
      <c r="EX9" t="e">
        <f>AND(Feuil1!C261,"AAAAAF5+X5k=")</f>
        <v>#VALUE!</v>
      </c>
      <c r="EY9" t="e">
        <f>AND(Feuil1!D261,"AAAAAF5+X5o=")</f>
        <v>#VALUE!</v>
      </c>
      <c r="EZ9" t="e">
        <f>AND(Feuil1!E261,"AAAAAF5+X5s=")</f>
        <v>#VALUE!</v>
      </c>
      <c r="FA9">
        <f>IF(Feuil1!262:262,"AAAAAF5+X5w=",0)</f>
        <v>0</v>
      </c>
      <c r="FB9" t="e">
        <f>AND(Feuil1!A262,"AAAAAF5+X50=")</f>
        <v>#VALUE!</v>
      </c>
      <c r="FC9" t="e">
        <f>AND(Feuil1!B262,"AAAAAF5+X54=")</f>
        <v>#VALUE!</v>
      </c>
      <c r="FD9" t="e">
        <f>AND(Feuil1!C262,"AAAAAF5+X58=")</f>
        <v>#VALUE!</v>
      </c>
      <c r="FE9" t="e">
        <f>AND(Feuil1!D262,"AAAAAF5+X6A=")</f>
        <v>#VALUE!</v>
      </c>
      <c r="FF9" t="e">
        <f>AND(Feuil1!E262,"AAAAAF5+X6E=")</f>
        <v>#VALUE!</v>
      </c>
      <c r="FG9">
        <f>IF(Feuil1!263:263,"AAAAAF5+X6I=",0)</f>
        <v>0</v>
      </c>
      <c r="FH9" t="e">
        <f>AND(Feuil1!A263,"AAAAAF5+X6M=")</f>
        <v>#VALUE!</v>
      </c>
      <c r="FI9" t="e">
        <f>AND(Feuil1!B263,"AAAAAF5+X6Q=")</f>
        <v>#VALUE!</v>
      </c>
      <c r="FJ9" t="e">
        <f>AND(Feuil1!C263,"AAAAAF5+X6U=")</f>
        <v>#VALUE!</v>
      </c>
      <c r="FK9" t="e">
        <f>AND(Feuil1!D263,"AAAAAF5+X6Y=")</f>
        <v>#VALUE!</v>
      </c>
      <c r="FL9" t="e">
        <f>AND(Feuil1!E263,"AAAAAF5+X6c=")</f>
        <v>#VALUE!</v>
      </c>
      <c r="FM9">
        <f>IF(Feuil1!264:264,"AAAAAF5+X6g=",0)</f>
        <v>0</v>
      </c>
      <c r="FN9" t="e">
        <f>AND(Feuil1!A264,"AAAAAF5+X6k=")</f>
        <v>#VALUE!</v>
      </c>
      <c r="FO9" t="e">
        <f>AND(Feuil1!B264,"AAAAAF5+X6o=")</f>
        <v>#VALUE!</v>
      </c>
      <c r="FP9" t="e">
        <f>AND(Feuil1!C264,"AAAAAF5+X6s=")</f>
        <v>#VALUE!</v>
      </c>
      <c r="FQ9" t="e">
        <f>AND(Feuil1!D264,"AAAAAF5+X6w=")</f>
        <v>#VALUE!</v>
      </c>
      <c r="FR9" t="e">
        <f>AND(Feuil1!E264,"AAAAAF5+X60=")</f>
        <v>#VALUE!</v>
      </c>
      <c r="FS9">
        <f>IF(Feuil1!265:265,"AAAAAF5+X64=",0)</f>
        <v>0</v>
      </c>
      <c r="FT9" t="e">
        <f>AND(Feuil1!A265,"AAAAAF5+X68=")</f>
        <v>#VALUE!</v>
      </c>
      <c r="FU9" t="e">
        <f>AND(Feuil1!B265,"AAAAAF5+X7A=")</f>
        <v>#VALUE!</v>
      </c>
      <c r="FV9" t="e">
        <f>AND(Feuil1!C265,"AAAAAF5+X7E=")</f>
        <v>#VALUE!</v>
      </c>
      <c r="FW9" t="e">
        <f>AND(Feuil1!D265,"AAAAAF5+X7I=")</f>
        <v>#VALUE!</v>
      </c>
      <c r="FX9" t="e">
        <f>AND(Feuil1!E265,"AAAAAF5+X7M=")</f>
        <v>#VALUE!</v>
      </c>
      <c r="FY9">
        <f>IF(Feuil1!266:266,"AAAAAF5+X7Q=",0)</f>
        <v>0</v>
      </c>
      <c r="FZ9" t="e">
        <f>AND(Feuil1!A266,"AAAAAF5+X7U=")</f>
        <v>#VALUE!</v>
      </c>
      <c r="GA9" t="e">
        <f>AND(Feuil1!B266,"AAAAAF5+X7Y=")</f>
        <v>#VALUE!</v>
      </c>
      <c r="GB9" t="e">
        <f>AND(Feuil1!C266,"AAAAAF5+X7c=")</f>
        <v>#VALUE!</v>
      </c>
      <c r="GC9" t="e">
        <f>AND(Feuil1!D266,"AAAAAF5+X7g=")</f>
        <v>#VALUE!</v>
      </c>
      <c r="GD9" t="e">
        <f>AND(Feuil1!E266,"AAAAAF5+X7k=")</f>
        <v>#VALUE!</v>
      </c>
      <c r="GE9">
        <f>IF(Feuil1!267:267,"AAAAAF5+X7o=",0)</f>
        <v>0</v>
      </c>
      <c r="GF9" t="e">
        <f>AND(Feuil1!A267,"AAAAAF5+X7s=")</f>
        <v>#VALUE!</v>
      </c>
      <c r="GG9" t="e">
        <f>AND(Feuil1!B267,"AAAAAF5+X7w=")</f>
        <v>#VALUE!</v>
      </c>
      <c r="GH9" t="e">
        <f>AND(Feuil1!C267,"AAAAAF5+X70=")</f>
        <v>#VALUE!</v>
      </c>
      <c r="GI9" t="e">
        <f>AND(Feuil1!D267,"AAAAAF5+X74=")</f>
        <v>#VALUE!</v>
      </c>
      <c r="GJ9" t="e">
        <f>AND(Feuil1!E267,"AAAAAF5+X78=")</f>
        <v>#VALUE!</v>
      </c>
      <c r="GK9">
        <f>IF(Feuil1!268:268,"AAAAAF5+X8A=",0)</f>
        <v>0</v>
      </c>
      <c r="GL9" t="e">
        <f>AND(Feuil1!A268,"AAAAAF5+X8E=")</f>
        <v>#VALUE!</v>
      </c>
      <c r="GM9" t="e">
        <f>AND(Feuil1!B268,"AAAAAF5+X8I=")</f>
        <v>#VALUE!</v>
      </c>
      <c r="GN9" t="e">
        <f>AND(Feuil1!C268,"AAAAAF5+X8M=")</f>
        <v>#VALUE!</v>
      </c>
      <c r="GO9" t="e">
        <f>AND(Feuil1!D268,"AAAAAF5+X8Q=")</f>
        <v>#VALUE!</v>
      </c>
      <c r="GP9" t="e">
        <f>AND(Feuil1!E268,"AAAAAF5+X8U=")</f>
        <v>#VALUE!</v>
      </c>
      <c r="GQ9">
        <f>IF(Feuil1!269:269,"AAAAAF5+X8Y=",0)</f>
        <v>0</v>
      </c>
      <c r="GR9" t="e">
        <f>AND(Feuil1!A269,"AAAAAF5+X8c=")</f>
        <v>#VALUE!</v>
      </c>
      <c r="GS9" t="e">
        <f>AND(Feuil1!B269,"AAAAAF5+X8g=")</f>
        <v>#VALUE!</v>
      </c>
      <c r="GT9" t="e">
        <f>AND(Feuil1!C269,"AAAAAF5+X8k=")</f>
        <v>#VALUE!</v>
      </c>
      <c r="GU9" t="e">
        <f>AND(Feuil1!D269,"AAAAAF5+X8o=")</f>
        <v>#VALUE!</v>
      </c>
      <c r="GV9" t="e">
        <f>AND(Feuil1!E269,"AAAAAF5+X8s=")</f>
        <v>#VALUE!</v>
      </c>
      <c r="GW9">
        <f>IF(Feuil1!270:270,"AAAAAF5+X8w=",0)</f>
        <v>0</v>
      </c>
      <c r="GX9" t="e">
        <f>AND(Feuil1!A270,"AAAAAF5+X80=")</f>
        <v>#VALUE!</v>
      </c>
      <c r="GY9" t="e">
        <f>AND(Feuil1!B270,"AAAAAF5+X84=")</f>
        <v>#VALUE!</v>
      </c>
      <c r="GZ9" t="e">
        <f>AND(Feuil1!C270,"AAAAAF5+X88=")</f>
        <v>#VALUE!</v>
      </c>
      <c r="HA9" t="e">
        <f>AND(Feuil1!D270,"AAAAAF5+X9A=")</f>
        <v>#VALUE!</v>
      </c>
      <c r="HB9" t="e">
        <f>AND(Feuil1!E270,"AAAAAF5+X9E=")</f>
        <v>#VALUE!</v>
      </c>
      <c r="HC9">
        <f>IF(Feuil1!271:271,"AAAAAF5+X9I=",0)</f>
        <v>0</v>
      </c>
      <c r="HD9" t="e">
        <f>AND(Feuil1!A271,"AAAAAF5+X9M=")</f>
        <v>#VALUE!</v>
      </c>
      <c r="HE9" t="e">
        <f>AND(Feuil1!B271,"AAAAAF5+X9Q=")</f>
        <v>#VALUE!</v>
      </c>
      <c r="HF9" t="e">
        <f>AND(Feuil1!C271,"AAAAAF5+X9U=")</f>
        <v>#VALUE!</v>
      </c>
      <c r="HG9" t="e">
        <f>AND(Feuil1!D271,"AAAAAF5+X9Y=")</f>
        <v>#VALUE!</v>
      </c>
      <c r="HH9" t="e">
        <f>AND(Feuil1!E271,"AAAAAF5+X9c=")</f>
        <v>#VALUE!</v>
      </c>
      <c r="HI9">
        <f>IF(Feuil1!272:272,"AAAAAF5+X9g=",0)</f>
        <v>0</v>
      </c>
      <c r="HJ9" t="e">
        <f>AND(Feuil1!A272,"AAAAAF5+X9k=")</f>
        <v>#VALUE!</v>
      </c>
      <c r="HK9" t="e">
        <f>AND(Feuil1!B272,"AAAAAF5+X9o=")</f>
        <v>#VALUE!</v>
      </c>
      <c r="HL9" t="e">
        <f>AND(Feuil1!C272,"AAAAAF5+X9s=")</f>
        <v>#VALUE!</v>
      </c>
      <c r="HM9" t="e">
        <f>AND(Feuil1!D272,"AAAAAF5+X9w=")</f>
        <v>#VALUE!</v>
      </c>
      <c r="HN9" t="e">
        <f>AND(Feuil1!E272,"AAAAAF5+X90=")</f>
        <v>#VALUE!</v>
      </c>
      <c r="HO9">
        <f>IF(Feuil1!273:273,"AAAAAF5+X94=",0)</f>
        <v>0</v>
      </c>
      <c r="HP9" t="e">
        <f>AND(Feuil1!A273,"AAAAAF5+X98=")</f>
        <v>#VALUE!</v>
      </c>
      <c r="HQ9" t="e">
        <f>AND(Feuil1!B273,"AAAAAF5+X+A=")</f>
        <v>#VALUE!</v>
      </c>
      <c r="HR9" t="e">
        <f>AND(Feuil1!C273,"AAAAAF5+X+E=")</f>
        <v>#VALUE!</v>
      </c>
      <c r="HS9" t="e">
        <f>AND(Feuil1!D273,"AAAAAF5+X+I=")</f>
        <v>#VALUE!</v>
      </c>
      <c r="HT9" t="e">
        <f>AND(Feuil1!E273,"AAAAAF5+X+M=")</f>
        <v>#VALUE!</v>
      </c>
      <c r="HU9">
        <f>IF(Feuil1!274:274,"AAAAAF5+X+Q=",0)</f>
        <v>0</v>
      </c>
      <c r="HV9" t="e">
        <f>AND(Feuil1!A274,"AAAAAF5+X+U=")</f>
        <v>#VALUE!</v>
      </c>
      <c r="HW9" t="e">
        <f>AND(Feuil1!B274,"AAAAAF5+X+Y=")</f>
        <v>#VALUE!</v>
      </c>
      <c r="HX9" t="e">
        <f>AND(Feuil1!C274,"AAAAAF5+X+c=")</f>
        <v>#VALUE!</v>
      </c>
      <c r="HY9" t="e">
        <f>AND(Feuil1!D274,"AAAAAF5+X+g=")</f>
        <v>#VALUE!</v>
      </c>
      <c r="HZ9" t="e">
        <f>AND(Feuil1!E274,"AAAAAF5+X+k=")</f>
        <v>#VALUE!</v>
      </c>
      <c r="IA9">
        <f>IF(Feuil1!275:275,"AAAAAF5+X+o=",0)</f>
        <v>0</v>
      </c>
      <c r="IB9" t="e">
        <f>AND(Feuil1!A275,"AAAAAF5+X+s=")</f>
        <v>#VALUE!</v>
      </c>
      <c r="IC9" t="e">
        <f>AND(Feuil1!B275,"AAAAAF5+X+w=")</f>
        <v>#VALUE!</v>
      </c>
      <c r="ID9" t="e">
        <f>AND(Feuil1!C275,"AAAAAF5+X+0=")</f>
        <v>#VALUE!</v>
      </c>
      <c r="IE9" t="e">
        <f>AND(Feuil1!D275,"AAAAAF5+X+4=")</f>
        <v>#VALUE!</v>
      </c>
      <c r="IF9" t="e">
        <f>AND(Feuil1!E275,"AAAAAF5+X+8=")</f>
        <v>#VALUE!</v>
      </c>
      <c r="IG9">
        <f>IF(Feuil1!276:276,"AAAAAF5+X/A=",0)</f>
        <v>0</v>
      </c>
      <c r="IH9" t="e">
        <f>AND(Feuil1!A276,"AAAAAF5+X/E=")</f>
        <v>#VALUE!</v>
      </c>
      <c r="II9" t="e">
        <f>AND(Feuil1!B276,"AAAAAF5+X/I=")</f>
        <v>#VALUE!</v>
      </c>
      <c r="IJ9" t="e">
        <f>AND(Feuil1!C276,"AAAAAF5+X/M=")</f>
        <v>#VALUE!</v>
      </c>
      <c r="IK9" t="e">
        <f>AND(Feuil1!D276,"AAAAAF5+X/Q=")</f>
        <v>#VALUE!</v>
      </c>
      <c r="IL9" t="e">
        <f>AND(Feuil1!E276,"AAAAAF5+X/U=")</f>
        <v>#VALUE!</v>
      </c>
      <c r="IM9">
        <f>IF(Feuil1!277:277,"AAAAAF5+X/Y=",0)</f>
        <v>0</v>
      </c>
      <c r="IN9" t="e">
        <f>AND(Feuil1!A277,"AAAAAF5+X/c=")</f>
        <v>#VALUE!</v>
      </c>
      <c r="IO9" t="e">
        <f>AND(Feuil1!B277,"AAAAAF5+X/g=")</f>
        <v>#VALUE!</v>
      </c>
      <c r="IP9" t="e">
        <f>AND(Feuil1!C277,"AAAAAF5+X/k=")</f>
        <v>#VALUE!</v>
      </c>
      <c r="IQ9" t="e">
        <f>AND(Feuil1!D277,"AAAAAF5+X/o=")</f>
        <v>#VALUE!</v>
      </c>
      <c r="IR9" t="e">
        <f>AND(Feuil1!E277,"AAAAAF5+X/s=")</f>
        <v>#VALUE!</v>
      </c>
      <c r="IS9">
        <f>IF(Feuil1!278:278,"AAAAAF5+X/w=",0)</f>
        <v>0</v>
      </c>
      <c r="IT9" t="e">
        <f>AND(Feuil1!A278,"AAAAAF5+X/0=")</f>
        <v>#VALUE!</v>
      </c>
      <c r="IU9" t="e">
        <f>AND(Feuil1!B278,"AAAAAF5+X/4=")</f>
        <v>#VALUE!</v>
      </c>
      <c r="IV9" t="e">
        <f>AND(Feuil1!C278,"AAAAAF5+X/8=")</f>
        <v>#VALUE!</v>
      </c>
    </row>
    <row r="10" spans="1:256" x14ac:dyDescent="0.25">
      <c r="A10" t="e">
        <f>AND(Feuil1!D278,"AAAAAG/4+wA=")</f>
        <v>#VALUE!</v>
      </c>
      <c r="B10" t="e">
        <f>AND(Feuil1!E278,"AAAAAG/4+wE=")</f>
        <v>#VALUE!</v>
      </c>
      <c r="C10">
        <f>IF(Feuil1!279:279,"AAAAAG/4+wI=",0)</f>
        <v>0</v>
      </c>
      <c r="D10" t="e">
        <f>AND(Feuil1!A279,"AAAAAG/4+wM=")</f>
        <v>#VALUE!</v>
      </c>
      <c r="E10" t="e">
        <f>AND(Feuil1!B279,"AAAAAG/4+wQ=")</f>
        <v>#VALUE!</v>
      </c>
      <c r="F10" t="e">
        <f>AND(Feuil1!C279,"AAAAAG/4+wU=")</f>
        <v>#VALUE!</v>
      </c>
      <c r="G10" t="e">
        <f>AND(Feuil1!D279,"AAAAAG/4+wY=")</f>
        <v>#VALUE!</v>
      </c>
      <c r="H10" t="e">
        <f>AND(Feuil1!E279,"AAAAAG/4+wc=")</f>
        <v>#VALUE!</v>
      </c>
      <c r="I10">
        <f>IF(Feuil1!280:280,"AAAAAG/4+wg=",0)</f>
        <v>0</v>
      </c>
      <c r="J10" t="e">
        <f>AND(Feuil1!A280,"AAAAAG/4+wk=")</f>
        <v>#VALUE!</v>
      </c>
      <c r="K10" t="e">
        <f>AND(Feuil1!B280,"AAAAAG/4+wo=")</f>
        <v>#VALUE!</v>
      </c>
      <c r="L10" t="e">
        <f>AND(Feuil1!C280,"AAAAAG/4+ws=")</f>
        <v>#VALUE!</v>
      </c>
      <c r="M10" t="e">
        <f>AND(Feuil1!D280,"AAAAAG/4+ww=")</f>
        <v>#VALUE!</v>
      </c>
      <c r="N10" t="e">
        <f>AND(Feuil1!E280,"AAAAAG/4+w0=")</f>
        <v>#VALUE!</v>
      </c>
      <c r="O10">
        <f>IF(Feuil1!281:281,"AAAAAG/4+w4=",0)</f>
        <v>0</v>
      </c>
      <c r="P10" t="e">
        <f>AND(Feuil1!A281,"AAAAAG/4+w8=")</f>
        <v>#VALUE!</v>
      </c>
      <c r="Q10" t="e">
        <f>AND(Feuil1!B281,"AAAAAG/4+xA=")</f>
        <v>#VALUE!</v>
      </c>
      <c r="R10" t="e">
        <f>AND(Feuil1!C281,"AAAAAG/4+xE=")</f>
        <v>#VALUE!</v>
      </c>
      <c r="S10" t="e">
        <f>AND(Feuil1!D281,"AAAAAG/4+xI=")</f>
        <v>#VALUE!</v>
      </c>
      <c r="T10" t="e">
        <f>AND(Feuil1!E281,"AAAAAG/4+xM=")</f>
        <v>#VALUE!</v>
      </c>
      <c r="U10">
        <f>IF(Feuil1!282:282,"AAAAAG/4+xQ=",0)</f>
        <v>0</v>
      </c>
      <c r="V10" t="e">
        <f>AND(Feuil1!A282,"AAAAAG/4+xU=")</f>
        <v>#VALUE!</v>
      </c>
      <c r="W10" t="e">
        <f>AND(Feuil1!B282,"AAAAAG/4+xY=")</f>
        <v>#VALUE!</v>
      </c>
      <c r="X10" t="e">
        <f>AND(Feuil1!C282,"AAAAAG/4+xc=")</f>
        <v>#VALUE!</v>
      </c>
      <c r="Y10" t="e">
        <f>AND(Feuil1!D282,"AAAAAG/4+xg=")</f>
        <v>#VALUE!</v>
      </c>
      <c r="Z10" t="e">
        <f>AND(Feuil1!E282,"AAAAAG/4+xk=")</f>
        <v>#VALUE!</v>
      </c>
      <c r="AA10">
        <f>IF(Feuil1!283:283,"AAAAAG/4+xo=",0)</f>
        <v>0</v>
      </c>
      <c r="AB10" t="e">
        <f>AND(Feuil1!A283,"AAAAAG/4+xs=")</f>
        <v>#VALUE!</v>
      </c>
      <c r="AC10" t="e">
        <f>AND(Feuil1!B283,"AAAAAG/4+xw=")</f>
        <v>#VALUE!</v>
      </c>
      <c r="AD10" t="e">
        <f>AND(Feuil1!C283,"AAAAAG/4+x0=")</f>
        <v>#VALUE!</v>
      </c>
      <c r="AE10" t="e">
        <f>AND(Feuil1!D283,"AAAAAG/4+x4=")</f>
        <v>#VALUE!</v>
      </c>
      <c r="AF10" t="e">
        <f>AND(Feuil1!E283,"AAAAAG/4+x8=")</f>
        <v>#VALUE!</v>
      </c>
      <c r="AG10">
        <f>IF(Feuil1!284:284,"AAAAAG/4+yA=",0)</f>
        <v>0</v>
      </c>
      <c r="AH10" t="e">
        <f>AND(Feuil1!A284,"AAAAAG/4+yE=")</f>
        <v>#VALUE!</v>
      </c>
      <c r="AI10" t="e">
        <f>AND(Feuil1!B284,"AAAAAG/4+yI=")</f>
        <v>#VALUE!</v>
      </c>
      <c r="AJ10" t="e">
        <f>AND(Feuil1!C284,"AAAAAG/4+yM=")</f>
        <v>#VALUE!</v>
      </c>
      <c r="AK10" t="e">
        <f>AND(Feuil1!D284,"AAAAAG/4+yQ=")</f>
        <v>#VALUE!</v>
      </c>
      <c r="AL10" t="e">
        <f>AND(Feuil1!E284,"AAAAAG/4+yU=")</f>
        <v>#VALUE!</v>
      </c>
      <c r="AM10">
        <f>IF(Feuil1!285:285,"AAAAAG/4+yY=",0)</f>
        <v>0</v>
      </c>
      <c r="AN10" t="e">
        <f>AND(Feuil1!A285,"AAAAAG/4+yc=")</f>
        <v>#VALUE!</v>
      </c>
      <c r="AO10" t="e">
        <f>AND(Feuil1!B285,"AAAAAG/4+yg=")</f>
        <v>#VALUE!</v>
      </c>
      <c r="AP10" t="e">
        <f>AND(Feuil1!C285,"AAAAAG/4+yk=")</f>
        <v>#VALUE!</v>
      </c>
      <c r="AQ10" t="e">
        <f>AND(Feuil1!D285,"AAAAAG/4+yo=")</f>
        <v>#VALUE!</v>
      </c>
      <c r="AR10" t="e">
        <f>AND(Feuil1!E285,"AAAAAG/4+ys=")</f>
        <v>#VALUE!</v>
      </c>
      <c r="AS10">
        <f>IF(Feuil1!286:286,"AAAAAG/4+yw=",0)</f>
        <v>0</v>
      </c>
      <c r="AT10" t="e">
        <f>AND(Feuil1!A286,"AAAAAG/4+y0=")</f>
        <v>#VALUE!</v>
      </c>
      <c r="AU10" t="e">
        <f>AND(Feuil1!B286,"AAAAAG/4+y4=")</f>
        <v>#VALUE!</v>
      </c>
      <c r="AV10" t="e">
        <f>AND(Feuil1!C286,"AAAAAG/4+y8=")</f>
        <v>#VALUE!</v>
      </c>
      <c r="AW10" t="e">
        <f>AND(Feuil1!D286,"AAAAAG/4+zA=")</f>
        <v>#VALUE!</v>
      </c>
      <c r="AX10" t="e">
        <f>AND(Feuil1!E286,"AAAAAG/4+zE=")</f>
        <v>#VALUE!</v>
      </c>
      <c r="AY10">
        <f>IF(Feuil1!287:287,"AAAAAG/4+zI=",0)</f>
        <v>0</v>
      </c>
      <c r="AZ10" t="e">
        <f>AND(Feuil1!A287,"AAAAAG/4+zM=")</f>
        <v>#VALUE!</v>
      </c>
      <c r="BA10" t="e">
        <f>AND(Feuil1!B287,"AAAAAG/4+zQ=")</f>
        <v>#VALUE!</v>
      </c>
      <c r="BB10" t="e">
        <f>AND(Feuil1!C287,"AAAAAG/4+zU=")</f>
        <v>#VALUE!</v>
      </c>
      <c r="BC10" t="e">
        <f>AND(Feuil1!D287,"AAAAAG/4+zY=")</f>
        <v>#VALUE!</v>
      </c>
      <c r="BD10" t="e">
        <f>AND(Feuil1!E287,"AAAAAG/4+zc=")</f>
        <v>#VALUE!</v>
      </c>
      <c r="BE10">
        <f>IF(Feuil1!288:288,"AAAAAG/4+zg=",0)</f>
        <v>0</v>
      </c>
      <c r="BF10" t="e">
        <f>AND(Feuil1!A288,"AAAAAG/4+zk=")</f>
        <v>#VALUE!</v>
      </c>
      <c r="BG10" t="e">
        <f>AND(Feuil1!B288,"AAAAAG/4+zo=")</f>
        <v>#VALUE!</v>
      </c>
      <c r="BH10" t="e">
        <f>AND(Feuil1!C288,"AAAAAG/4+zs=")</f>
        <v>#VALUE!</v>
      </c>
      <c r="BI10" t="e">
        <f>AND(Feuil1!D288,"AAAAAG/4+zw=")</f>
        <v>#VALUE!</v>
      </c>
      <c r="BJ10" t="e">
        <f>AND(Feuil1!E288,"AAAAAG/4+z0=")</f>
        <v>#VALUE!</v>
      </c>
      <c r="BK10">
        <f>IF(Feuil1!289:289,"AAAAAG/4+z4=",0)</f>
        <v>0</v>
      </c>
      <c r="BL10" t="e">
        <f>AND(Feuil1!A289,"AAAAAG/4+z8=")</f>
        <v>#VALUE!</v>
      </c>
      <c r="BM10" t="e">
        <f>AND(Feuil1!B289,"AAAAAG/4+0A=")</f>
        <v>#VALUE!</v>
      </c>
      <c r="BN10" t="e">
        <f>AND(Feuil1!C289,"AAAAAG/4+0E=")</f>
        <v>#VALUE!</v>
      </c>
      <c r="BO10" t="e">
        <f>AND(Feuil1!D289,"AAAAAG/4+0I=")</f>
        <v>#VALUE!</v>
      </c>
      <c r="BP10" t="e">
        <f>AND(Feuil1!E289,"AAAAAG/4+0M=")</f>
        <v>#VALUE!</v>
      </c>
      <c r="BQ10">
        <f>IF(Feuil1!290:290,"AAAAAG/4+0Q=",0)</f>
        <v>0</v>
      </c>
      <c r="BR10" t="e">
        <f>AND(Feuil1!A290,"AAAAAG/4+0U=")</f>
        <v>#VALUE!</v>
      </c>
      <c r="BS10" t="e">
        <f>AND(Feuil1!B290,"AAAAAG/4+0Y=")</f>
        <v>#VALUE!</v>
      </c>
      <c r="BT10" t="e">
        <f>AND(Feuil1!C290,"AAAAAG/4+0c=")</f>
        <v>#VALUE!</v>
      </c>
      <c r="BU10" t="e">
        <f>AND(Feuil1!D290,"AAAAAG/4+0g=")</f>
        <v>#VALUE!</v>
      </c>
      <c r="BV10" t="e">
        <f>AND(Feuil1!E290,"AAAAAG/4+0k=")</f>
        <v>#VALUE!</v>
      </c>
      <c r="BW10">
        <f>IF(Feuil1!291:291,"AAAAAG/4+0o=",0)</f>
        <v>0</v>
      </c>
      <c r="BX10" t="e">
        <f>AND(Feuil1!A291,"AAAAAG/4+0s=")</f>
        <v>#VALUE!</v>
      </c>
      <c r="BY10" t="e">
        <f>AND(Feuil1!B291,"AAAAAG/4+0w=")</f>
        <v>#VALUE!</v>
      </c>
      <c r="BZ10" t="e">
        <f>AND(Feuil1!C291,"AAAAAG/4+00=")</f>
        <v>#VALUE!</v>
      </c>
      <c r="CA10" t="e">
        <f>AND(Feuil1!D291,"AAAAAG/4+04=")</f>
        <v>#VALUE!</v>
      </c>
      <c r="CB10" t="e">
        <f>AND(Feuil1!E291,"AAAAAG/4+08=")</f>
        <v>#VALUE!</v>
      </c>
      <c r="CC10">
        <f>IF(Feuil1!292:292,"AAAAAG/4+1A=",0)</f>
        <v>0</v>
      </c>
      <c r="CD10" t="e">
        <f>AND(Feuil1!A292,"AAAAAG/4+1E=")</f>
        <v>#VALUE!</v>
      </c>
      <c r="CE10" t="e">
        <f>AND(Feuil1!B292,"AAAAAG/4+1I=")</f>
        <v>#VALUE!</v>
      </c>
      <c r="CF10" t="e">
        <f>AND(Feuil1!C292,"AAAAAG/4+1M=")</f>
        <v>#VALUE!</v>
      </c>
      <c r="CG10" t="e">
        <f>AND(Feuil1!D292,"AAAAAG/4+1Q=")</f>
        <v>#VALUE!</v>
      </c>
      <c r="CH10" t="e">
        <f>AND(Feuil1!E292,"AAAAAG/4+1U=")</f>
        <v>#VALUE!</v>
      </c>
      <c r="CI10">
        <f>IF(Feuil1!293:293,"AAAAAG/4+1Y=",0)</f>
        <v>0</v>
      </c>
      <c r="CJ10" t="e">
        <f>AND(Feuil1!A293,"AAAAAG/4+1c=")</f>
        <v>#VALUE!</v>
      </c>
      <c r="CK10" t="e">
        <f>AND(Feuil1!B293,"AAAAAG/4+1g=")</f>
        <v>#VALUE!</v>
      </c>
      <c r="CL10" t="e">
        <f>AND(Feuil1!C293,"AAAAAG/4+1k=")</f>
        <v>#VALUE!</v>
      </c>
      <c r="CM10" t="e">
        <f>AND(Feuil1!D293,"AAAAAG/4+1o=")</f>
        <v>#VALUE!</v>
      </c>
      <c r="CN10" t="e">
        <f>AND(Feuil1!E293,"AAAAAG/4+1s=")</f>
        <v>#VALUE!</v>
      </c>
      <c r="CO10">
        <f>IF(Feuil1!294:294,"AAAAAG/4+1w=",0)</f>
        <v>0</v>
      </c>
      <c r="CP10" t="e">
        <f>AND(Feuil1!A294,"AAAAAG/4+10=")</f>
        <v>#VALUE!</v>
      </c>
      <c r="CQ10" t="e">
        <f>AND(Feuil1!B294,"AAAAAG/4+14=")</f>
        <v>#VALUE!</v>
      </c>
      <c r="CR10" t="e">
        <f>AND(Feuil1!C294,"AAAAAG/4+18=")</f>
        <v>#VALUE!</v>
      </c>
      <c r="CS10" t="e">
        <f>AND(Feuil1!D294,"AAAAAG/4+2A=")</f>
        <v>#VALUE!</v>
      </c>
      <c r="CT10" t="e">
        <f>AND(Feuil1!E294,"AAAAAG/4+2E=")</f>
        <v>#VALUE!</v>
      </c>
      <c r="CU10">
        <f>IF(Feuil1!295:295,"AAAAAG/4+2I=",0)</f>
        <v>0</v>
      </c>
      <c r="CV10" t="e">
        <f>AND(Feuil1!A295,"AAAAAG/4+2M=")</f>
        <v>#VALUE!</v>
      </c>
      <c r="CW10" t="e">
        <f>AND(Feuil1!B295,"AAAAAG/4+2Q=")</f>
        <v>#VALUE!</v>
      </c>
      <c r="CX10" t="e">
        <f>AND(Feuil1!C295,"AAAAAG/4+2U=")</f>
        <v>#VALUE!</v>
      </c>
      <c r="CY10" t="e">
        <f>AND(Feuil1!D295,"AAAAAG/4+2Y=")</f>
        <v>#VALUE!</v>
      </c>
      <c r="CZ10" t="e">
        <f>AND(Feuil1!E295,"AAAAAG/4+2c=")</f>
        <v>#VALUE!</v>
      </c>
      <c r="DA10">
        <f>IF(Feuil1!296:296,"AAAAAG/4+2g=",0)</f>
        <v>0</v>
      </c>
      <c r="DB10" t="e">
        <f>AND(Feuil1!A296,"AAAAAG/4+2k=")</f>
        <v>#VALUE!</v>
      </c>
      <c r="DC10" t="e">
        <f>AND(Feuil1!B296,"AAAAAG/4+2o=")</f>
        <v>#VALUE!</v>
      </c>
      <c r="DD10" t="e">
        <f>AND(Feuil1!C296,"AAAAAG/4+2s=")</f>
        <v>#VALUE!</v>
      </c>
      <c r="DE10" t="e">
        <f>AND(Feuil1!D296,"AAAAAG/4+2w=")</f>
        <v>#VALUE!</v>
      </c>
      <c r="DF10" t="e">
        <f>AND(Feuil1!E296,"AAAAAG/4+20=")</f>
        <v>#VALUE!</v>
      </c>
      <c r="DG10">
        <f>IF(Feuil1!297:297,"AAAAAG/4+24=",0)</f>
        <v>0</v>
      </c>
      <c r="DH10" t="e">
        <f>AND(Feuil1!A297,"AAAAAG/4+28=")</f>
        <v>#VALUE!</v>
      </c>
      <c r="DI10" t="e">
        <f>AND(Feuil1!B297,"AAAAAG/4+3A=")</f>
        <v>#VALUE!</v>
      </c>
      <c r="DJ10" t="e">
        <f>AND(Feuil1!C297,"AAAAAG/4+3E=")</f>
        <v>#VALUE!</v>
      </c>
      <c r="DK10" t="e">
        <f>AND(Feuil1!D297,"AAAAAG/4+3I=")</f>
        <v>#VALUE!</v>
      </c>
      <c r="DL10" t="e">
        <f>AND(Feuil1!E297,"AAAAAG/4+3M=")</f>
        <v>#VALUE!</v>
      </c>
      <c r="DM10">
        <f>IF(Feuil1!298:298,"AAAAAG/4+3Q=",0)</f>
        <v>0</v>
      </c>
      <c r="DN10" t="e">
        <f>AND(Feuil1!A298,"AAAAAG/4+3U=")</f>
        <v>#VALUE!</v>
      </c>
      <c r="DO10" t="e">
        <f>AND(Feuil1!B298,"AAAAAG/4+3Y=")</f>
        <v>#VALUE!</v>
      </c>
      <c r="DP10" t="e">
        <f>AND(Feuil1!C298,"AAAAAG/4+3c=")</f>
        <v>#VALUE!</v>
      </c>
      <c r="DQ10" t="e">
        <f>AND(Feuil1!D298,"AAAAAG/4+3g=")</f>
        <v>#VALUE!</v>
      </c>
      <c r="DR10" t="e">
        <f>AND(Feuil1!E298,"AAAAAG/4+3k=")</f>
        <v>#VALUE!</v>
      </c>
      <c r="DS10">
        <f>IF(Feuil1!299:299,"AAAAAG/4+3o=",0)</f>
        <v>0</v>
      </c>
      <c r="DT10" t="e">
        <f>AND(Feuil1!A299,"AAAAAG/4+3s=")</f>
        <v>#VALUE!</v>
      </c>
      <c r="DU10" t="e">
        <f>AND(Feuil1!B299,"AAAAAG/4+3w=")</f>
        <v>#VALUE!</v>
      </c>
      <c r="DV10" t="e">
        <f>AND(Feuil1!C299,"AAAAAG/4+30=")</f>
        <v>#VALUE!</v>
      </c>
      <c r="DW10" t="e">
        <f>AND(Feuil1!D299,"AAAAAG/4+34=")</f>
        <v>#VALUE!</v>
      </c>
      <c r="DX10" t="e">
        <f>AND(Feuil1!E299,"AAAAAG/4+38=")</f>
        <v>#VALUE!</v>
      </c>
      <c r="DY10">
        <f>IF(Feuil1!300:300,"AAAAAG/4+4A=",0)</f>
        <v>0</v>
      </c>
      <c r="DZ10" t="e">
        <f>AND(Feuil1!A300,"AAAAAG/4+4E=")</f>
        <v>#VALUE!</v>
      </c>
      <c r="EA10" t="e">
        <f>AND(Feuil1!B300,"AAAAAG/4+4I=")</f>
        <v>#VALUE!</v>
      </c>
      <c r="EB10" t="e">
        <f>AND(Feuil1!C300,"AAAAAG/4+4M=")</f>
        <v>#VALUE!</v>
      </c>
      <c r="EC10" t="e">
        <f>AND(Feuil1!D300,"AAAAAG/4+4Q=")</f>
        <v>#VALUE!</v>
      </c>
      <c r="ED10" t="e">
        <f>AND(Feuil1!E300,"AAAAAG/4+4U=")</f>
        <v>#VALUE!</v>
      </c>
      <c r="EE10">
        <f>IF(Feuil1!301:301,"AAAAAG/4+4Y=",0)</f>
        <v>0</v>
      </c>
      <c r="EF10" t="e">
        <f>AND(Feuil1!A301,"AAAAAG/4+4c=")</f>
        <v>#VALUE!</v>
      </c>
      <c r="EG10" t="e">
        <f>AND(Feuil1!B301,"AAAAAG/4+4g=")</f>
        <v>#VALUE!</v>
      </c>
      <c r="EH10" t="e">
        <f>AND(Feuil1!C301,"AAAAAG/4+4k=")</f>
        <v>#VALUE!</v>
      </c>
      <c r="EI10" t="e">
        <f>AND(Feuil1!D301,"AAAAAG/4+4o=")</f>
        <v>#VALUE!</v>
      </c>
      <c r="EJ10" t="e">
        <f>AND(Feuil1!E301,"AAAAAG/4+4s=")</f>
        <v>#VALUE!</v>
      </c>
      <c r="EK10">
        <f>IF(Feuil1!302:302,"AAAAAG/4+4w=",0)</f>
        <v>0</v>
      </c>
      <c r="EL10" t="e">
        <f>AND(Feuil1!A302,"AAAAAG/4+40=")</f>
        <v>#VALUE!</v>
      </c>
      <c r="EM10" t="e">
        <f>AND(Feuil1!B302,"AAAAAG/4+44=")</f>
        <v>#VALUE!</v>
      </c>
      <c r="EN10" t="e">
        <f>AND(Feuil1!C302,"AAAAAG/4+48=")</f>
        <v>#VALUE!</v>
      </c>
      <c r="EO10" t="e">
        <f>AND(Feuil1!D302,"AAAAAG/4+5A=")</f>
        <v>#VALUE!</v>
      </c>
      <c r="EP10" t="e">
        <f>AND(Feuil1!E302,"AAAAAG/4+5E=")</f>
        <v>#VALUE!</v>
      </c>
      <c r="EQ10">
        <f>IF(Feuil1!303:303,"AAAAAG/4+5I=",0)</f>
        <v>0</v>
      </c>
      <c r="ER10" t="e">
        <f>AND(Feuil1!A303,"AAAAAG/4+5M=")</f>
        <v>#VALUE!</v>
      </c>
      <c r="ES10" t="e">
        <f>AND(Feuil1!B303,"AAAAAG/4+5Q=")</f>
        <v>#VALUE!</v>
      </c>
      <c r="ET10" t="e">
        <f>AND(Feuil1!C303,"AAAAAG/4+5U=")</f>
        <v>#VALUE!</v>
      </c>
      <c r="EU10" t="e">
        <f>AND(Feuil1!D303,"AAAAAG/4+5Y=")</f>
        <v>#VALUE!</v>
      </c>
      <c r="EV10" t="e">
        <f>AND(Feuil1!E303,"AAAAAG/4+5c=")</f>
        <v>#VALUE!</v>
      </c>
      <c r="EW10">
        <f>IF(Feuil1!304:304,"AAAAAG/4+5g=",0)</f>
        <v>0</v>
      </c>
      <c r="EX10" t="e">
        <f>AND(Feuil1!A304,"AAAAAG/4+5k=")</f>
        <v>#VALUE!</v>
      </c>
      <c r="EY10" t="e">
        <f>AND(Feuil1!B304,"AAAAAG/4+5o=")</f>
        <v>#VALUE!</v>
      </c>
      <c r="EZ10" t="e">
        <f>AND(Feuil1!C304,"AAAAAG/4+5s=")</f>
        <v>#VALUE!</v>
      </c>
      <c r="FA10" t="e">
        <f>AND(Feuil1!D304,"AAAAAG/4+5w=")</f>
        <v>#VALUE!</v>
      </c>
      <c r="FB10" t="e">
        <f>AND(Feuil1!E304,"AAAAAG/4+50=")</f>
        <v>#VALUE!</v>
      </c>
      <c r="FC10">
        <f>IF(Feuil1!305:305,"AAAAAG/4+54=",0)</f>
        <v>0</v>
      </c>
      <c r="FD10" t="e">
        <f>AND(Feuil1!A305,"AAAAAG/4+58=")</f>
        <v>#VALUE!</v>
      </c>
      <c r="FE10" t="e">
        <f>AND(Feuil1!B305,"AAAAAG/4+6A=")</f>
        <v>#VALUE!</v>
      </c>
      <c r="FF10" t="e">
        <f>AND(Feuil1!C305,"AAAAAG/4+6E=")</f>
        <v>#VALUE!</v>
      </c>
      <c r="FG10" t="e">
        <f>AND(Feuil1!D305,"AAAAAG/4+6I=")</f>
        <v>#VALUE!</v>
      </c>
      <c r="FH10" t="e">
        <f>AND(Feuil1!E305,"AAAAAG/4+6M=")</f>
        <v>#VALUE!</v>
      </c>
      <c r="FI10">
        <f>IF(Feuil1!306:306,"AAAAAG/4+6Q=",0)</f>
        <v>0</v>
      </c>
      <c r="FJ10" t="e">
        <f>AND(Feuil1!A306,"AAAAAG/4+6U=")</f>
        <v>#VALUE!</v>
      </c>
      <c r="FK10" t="e">
        <f>AND(Feuil1!B306,"AAAAAG/4+6Y=")</f>
        <v>#VALUE!</v>
      </c>
      <c r="FL10" t="e">
        <f>AND(Feuil1!C306,"AAAAAG/4+6c=")</f>
        <v>#VALUE!</v>
      </c>
      <c r="FM10" t="e">
        <f>AND(Feuil1!D306,"AAAAAG/4+6g=")</f>
        <v>#VALUE!</v>
      </c>
      <c r="FN10" t="e">
        <f>AND(Feuil1!E306,"AAAAAG/4+6k=")</f>
        <v>#VALUE!</v>
      </c>
      <c r="FO10">
        <f>IF(Feuil1!307:307,"AAAAAG/4+6o=",0)</f>
        <v>0</v>
      </c>
      <c r="FP10" t="e">
        <f>AND(Feuil1!A307,"AAAAAG/4+6s=")</f>
        <v>#VALUE!</v>
      </c>
      <c r="FQ10" t="e">
        <f>AND(Feuil1!B307,"AAAAAG/4+6w=")</f>
        <v>#VALUE!</v>
      </c>
      <c r="FR10" t="e">
        <f>AND(Feuil1!C307,"AAAAAG/4+60=")</f>
        <v>#VALUE!</v>
      </c>
      <c r="FS10" t="e">
        <f>AND(Feuil1!D307,"AAAAAG/4+64=")</f>
        <v>#VALUE!</v>
      </c>
      <c r="FT10" t="e">
        <f>AND(Feuil1!E307,"AAAAAG/4+68=")</f>
        <v>#VALUE!</v>
      </c>
      <c r="FU10">
        <f>IF(Feuil1!308:308,"AAAAAG/4+7A=",0)</f>
        <v>0</v>
      </c>
      <c r="FV10" t="e">
        <f>AND(Feuil1!A308,"AAAAAG/4+7E=")</f>
        <v>#VALUE!</v>
      </c>
      <c r="FW10" t="e">
        <f>AND(Feuil1!B308,"AAAAAG/4+7I=")</f>
        <v>#VALUE!</v>
      </c>
      <c r="FX10" t="e">
        <f>AND(Feuil1!C308,"AAAAAG/4+7M=")</f>
        <v>#VALUE!</v>
      </c>
      <c r="FY10" t="e">
        <f>AND(Feuil1!D308,"AAAAAG/4+7Q=")</f>
        <v>#VALUE!</v>
      </c>
      <c r="FZ10" t="e">
        <f>AND(Feuil1!E308,"AAAAAG/4+7U=")</f>
        <v>#VALUE!</v>
      </c>
      <c r="GA10">
        <f>IF(Feuil1!309:309,"AAAAAG/4+7Y=",0)</f>
        <v>0</v>
      </c>
      <c r="GB10" t="e">
        <f>AND(Feuil1!A309,"AAAAAG/4+7c=")</f>
        <v>#VALUE!</v>
      </c>
      <c r="GC10" t="e">
        <f>AND(Feuil1!B309,"AAAAAG/4+7g=")</f>
        <v>#VALUE!</v>
      </c>
      <c r="GD10" t="e">
        <f>AND(Feuil1!C309,"AAAAAG/4+7k=")</f>
        <v>#VALUE!</v>
      </c>
      <c r="GE10" t="e">
        <f>AND(Feuil1!D309,"AAAAAG/4+7o=")</f>
        <v>#VALUE!</v>
      </c>
      <c r="GF10" t="e">
        <f>AND(Feuil1!E309,"AAAAAG/4+7s=")</f>
        <v>#VALUE!</v>
      </c>
      <c r="GG10">
        <f>IF(Feuil1!310:310,"AAAAAG/4+7w=",0)</f>
        <v>0</v>
      </c>
      <c r="GH10" t="e">
        <f>AND(Feuil1!A310,"AAAAAG/4+70=")</f>
        <v>#VALUE!</v>
      </c>
      <c r="GI10" t="e">
        <f>AND(Feuil1!B310,"AAAAAG/4+74=")</f>
        <v>#VALUE!</v>
      </c>
      <c r="GJ10" t="e">
        <f>AND(Feuil1!C310,"AAAAAG/4+78=")</f>
        <v>#VALUE!</v>
      </c>
      <c r="GK10" t="e">
        <f>AND(Feuil1!D310,"AAAAAG/4+8A=")</f>
        <v>#VALUE!</v>
      </c>
      <c r="GL10" t="e">
        <f>AND(Feuil1!E310,"AAAAAG/4+8E=")</f>
        <v>#VALUE!</v>
      </c>
      <c r="GM10">
        <f>IF(Feuil1!311:311,"AAAAAG/4+8I=",0)</f>
        <v>0</v>
      </c>
      <c r="GN10" t="e">
        <f>AND(Feuil1!A311,"AAAAAG/4+8M=")</f>
        <v>#VALUE!</v>
      </c>
      <c r="GO10" t="e">
        <f>AND(Feuil1!B311,"AAAAAG/4+8Q=")</f>
        <v>#VALUE!</v>
      </c>
      <c r="GP10" t="e">
        <f>AND(Feuil1!C311,"AAAAAG/4+8U=")</f>
        <v>#VALUE!</v>
      </c>
      <c r="GQ10" t="e">
        <f>AND(Feuil1!D311,"AAAAAG/4+8Y=")</f>
        <v>#VALUE!</v>
      </c>
      <c r="GR10" t="e">
        <f>AND(Feuil1!E311,"AAAAAG/4+8c=")</f>
        <v>#VALUE!</v>
      </c>
      <c r="GS10">
        <f>IF(Feuil1!312:312,"AAAAAG/4+8g=",0)</f>
        <v>0</v>
      </c>
      <c r="GT10" t="e">
        <f>AND(Feuil1!A312,"AAAAAG/4+8k=")</f>
        <v>#VALUE!</v>
      </c>
      <c r="GU10" t="e">
        <f>AND(Feuil1!B312,"AAAAAG/4+8o=")</f>
        <v>#VALUE!</v>
      </c>
      <c r="GV10" t="e">
        <f>AND(Feuil1!C312,"AAAAAG/4+8s=")</f>
        <v>#VALUE!</v>
      </c>
      <c r="GW10" t="e">
        <f>AND(Feuil1!D312,"AAAAAG/4+8w=")</f>
        <v>#VALUE!</v>
      </c>
      <c r="GX10" t="e">
        <f>AND(Feuil1!E312,"AAAAAG/4+80=")</f>
        <v>#VALUE!</v>
      </c>
      <c r="GY10">
        <f>IF(Feuil1!313:313,"AAAAAG/4+84=",0)</f>
        <v>0</v>
      </c>
      <c r="GZ10" t="e">
        <f>AND(Feuil1!A313,"AAAAAG/4+88=")</f>
        <v>#VALUE!</v>
      </c>
      <c r="HA10" t="e">
        <f>AND(Feuil1!B313,"AAAAAG/4+9A=")</f>
        <v>#VALUE!</v>
      </c>
      <c r="HB10" t="e">
        <f>AND(Feuil1!C313,"AAAAAG/4+9E=")</f>
        <v>#VALUE!</v>
      </c>
      <c r="HC10" t="e">
        <f>AND(Feuil1!D313,"AAAAAG/4+9I=")</f>
        <v>#VALUE!</v>
      </c>
      <c r="HD10" t="e">
        <f>AND(Feuil1!E313,"AAAAAG/4+9M=")</f>
        <v>#VALUE!</v>
      </c>
      <c r="HE10">
        <f>IF(Feuil1!314:314,"AAAAAG/4+9Q=",0)</f>
        <v>0</v>
      </c>
      <c r="HF10" t="e">
        <f>AND(Feuil1!A314,"AAAAAG/4+9U=")</f>
        <v>#VALUE!</v>
      </c>
      <c r="HG10" t="e">
        <f>AND(Feuil1!B314,"AAAAAG/4+9Y=")</f>
        <v>#VALUE!</v>
      </c>
      <c r="HH10" t="e">
        <f>AND(Feuil1!C314,"AAAAAG/4+9c=")</f>
        <v>#VALUE!</v>
      </c>
      <c r="HI10" t="e">
        <f>AND(Feuil1!D314,"AAAAAG/4+9g=")</f>
        <v>#VALUE!</v>
      </c>
      <c r="HJ10" t="e">
        <f>AND(Feuil1!E314,"AAAAAG/4+9k=")</f>
        <v>#VALUE!</v>
      </c>
      <c r="HK10">
        <f>IF(Feuil1!315:315,"AAAAAG/4+9o=",0)</f>
        <v>0</v>
      </c>
      <c r="HL10" t="e">
        <f>AND(Feuil1!A315,"AAAAAG/4+9s=")</f>
        <v>#VALUE!</v>
      </c>
      <c r="HM10" t="e">
        <f>AND(Feuil1!B315,"AAAAAG/4+9w=")</f>
        <v>#VALUE!</v>
      </c>
      <c r="HN10" t="e">
        <f>AND(Feuil1!C315,"AAAAAG/4+90=")</f>
        <v>#VALUE!</v>
      </c>
      <c r="HO10" t="e">
        <f>AND(Feuil1!D315,"AAAAAG/4+94=")</f>
        <v>#VALUE!</v>
      </c>
      <c r="HP10" t="e">
        <f>AND(Feuil1!E315,"AAAAAG/4+98=")</f>
        <v>#VALUE!</v>
      </c>
      <c r="HQ10">
        <f>IF(Feuil1!316:316,"AAAAAG/4++A=",0)</f>
        <v>0</v>
      </c>
      <c r="HR10" t="e">
        <f>AND(Feuil1!A316,"AAAAAG/4++E=")</f>
        <v>#VALUE!</v>
      </c>
      <c r="HS10" t="e">
        <f>AND(Feuil1!B316,"AAAAAG/4++I=")</f>
        <v>#VALUE!</v>
      </c>
      <c r="HT10" t="e">
        <f>AND(Feuil1!C316,"AAAAAG/4++M=")</f>
        <v>#VALUE!</v>
      </c>
      <c r="HU10" t="e">
        <f>AND(Feuil1!D316,"AAAAAG/4++Q=")</f>
        <v>#VALUE!</v>
      </c>
      <c r="HV10" t="e">
        <f>AND(Feuil1!E316,"AAAAAG/4++U=")</f>
        <v>#VALUE!</v>
      </c>
      <c r="HW10">
        <f>IF(Feuil1!317:317,"AAAAAG/4++Y=",0)</f>
        <v>0</v>
      </c>
      <c r="HX10" t="e">
        <f>AND(Feuil1!A317,"AAAAAG/4++c=")</f>
        <v>#VALUE!</v>
      </c>
      <c r="HY10" t="e">
        <f>AND(Feuil1!B317,"AAAAAG/4++g=")</f>
        <v>#VALUE!</v>
      </c>
      <c r="HZ10" t="e">
        <f>AND(Feuil1!C317,"AAAAAG/4++k=")</f>
        <v>#VALUE!</v>
      </c>
      <c r="IA10" t="e">
        <f>AND(Feuil1!D317,"AAAAAG/4++o=")</f>
        <v>#VALUE!</v>
      </c>
      <c r="IB10" t="e">
        <f>AND(Feuil1!E317,"AAAAAG/4++s=")</f>
        <v>#VALUE!</v>
      </c>
      <c r="IC10">
        <f>IF(Feuil1!318:318,"AAAAAG/4++w=",0)</f>
        <v>0</v>
      </c>
      <c r="ID10" t="e">
        <f>AND(Feuil1!A318,"AAAAAG/4++0=")</f>
        <v>#VALUE!</v>
      </c>
      <c r="IE10" t="e">
        <f>AND(Feuil1!B318,"AAAAAG/4++4=")</f>
        <v>#VALUE!</v>
      </c>
      <c r="IF10" t="e">
        <f>AND(Feuil1!C318,"AAAAAG/4++8=")</f>
        <v>#VALUE!</v>
      </c>
      <c r="IG10" t="e">
        <f>AND(Feuil1!D318,"AAAAAG/4+/A=")</f>
        <v>#VALUE!</v>
      </c>
      <c r="IH10" t="e">
        <f>AND(Feuil1!E318,"AAAAAG/4+/E=")</f>
        <v>#VALUE!</v>
      </c>
      <c r="II10">
        <f>IF(Feuil1!319:319,"AAAAAG/4+/I=",0)</f>
        <v>0</v>
      </c>
      <c r="IJ10" t="e">
        <f>AND(Feuil1!A319,"AAAAAG/4+/M=")</f>
        <v>#VALUE!</v>
      </c>
      <c r="IK10" t="e">
        <f>AND(Feuil1!B319,"AAAAAG/4+/Q=")</f>
        <v>#VALUE!</v>
      </c>
      <c r="IL10" t="e">
        <f>AND(Feuil1!C319,"AAAAAG/4+/U=")</f>
        <v>#VALUE!</v>
      </c>
      <c r="IM10" t="e">
        <f>AND(Feuil1!D319,"AAAAAG/4+/Y=")</f>
        <v>#VALUE!</v>
      </c>
      <c r="IN10" t="e">
        <f>AND(Feuil1!E319,"AAAAAG/4+/c=")</f>
        <v>#VALUE!</v>
      </c>
      <c r="IO10">
        <f>IF(Feuil1!320:320,"AAAAAG/4+/g=",0)</f>
        <v>0</v>
      </c>
      <c r="IP10" t="e">
        <f>AND(Feuil1!A320,"AAAAAG/4+/k=")</f>
        <v>#VALUE!</v>
      </c>
      <c r="IQ10" t="e">
        <f>AND(Feuil1!B320,"AAAAAG/4+/o=")</f>
        <v>#VALUE!</v>
      </c>
      <c r="IR10" t="e">
        <f>AND(Feuil1!C320,"AAAAAG/4+/s=")</f>
        <v>#VALUE!</v>
      </c>
      <c r="IS10" t="e">
        <f>AND(Feuil1!D320,"AAAAAG/4+/w=")</f>
        <v>#VALUE!</v>
      </c>
      <c r="IT10" t="e">
        <f>AND(Feuil1!E320,"AAAAAG/4+/0=")</f>
        <v>#VALUE!</v>
      </c>
      <c r="IU10">
        <f>IF(Feuil1!321:321,"AAAAAG/4+/4=",0)</f>
        <v>0</v>
      </c>
      <c r="IV10" t="e">
        <f>AND(Feuil1!A321,"AAAAAG/4+/8=")</f>
        <v>#VALUE!</v>
      </c>
    </row>
    <row r="11" spans="1:256" x14ac:dyDescent="0.25">
      <c r="A11" t="e">
        <f>AND(Feuil1!B321,"AAAAAH/T4wA=")</f>
        <v>#VALUE!</v>
      </c>
      <c r="B11" t="e">
        <f>AND(Feuil1!C321,"AAAAAH/T4wE=")</f>
        <v>#VALUE!</v>
      </c>
      <c r="C11" t="e">
        <f>AND(Feuil1!D321,"AAAAAH/T4wI=")</f>
        <v>#VALUE!</v>
      </c>
      <c r="D11" t="e">
        <f>AND(Feuil1!E321,"AAAAAH/T4wM=")</f>
        <v>#VALUE!</v>
      </c>
      <c r="E11">
        <f>IF(Feuil1!322:322,"AAAAAH/T4wQ=",0)</f>
        <v>0</v>
      </c>
      <c r="F11" t="e">
        <f>AND(Feuil1!A322,"AAAAAH/T4wU=")</f>
        <v>#VALUE!</v>
      </c>
      <c r="G11" t="e">
        <f>AND(Feuil1!B322,"AAAAAH/T4wY=")</f>
        <v>#VALUE!</v>
      </c>
      <c r="H11" t="e">
        <f>AND(Feuil1!C322,"AAAAAH/T4wc=")</f>
        <v>#VALUE!</v>
      </c>
      <c r="I11" t="e">
        <f>AND(Feuil1!D322,"AAAAAH/T4wg=")</f>
        <v>#VALUE!</v>
      </c>
      <c r="J11" t="e">
        <f>AND(Feuil1!E322,"AAAAAH/T4wk=")</f>
        <v>#VALUE!</v>
      </c>
      <c r="K11">
        <f>IF(Feuil1!323:323,"AAAAAH/T4wo=",0)</f>
        <v>0</v>
      </c>
      <c r="L11" t="e">
        <f>AND(Feuil1!A323,"AAAAAH/T4ws=")</f>
        <v>#VALUE!</v>
      </c>
      <c r="M11" t="e">
        <f>AND(Feuil1!B323,"AAAAAH/T4ww=")</f>
        <v>#VALUE!</v>
      </c>
      <c r="N11" t="e">
        <f>AND(Feuil1!C323,"AAAAAH/T4w0=")</f>
        <v>#VALUE!</v>
      </c>
      <c r="O11" t="e">
        <f>AND(Feuil1!D323,"AAAAAH/T4w4=")</f>
        <v>#VALUE!</v>
      </c>
      <c r="P11" t="e">
        <f>AND(Feuil1!E323,"AAAAAH/T4w8=")</f>
        <v>#VALUE!</v>
      </c>
      <c r="Q11">
        <f>IF(Feuil1!324:324,"AAAAAH/T4xA=",0)</f>
        <v>0</v>
      </c>
      <c r="R11" t="e">
        <f>AND(Feuil1!A324,"AAAAAH/T4xE=")</f>
        <v>#VALUE!</v>
      </c>
      <c r="S11" t="e">
        <f>AND(Feuil1!B324,"AAAAAH/T4xI=")</f>
        <v>#VALUE!</v>
      </c>
      <c r="T11" t="e">
        <f>AND(Feuil1!C324,"AAAAAH/T4xM=")</f>
        <v>#VALUE!</v>
      </c>
      <c r="U11" t="e">
        <f>AND(Feuil1!D324,"AAAAAH/T4xQ=")</f>
        <v>#VALUE!</v>
      </c>
      <c r="V11" t="e">
        <f>AND(Feuil1!E324,"AAAAAH/T4xU=")</f>
        <v>#VALUE!</v>
      </c>
      <c r="W11">
        <f>IF(Feuil1!325:325,"AAAAAH/T4xY=",0)</f>
        <v>0</v>
      </c>
      <c r="X11" t="e">
        <f>AND(Feuil1!A325,"AAAAAH/T4xc=")</f>
        <v>#VALUE!</v>
      </c>
      <c r="Y11" t="e">
        <f>AND(Feuil1!B325,"AAAAAH/T4xg=")</f>
        <v>#VALUE!</v>
      </c>
      <c r="Z11" t="e">
        <f>AND(Feuil1!C325,"AAAAAH/T4xk=")</f>
        <v>#VALUE!</v>
      </c>
      <c r="AA11" t="e">
        <f>AND(Feuil1!D325,"AAAAAH/T4xo=")</f>
        <v>#VALUE!</v>
      </c>
      <c r="AB11" t="e">
        <f>AND(Feuil1!E325,"AAAAAH/T4xs=")</f>
        <v>#VALUE!</v>
      </c>
      <c r="AC11">
        <f>IF(Feuil1!326:326,"AAAAAH/T4xw=",0)</f>
        <v>0</v>
      </c>
      <c r="AD11" t="e">
        <f>AND(Feuil1!A326,"AAAAAH/T4x0=")</f>
        <v>#VALUE!</v>
      </c>
      <c r="AE11" t="e">
        <f>AND(Feuil1!B326,"AAAAAH/T4x4=")</f>
        <v>#VALUE!</v>
      </c>
      <c r="AF11" t="e">
        <f>AND(Feuil1!C326,"AAAAAH/T4x8=")</f>
        <v>#VALUE!</v>
      </c>
      <c r="AG11" t="e">
        <f>AND(Feuil1!D326,"AAAAAH/T4yA=")</f>
        <v>#VALUE!</v>
      </c>
      <c r="AH11" t="e">
        <f>AND(Feuil1!E326,"AAAAAH/T4yE=")</f>
        <v>#VALUE!</v>
      </c>
      <c r="AI11">
        <f>IF(Feuil1!327:327,"AAAAAH/T4yI=",0)</f>
        <v>0</v>
      </c>
      <c r="AJ11" t="e">
        <f>AND(Feuil1!A327,"AAAAAH/T4yM=")</f>
        <v>#VALUE!</v>
      </c>
      <c r="AK11" t="e">
        <f>AND(Feuil1!B327,"AAAAAH/T4yQ=")</f>
        <v>#VALUE!</v>
      </c>
      <c r="AL11" t="e">
        <f>AND(Feuil1!C327,"AAAAAH/T4yU=")</f>
        <v>#VALUE!</v>
      </c>
      <c r="AM11" t="e">
        <f>AND(Feuil1!D327,"AAAAAH/T4yY=")</f>
        <v>#VALUE!</v>
      </c>
      <c r="AN11" t="e">
        <f>AND(Feuil1!E327,"AAAAAH/T4yc=")</f>
        <v>#VALUE!</v>
      </c>
      <c r="AO11">
        <f>IF(Feuil1!328:328,"AAAAAH/T4yg=",0)</f>
        <v>0</v>
      </c>
      <c r="AP11" t="e">
        <f>AND(Feuil1!A328,"AAAAAH/T4yk=")</f>
        <v>#VALUE!</v>
      </c>
      <c r="AQ11" t="e">
        <f>AND(Feuil1!B328,"AAAAAH/T4yo=")</f>
        <v>#VALUE!</v>
      </c>
      <c r="AR11" t="e">
        <f>AND(Feuil1!C328,"AAAAAH/T4ys=")</f>
        <v>#VALUE!</v>
      </c>
      <c r="AS11" t="e">
        <f>AND(Feuil1!D328,"AAAAAH/T4yw=")</f>
        <v>#VALUE!</v>
      </c>
      <c r="AT11" t="e">
        <f>AND(Feuil1!E328,"AAAAAH/T4y0=")</f>
        <v>#VALUE!</v>
      </c>
      <c r="AU11">
        <f>IF(Feuil1!329:329,"AAAAAH/T4y4=",0)</f>
        <v>0</v>
      </c>
      <c r="AV11" t="e">
        <f>AND(Feuil1!A329,"AAAAAH/T4y8=")</f>
        <v>#VALUE!</v>
      </c>
      <c r="AW11" t="e">
        <f>AND(Feuil1!B329,"AAAAAH/T4zA=")</f>
        <v>#VALUE!</v>
      </c>
      <c r="AX11" t="e">
        <f>AND(Feuil1!C329,"AAAAAH/T4zE=")</f>
        <v>#VALUE!</v>
      </c>
      <c r="AY11" t="e">
        <f>AND(Feuil1!D329,"AAAAAH/T4zI=")</f>
        <v>#VALUE!</v>
      </c>
      <c r="AZ11" t="e">
        <f>AND(Feuil1!E329,"AAAAAH/T4zM=")</f>
        <v>#VALUE!</v>
      </c>
      <c r="BA11">
        <f>IF(Feuil1!330:330,"AAAAAH/T4zQ=",0)</f>
        <v>0</v>
      </c>
      <c r="BB11" t="e">
        <f>AND(Feuil1!A330,"AAAAAH/T4zU=")</f>
        <v>#VALUE!</v>
      </c>
      <c r="BC11" t="e">
        <f>AND(Feuil1!B330,"AAAAAH/T4zY=")</f>
        <v>#VALUE!</v>
      </c>
      <c r="BD11" t="e">
        <f>AND(Feuil1!C330,"AAAAAH/T4zc=")</f>
        <v>#VALUE!</v>
      </c>
      <c r="BE11" t="e">
        <f>AND(Feuil1!D330,"AAAAAH/T4zg=")</f>
        <v>#VALUE!</v>
      </c>
      <c r="BF11" t="e">
        <f>AND(Feuil1!E330,"AAAAAH/T4zk=")</f>
        <v>#VALUE!</v>
      </c>
      <c r="BG11">
        <f>IF(Feuil1!331:331,"AAAAAH/T4zo=",0)</f>
        <v>0</v>
      </c>
      <c r="BH11" t="e">
        <f>AND(Feuil1!A331,"AAAAAH/T4zs=")</f>
        <v>#VALUE!</v>
      </c>
      <c r="BI11" t="e">
        <f>AND(Feuil1!B331,"AAAAAH/T4zw=")</f>
        <v>#VALUE!</v>
      </c>
      <c r="BJ11" t="e">
        <f>AND(Feuil1!C331,"AAAAAH/T4z0=")</f>
        <v>#VALUE!</v>
      </c>
      <c r="BK11" t="e">
        <f>AND(Feuil1!D331,"AAAAAH/T4z4=")</f>
        <v>#VALUE!</v>
      </c>
      <c r="BL11" t="e">
        <f>AND(Feuil1!E331,"AAAAAH/T4z8=")</f>
        <v>#VALUE!</v>
      </c>
      <c r="BM11">
        <f>IF(Feuil1!332:332,"AAAAAH/T40A=",0)</f>
        <v>0</v>
      </c>
      <c r="BN11" t="e">
        <f>AND(Feuil1!A332,"AAAAAH/T40E=")</f>
        <v>#VALUE!</v>
      </c>
      <c r="BO11" t="e">
        <f>AND(Feuil1!B332,"AAAAAH/T40I=")</f>
        <v>#VALUE!</v>
      </c>
      <c r="BP11" t="e">
        <f>AND(Feuil1!C332,"AAAAAH/T40M=")</f>
        <v>#VALUE!</v>
      </c>
      <c r="BQ11" t="e">
        <f>AND(Feuil1!D332,"AAAAAH/T40Q=")</f>
        <v>#VALUE!</v>
      </c>
      <c r="BR11" t="e">
        <f>AND(Feuil1!E332,"AAAAAH/T40U=")</f>
        <v>#VALUE!</v>
      </c>
      <c r="BS11">
        <f>IF(Feuil1!333:333,"AAAAAH/T40Y=",0)</f>
        <v>0</v>
      </c>
      <c r="BT11" t="e">
        <f>AND(Feuil1!A333,"AAAAAH/T40c=")</f>
        <v>#VALUE!</v>
      </c>
      <c r="BU11" t="e">
        <f>AND(Feuil1!B333,"AAAAAH/T40g=")</f>
        <v>#VALUE!</v>
      </c>
      <c r="BV11" t="e">
        <f>AND(Feuil1!C333,"AAAAAH/T40k=")</f>
        <v>#VALUE!</v>
      </c>
      <c r="BW11" t="e">
        <f>AND(Feuil1!D333,"AAAAAH/T40o=")</f>
        <v>#VALUE!</v>
      </c>
      <c r="BX11" t="e">
        <f>AND(Feuil1!E333,"AAAAAH/T40s=")</f>
        <v>#VALUE!</v>
      </c>
      <c r="BY11">
        <f>IF(Feuil1!334:334,"AAAAAH/T40w=",0)</f>
        <v>0</v>
      </c>
      <c r="BZ11" t="e">
        <f>AND(Feuil1!A334,"AAAAAH/T400=")</f>
        <v>#VALUE!</v>
      </c>
      <c r="CA11" t="e">
        <f>AND(Feuil1!B334,"AAAAAH/T404=")</f>
        <v>#VALUE!</v>
      </c>
      <c r="CB11" t="e">
        <f>AND(Feuil1!C334,"AAAAAH/T408=")</f>
        <v>#VALUE!</v>
      </c>
      <c r="CC11" t="e">
        <f>AND(Feuil1!D334,"AAAAAH/T41A=")</f>
        <v>#VALUE!</v>
      </c>
      <c r="CD11" t="e">
        <f>AND(Feuil1!E334,"AAAAAH/T41E=")</f>
        <v>#VALUE!</v>
      </c>
      <c r="CE11">
        <f>IF(Feuil1!335:335,"AAAAAH/T41I=",0)</f>
        <v>0</v>
      </c>
      <c r="CF11" t="e">
        <f>AND(Feuil1!A335,"AAAAAH/T41M=")</f>
        <v>#VALUE!</v>
      </c>
      <c r="CG11" t="e">
        <f>AND(Feuil1!B335,"AAAAAH/T41Q=")</f>
        <v>#VALUE!</v>
      </c>
      <c r="CH11" t="e">
        <f>AND(Feuil1!C335,"AAAAAH/T41U=")</f>
        <v>#VALUE!</v>
      </c>
      <c r="CI11" t="e">
        <f>AND(Feuil1!D335,"AAAAAH/T41Y=")</f>
        <v>#VALUE!</v>
      </c>
      <c r="CJ11" t="e">
        <f>AND(Feuil1!E335,"AAAAAH/T41c=")</f>
        <v>#VALUE!</v>
      </c>
      <c r="CK11">
        <f>IF(Feuil1!336:336,"AAAAAH/T41g=",0)</f>
        <v>0</v>
      </c>
      <c r="CL11" t="e">
        <f>AND(Feuil1!A336,"AAAAAH/T41k=")</f>
        <v>#VALUE!</v>
      </c>
      <c r="CM11" t="e">
        <f>AND(Feuil1!B336,"AAAAAH/T41o=")</f>
        <v>#VALUE!</v>
      </c>
      <c r="CN11" t="e">
        <f>AND(Feuil1!C336,"AAAAAH/T41s=")</f>
        <v>#VALUE!</v>
      </c>
      <c r="CO11" t="e">
        <f>AND(Feuil1!D336,"AAAAAH/T41w=")</f>
        <v>#VALUE!</v>
      </c>
      <c r="CP11" t="e">
        <f>AND(Feuil1!E336,"AAAAAH/T410=")</f>
        <v>#VALUE!</v>
      </c>
      <c r="CQ11">
        <f>IF(Feuil1!337:337,"AAAAAH/T414=",0)</f>
        <v>0</v>
      </c>
      <c r="CR11" t="e">
        <f>AND(Feuil1!A337,"AAAAAH/T418=")</f>
        <v>#VALUE!</v>
      </c>
      <c r="CS11" t="e">
        <f>AND(Feuil1!B337,"AAAAAH/T42A=")</f>
        <v>#VALUE!</v>
      </c>
      <c r="CT11" t="e">
        <f>AND(Feuil1!C337,"AAAAAH/T42E=")</f>
        <v>#VALUE!</v>
      </c>
      <c r="CU11" t="e">
        <f>AND(Feuil1!D337,"AAAAAH/T42I=")</f>
        <v>#VALUE!</v>
      </c>
      <c r="CV11" t="e">
        <f>AND(Feuil1!E337,"AAAAAH/T42M=")</f>
        <v>#VALUE!</v>
      </c>
      <c r="CW11">
        <f>IF(Feuil1!338:338,"AAAAAH/T42Q=",0)</f>
        <v>0</v>
      </c>
      <c r="CX11" t="e">
        <f>AND(Feuil1!A338,"AAAAAH/T42U=")</f>
        <v>#VALUE!</v>
      </c>
      <c r="CY11" t="e">
        <f>AND(Feuil1!B338,"AAAAAH/T42Y=")</f>
        <v>#VALUE!</v>
      </c>
      <c r="CZ11" t="e">
        <f>AND(Feuil1!C338,"AAAAAH/T42c=")</f>
        <v>#VALUE!</v>
      </c>
      <c r="DA11" t="e">
        <f>AND(Feuil1!D338,"AAAAAH/T42g=")</f>
        <v>#VALUE!</v>
      </c>
      <c r="DB11" t="e">
        <f>AND(Feuil1!E338,"AAAAAH/T42k=")</f>
        <v>#VALUE!</v>
      </c>
      <c r="DC11">
        <f>IF(Feuil1!339:339,"AAAAAH/T42o=",0)</f>
        <v>0</v>
      </c>
      <c r="DD11" t="e">
        <f>AND(Feuil1!A339,"AAAAAH/T42s=")</f>
        <v>#VALUE!</v>
      </c>
      <c r="DE11" t="e">
        <f>AND(Feuil1!B339,"AAAAAH/T42w=")</f>
        <v>#VALUE!</v>
      </c>
      <c r="DF11" t="e">
        <f>AND(Feuil1!C339,"AAAAAH/T420=")</f>
        <v>#VALUE!</v>
      </c>
      <c r="DG11" t="e">
        <f>AND(Feuil1!D339,"AAAAAH/T424=")</f>
        <v>#VALUE!</v>
      </c>
      <c r="DH11" t="e">
        <f>AND(Feuil1!E339,"AAAAAH/T428=")</f>
        <v>#VALUE!</v>
      </c>
      <c r="DI11">
        <f>IF(Feuil1!340:340,"AAAAAH/T43A=",0)</f>
        <v>0</v>
      </c>
      <c r="DJ11" t="e">
        <f>AND(Feuil1!A340,"AAAAAH/T43E=")</f>
        <v>#VALUE!</v>
      </c>
      <c r="DK11" t="e">
        <f>AND(Feuil1!B340,"AAAAAH/T43I=")</f>
        <v>#VALUE!</v>
      </c>
      <c r="DL11" t="e">
        <f>AND(Feuil1!C340,"AAAAAH/T43M=")</f>
        <v>#VALUE!</v>
      </c>
      <c r="DM11" t="e">
        <f>AND(Feuil1!D340,"AAAAAH/T43Q=")</f>
        <v>#VALUE!</v>
      </c>
      <c r="DN11" t="e">
        <f>AND(Feuil1!E340,"AAAAAH/T43U=")</f>
        <v>#VALUE!</v>
      </c>
      <c r="DO11">
        <f>IF(Feuil1!341:341,"AAAAAH/T43Y=",0)</f>
        <v>0</v>
      </c>
      <c r="DP11" t="e">
        <f>AND(Feuil1!A341,"AAAAAH/T43c=")</f>
        <v>#VALUE!</v>
      </c>
      <c r="DQ11" t="e">
        <f>AND(Feuil1!B341,"AAAAAH/T43g=")</f>
        <v>#VALUE!</v>
      </c>
      <c r="DR11" t="e">
        <f>AND(Feuil1!C341,"AAAAAH/T43k=")</f>
        <v>#VALUE!</v>
      </c>
      <c r="DS11" t="e">
        <f>AND(Feuil1!D341,"AAAAAH/T43o=")</f>
        <v>#VALUE!</v>
      </c>
      <c r="DT11" t="e">
        <f>AND(Feuil1!E341,"AAAAAH/T43s=")</f>
        <v>#VALUE!</v>
      </c>
      <c r="DU11">
        <f>IF(Feuil1!342:342,"AAAAAH/T43w=",0)</f>
        <v>0</v>
      </c>
      <c r="DV11" t="e">
        <f>AND(Feuil1!A342,"AAAAAH/T430=")</f>
        <v>#VALUE!</v>
      </c>
      <c r="DW11" t="e">
        <f>AND(Feuil1!B342,"AAAAAH/T434=")</f>
        <v>#VALUE!</v>
      </c>
      <c r="DX11" t="e">
        <f>AND(Feuil1!C342,"AAAAAH/T438=")</f>
        <v>#VALUE!</v>
      </c>
      <c r="DY11" t="e">
        <f>AND(Feuil1!D342,"AAAAAH/T44A=")</f>
        <v>#VALUE!</v>
      </c>
      <c r="DZ11" t="e">
        <f>AND(Feuil1!E342,"AAAAAH/T44E=")</f>
        <v>#VALUE!</v>
      </c>
      <c r="EA11">
        <f>IF(Feuil1!343:343,"AAAAAH/T44I=",0)</f>
        <v>0</v>
      </c>
      <c r="EB11" t="e">
        <f>AND(Feuil1!A343,"AAAAAH/T44M=")</f>
        <v>#VALUE!</v>
      </c>
      <c r="EC11" t="e">
        <f>AND(Feuil1!B343,"AAAAAH/T44Q=")</f>
        <v>#VALUE!</v>
      </c>
      <c r="ED11" t="e">
        <f>AND(Feuil1!C343,"AAAAAH/T44U=")</f>
        <v>#VALUE!</v>
      </c>
      <c r="EE11" t="e">
        <f>AND(Feuil1!D343,"AAAAAH/T44Y=")</f>
        <v>#VALUE!</v>
      </c>
      <c r="EF11" t="e">
        <f>AND(Feuil1!E343,"AAAAAH/T44c=")</f>
        <v>#VALUE!</v>
      </c>
      <c r="EG11">
        <f>IF(Feuil1!344:344,"AAAAAH/T44g=",0)</f>
        <v>0</v>
      </c>
      <c r="EH11" t="e">
        <f>AND(Feuil1!A344,"AAAAAH/T44k=")</f>
        <v>#VALUE!</v>
      </c>
      <c r="EI11" t="e">
        <f>AND(Feuil1!B344,"AAAAAH/T44o=")</f>
        <v>#VALUE!</v>
      </c>
      <c r="EJ11" t="e">
        <f>AND(Feuil1!C344,"AAAAAH/T44s=")</f>
        <v>#VALUE!</v>
      </c>
      <c r="EK11" t="e">
        <f>AND(Feuil1!D344,"AAAAAH/T44w=")</f>
        <v>#VALUE!</v>
      </c>
      <c r="EL11" t="e">
        <f>AND(Feuil1!E344,"AAAAAH/T440=")</f>
        <v>#VALUE!</v>
      </c>
      <c r="EM11">
        <f>IF(Feuil1!345:345,"AAAAAH/T444=",0)</f>
        <v>0</v>
      </c>
      <c r="EN11" t="e">
        <f>AND(Feuil1!A345,"AAAAAH/T448=")</f>
        <v>#VALUE!</v>
      </c>
      <c r="EO11" t="e">
        <f>AND(Feuil1!B345,"AAAAAH/T45A=")</f>
        <v>#VALUE!</v>
      </c>
      <c r="EP11" t="e">
        <f>AND(Feuil1!C345,"AAAAAH/T45E=")</f>
        <v>#VALUE!</v>
      </c>
      <c r="EQ11" t="e">
        <f>AND(Feuil1!D345,"AAAAAH/T45I=")</f>
        <v>#VALUE!</v>
      </c>
      <c r="ER11" t="e">
        <f>AND(Feuil1!E345,"AAAAAH/T45M=")</f>
        <v>#VALUE!</v>
      </c>
      <c r="ES11">
        <f>IF(Feuil1!346:346,"AAAAAH/T45Q=",0)</f>
        <v>0</v>
      </c>
      <c r="ET11" t="e">
        <f>AND(Feuil1!A346,"AAAAAH/T45U=")</f>
        <v>#VALUE!</v>
      </c>
      <c r="EU11" t="e">
        <f>AND(Feuil1!B346,"AAAAAH/T45Y=")</f>
        <v>#VALUE!</v>
      </c>
      <c r="EV11" t="e">
        <f>AND(Feuil1!C346,"AAAAAH/T45c=")</f>
        <v>#VALUE!</v>
      </c>
      <c r="EW11" t="e">
        <f>AND(Feuil1!D346,"AAAAAH/T45g=")</f>
        <v>#VALUE!</v>
      </c>
      <c r="EX11" t="e">
        <f>AND(Feuil1!E346,"AAAAAH/T45k=")</f>
        <v>#VALUE!</v>
      </c>
      <c r="EY11">
        <f>IF(Feuil1!347:347,"AAAAAH/T45o=",0)</f>
        <v>0</v>
      </c>
      <c r="EZ11" t="e">
        <f>AND(Feuil1!A347,"AAAAAH/T45s=")</f>
        <v>#VALUE!</v>
      </c>
      <c r="FA11" t="e">
        <f>AND(Feuil1!B347,"AAAAAH/T45w=")</f>
        <v>#VALUE!</v>
      </c>
      <c r="FB11" t="e">
        <f>AND(Feuil1!C347,"AAAAAH/T450=")</f>
        <v>#VALUE!</v>
      </c>
      <c r="FC11" t="e">
        <f>AND(Feuil1!D347,"AAAAAH/T454=")</f>
        <v>#VALUE!</v>
      </c>
      <c r="FD11" t="e">
        <f>AND(Feuil1!E347,"AAAAAH/T458=")</f>
        <v>#VALUE!</v>
      </c>
      <c r="FE11">
        <f>IF(Feuil1!348:348,"AAAAAH/T46A=",0)</f>
        <v>0</v>
      </c>
      <c r="FF11" t="e">
        <f>AND(Feuil1!A348,"AAAAAH/T46E=")</f>
        <v>#VALUE!</v>
      </c>
      <c r="FG11" t="e">
        <f>AND(Feuil1!B348,"AAAAAH/T46I=")</f>
        <v>#VALUE!</v>
      </c>
      <c r="FH11" t="e">
        <f>AND(Feuil1!C348,"AAAAAH/T46M=")</f>
        <v>#VALUE!</v>
      </c>
      <c r="FI11" t="e">
        <f>AND(Feuil1!D348,"AAAAAH/T46Q=")</f>
        <v>#VALUE!</v>
      </c>
      <c r="FJ11" t="e">
        <f>AND(Feuil1!E348,"AAAAAH/T46U=")</f>
        <v>#VALUE!</v>
      </c>
      <c r="FK11">
        <f>IF(Feuil1!349:349,"AAAAAH/T46Y=",0)</f>
        <v>0</v>
      </c>
      <c r="FL11" t="e">
        <f>AND(Feuil1!A349,"AAAAAH/T46c=")</f>
        <v>#VALUE!</v>
      </c>
      <c r="FM11" t="e">
        <f>AND(Feuil1!B349,"AAAAAH/T46g=")</f>
        <v>#VALUE!</v>
      </c>
      <c r="FN11" t="e">
        <f>AND(Feuil1!C349,"AAAAAH/T46k=")</f>
        <v>#VALUE!</v>
      </c>
      <c r="FO11" t="e">
        <f>AND(Feuil1!D349,"AAAAAH/T46o=")</f>
        <v>#VALUE!</v>
      </c>
      <c r="FP11" t="e">
        <f>AND(Feuil1!E349,"AAAAAH/T46s=")</f>
        <v>#VALUE!</v>
      </c>
      <c r="FQ11">
        <f>IF(Feuil1!350:350,"AAAAAH/T46w=",0)</f>
        <v>0</v>
      </c>
      <c r="FR11" t="e">
        <f>AND(Feuil1!A350,"AAAAAH/T460=")</f>
        <v>#VALUE!</v>
      </c>
      <c r="FS11" t="e">
        <f>AND(Feuil1!B350,"AAAAAH/T464=")</f>
        <v>#VALUE!</v>
      </c>
      <c r="FT11" t="e">
        <f>AND(Feuil1!C350,"AAAAAH/T468=")</f>
        <v>#VALUE!</v>
      </c>
      <c r="FU11" t="e">
        <f>AND(Feuil1!D350,"AAAAAH/T47A=")</f>
        <v>#VALUE!</v>
      </c>
      <c r="FV11" t="e">
        <f>AND(Feuil1!E350,"AAAAAH/T47E=")</f>
        <v>#VALUE!</v>
      </c>
      <c r="FW11">
        <f>IF(Feuil1!351:351,"AAAAAH/T47I=",0)</f>
        <v>0</v>
      </c>
      <c r="FX11" t="e">
        <f>AND(Feuil1!A351,"AAAAAH/T47M=")</f>
        <v>#VALUE!</v>
      </c>
      <c r="FY11" t="e">
        <f>AND(Feuil1!B351,"AAAAAH/T47Q=")</f>
        <v>#VALUE!</v>
      </c>
      <c r="FZ11" t="e">
        <f>AND(Feuil1!C351,"AAAAAH/T47U=")</f>
        <v>#VALUE!</v>
      </c>
      <c r="GA11" t="e">
        <f>AND(Feuil1!D351,"AAAAAH/T47Y=")</f>
        <v>#VALUE!</v>
      </c>
      <c r="GB11" t="e">
        <f>AND(Feuil1!E351,"AAAAAH/T47c=")</f>
        <v>#VALUE!</v>
      </c>
      <c r="GC11">
        <f>IF(Feuil1!352:352,"AAAAAH/T47g=",0)</f>
        <v>0</v>
      </c>
      <c r="GD11" t="e">
        <f>AND(Feuil1!A352,"AAAAAH/T47k=")</f>
        <v>#VALUE!</v>
      </c>
      <c r="GE11" t="e">
        <f>AND(Feuil1!B352,"AAAAAH/T47o=")</f>
        <v>#VALUE!</v>
      </c>
      <c r="GF11" t="e">
        <f>AND(Feuil1!C352,"AAAAAH/T47s=")</f>
        <v>#VALUE!</v>
      </c>
      <c r="GG11" t="e">
        <f>AND(Feuil1!D352,"AAAAAH/T47w=")</f>
        <v>#VALUE!</v>
      </c>
      <c r="GH11" t="e">
        <f>AND(Feuil1!E352,"AAAAAH/T470=")</f>
        <v>#VALUE!</v>
      </c>
      <c r="GI11">
        <f>IF(Feuil1!353:353,"AAAAAH/T474=",0)</f>
        <v>0</v>
      </c>
      <c r="GJ11" t="e">
        <f>AND(Feuil1!A353,"AAAAAH/T478=")</f>
        <v>#VALUE!</v>
      </c>
      <c r="GK11" t="e">
        <f>AND(Feuil1!B353,"AAAAAH/T48A=")</f>
        <v>#VALUE!</v>
      </c>
      <c r="GL11" t="e">
        <f>AND(Feuil1!C353,"AAAAAH/T48E=")</f>
        <v>#VALUE!</v>
      </c>
      <c r="GM11" t="e">
        <f>AND(Feuil1!D353,"AAAAAH/T48I=")</f>
        <v>#VALUE!</v>
      </c>
      <c r="GN11" t="e">
        <f>AND(Feuil1!E353,"AAAAAH/T48M=")</f>
        <v>#VALUE!</v>
      </c>
      <c r="GO11">
        <f>IF(Feuil1!354:354,"AAAAAH/T48Q=",0)</f>
        <v>0</v>
      </c>
      <c r="GP11" t="e">
        <f>AND(Feuil1!A354,"AAAAAH/T48U=")</f>
        <v>#VALUE!</v>
      </c>
      <c r="GQ11" t="e">
        <f>AND(Feuil1!B354,"AAAAAH/T48Y=")</f>
        <v>#VALUE!</v>
      </c>
      <c r="GR11" t="e">
        <f>AND(Feuil1!C354,"AAAAAH/T48c=")</f>
        <v>#VALUE!</v>
      </c>
      <c r="GS11" t="e">
        <f>AND(Feuil1!D354,"AAAAAH/T48g=")</f>
        <v>#VALUE!</v>
      </c>
      <c r="GT11" t="e">
        <f>AND(Feuil1!E354,"AAAAAH/T48k=")</f>
        <v>#VALUE!</v>
      </c>
      <c r="GU11">
        <f>IF(Feuil1!355:355,"AAAAAH/T48o=",0)</f>
        <v>0</v>
      </c>
      <c r="GV11" t="e">
        <f>AND(Feuil1!A355,"AAAAAH/T48s=")</f>
        <v>#VALUE!</v>
      </c>
      <c r="GW11" t="e">
        <f>AND(Feuil1!B355,"AAAAAH/T48w=")</f>
        <v>#VALUE!</v>
      </c>
      <c r="GX11" t="e">
        <f>AND(Feuil1!C355,"AAAAAH/T480=")</f>
        <v>#VALUE!</v>
      </c>
      <c r="GY11" t="e">
        <f>AND(Feuil1!D355,"AAAAAH/T484=")</f>
        <v>#VALUE!</v>
      </c>
      <c r="GZ11" t="e">
        <f>AND(Feuil1!E355,"AAAAAH/T488=")</f>
        <v>#VALUE!</v>
      </c>
      <c r="HA11">
        <f>IF(Feuil1!356:356,"AAAAAH/T49A=",0)</f>
        <v>0</v>
      </c>
      <c r="HB11" t="e">
        <f>AND(Feuil1!A356,"AAAAAH/T49E=")</f>
        <v>#VALUE!</v>
      </c>
      <c r="HC11" t="e">
        <f>AND(Feuil1!B356,"AAAAAH/T49I=")</f>
        <v>#VALUE!</v>
      </c>
      <c r="HD11" t="e">
        <f>AND(Feuil1!C356,"AAAAAH/T49M=")</f>
        <v>#VALUE!</v>
      </c>
      <c r="HE11" t="e">
        <f>AND(Feuil1!D356,"AAAAAH/T49Q=")</f>
        <v>#VALUE!</v>
      </c>
      <c r="HF11" t="e">
        <f>AND(Feuil1!E356,"AAAAAH/T49U=")</f>
        <v>#VALUE!</v>
      </c>
      <c r="HG11">
        <f>IF(Feuil1!357:357,"AAAAAH/T49Y=",0)</f>
        <v>0</v>
      </c>
      <c r="HH11" t="e">
        <f>AND(Feuil1!A357,"AAAAAH/T49c=")</f>
        <v>#VALUE!</v>
      </c>
      <c r="HI11" t="e">
        <f>AND(Feuil1!B357,"AAAAAH/T49g=")</f>
        <v>#VALUE!</v>
      </c>
      <c r="HJ11" t="e">
        <f>AND(Feuil1!C357,"AAAAAH/T49k=")</f>
        <v>#VALUE!</v>
      </c>
      <c r="HK11" t="e">
        <f>AND(Feuil1!D357,"AAAAAH/T49o=")</f>
        <v>#VALUE!</v>
      </c>
      <c r="HL11" t="e">
        <f>AND(Feuil1!E357,"AAAAAH/T49s=")</f>
        <v>#VALUE!</v>
      </c>
      <c r="HM11">
        <f>IF(Feuil1!358:358,"AAAAAH/T49w=",0)</f>
        <v>0</v>
      </c>
      <c r="HN11" t="e">
        <f>AND(Feuil1!A358,"AAAAAH/T490=")</f>
        <v>#VALUE!</v>
      </c>
      <c r="HO11" t="e">
        <f>AND(Feuil1!B358,"AAAAAH/T494=")</f>
        <v>#VALUE!</v>
      </c>
      <c r="HP11" t="e">
        <f>AND(Feuil1!C358,"AAAAAH/T498=")</f>
        <v>#VALUE!</v>
      </c>
      <c r="HQ11" t="e">
        <f>AND(Feuil1!D358,"AAAAAH/T4+A=")</f>
        <v>#VALUE!</v>
      </c>
      <c r="HR11" t="e">
        <f>AND(Feuil1!E358,"AAAAAH/T4+E=")</f>
        <v>#VALUE!</v>
      </c>
      <c r="HS11">
        <f>IF(Feuil1!359:359,"AAAAAH/T4+I=",0)</f>
        <v>0</v>
      </c>
      <c r="HT11" t="e">
        <f>AND(Feuil1!A359,"AAAAAH/T4+M=")</f>
        <v>#VALUE!</v>
      </c>
      <c r="HU11" t="e">
        <f>AND(Feuil1!B359,"AAAAAH/T4+Q=")</f>
        <v>#VALUE!</v>
      </c>
      <c r="HV11" t="e">
        <f>AND(Feuil1!C359,"AAAAAH/T4+U=")</f>
        <v>#VALUE!</v>
      </c>
      <c r="HW11" t="e">
        <f>AND(Feuil1!D359,"AAAAAH/T4+Y=")</f>
        <v>#VALUE!</v>
      </c>
      <c r="HX11" t="e">
        <f>AND(Feuil1!E359,"AAAAAH/T4+c=")</f>
        <v>#VALUE!</v>
      </c>
      <c r="HY11">
        <f>IF(Feuil1!360:360,"AAAAAH/T4+g=",0)</f>
        <v>0</v>
      </c>
      <c r="HZ11" t="e">
        <f>AND(Feuil1!A360,"AAAAAH/T4+k=")</f>
        <v>#VALUE!</v>
      </c>
      <c r="IA11" t="e">
        <f>AND(Feuil1!B360,"AAAAAH/T4+o=")</f>
        <v>#VALUE!</v>
      </c>
      <c r="IB11" t="e">
        <f>AND(Feuil1!C360,"AAAAAH/T4+s=")</f>
        <v>#VALUE!</v>
      </c>
      <c r="IC11" t="e">
        <f>AND(Feuil1!D360,"AAAAAH/T4+w=")</f>
        <v>#VALUE!</v>
      </c>
      <c r="ID11" t="e">
        <f>AND(Feuil1!E360,"AAAAAH/T4+0=")</f>
        <v>#VALUE!</v>
      </c>
      <c r="IE11">
        <f>IF(Feuil1!361:361,"AAAAAH/T4+4=",0)</f>
        <v>0</v>
      </c>
      <c r="IF11" t="e">
        <f>AND(Feuil1!A361,"AAAAAH/T4+8=")</f>
        <v>#VALUE!</v>
      </c>
      <c r="IG11" t="e">
        <f>AND(Feuil1!B361,"AAAAAH/T4/A=")</f>
        <v>#VALUE!</v>
      </c>
      <c r="IH11" t="e">
        <f>AND(Feuil1!C361,"AAAAAH/T4/E=")</f>
        <v>#VALUE!</v>
      </c>
      <c r="II11" t="e">
        <f>AND(Feuil1!D361,"AAAAAH/T4/I=")</f>
        <v>#VALUE!</v>
      </c>
      <c r="IJ11" t="e">
        <f>AND(Feuil1!E361,"AAAAAH/T4/M=")</f>
        <v>#VALUE!</v>
      </c>
      <c r="IK11">
        <f>IF(Feuil1!362:362,"AAAAAH/T4/Q=",0)</f>
        <v>0</v>
      </c>
      <c r="IL11" t="e">
        <f>AND(Feuil1!A362,"AAAAAH/T4/U=")</f>
        <v>#VALUE!</v>
      </c>
      <c r="IM11" t="e">
        <f>AND(Feuil1!B362,"AAAAAH/T4/Y=")</f>
        <v>#VALUE!</v>
      </c>
      <c r="IN11" t="e">
        <f>AND(Feuil1!C362,"AAAAAH/T4/c=")</f>
        <v>#VALUE!</v>
      </c>
      <c r="IO11" t="e">
        <f>AND(Feuil1!D362,"AAAAAH/T4/g=")</f>
        <v>#VALUE!</v>
      </c>
      <c r="IP11" t="e">
        <f>AND(Feuil1!E362,"AAAAAH/T4/k=")</f>
        <v>#VALUE!</v>
      </c>
      <c r="IQ11">
        <f>IF(Feuil1!363:363,"AAAAAH/T4/o=",0)</f>
        <v>0</v>
      </c>
      <c r="IR11" t="e">
        <f>AND(Feuil1!A363,"AAAAAH/T4/s=")</f>
        <v>#VALUE!</v>
      </c>
      <c r="IS11" t="e">
        <f>AND(Feuil1!B363,"AAAAAH/T4/w=")</f>
        <v>#VALUE!</v>
      </c>
      <c r="IT11" t="e">
        <f>AND(Feuil1!C363,"AAAAAH/T4/0=")</f>
        <v>#VALUE!</v>
      </c>
      <c r="IU11" t="e">
        <f>AND(Feuil1!D363,"AAAAAH/T4/4=")</f>
        <v>#VALUE!</v>
      </c>
      <c r="IV11" t="e">
        <f>AND(Feuil1!E363,"AAAAAH/T4/8=")</f>
        <v>#VALUE!</v>
      </c>
    </row>
    <row r="12" spans="1:256" x14ac:dyDescent="0.25">
      <c r="A12">
        <f>IF(Feuil1!364:364,"AAAAADz33gA=",0)</f>
        <v>0</v>
      </c>
      <c r="B12" t="e">
        <f>AND(Feuil1!A364,"AAAAADz33gE=")</f>
        <v>#VALUE!</v>
      </c>
      <c r="C12" t="e">
        <f>AND(Feuil1!B364,"AAAAADz33gI=")</f>
        <v>#VALUE!</v>
      </c>
      <c r="D12" t="e">
        <f>AND(Feuil1!C364,"AAAAADz33gM=")</f>
        <v>#VALUE!</v>
      </c>
      <c r="E12" t="e">
        <f>AND(Feuil1!D364,"AAAAADz33gQ=")</f>
        <v>#VALUE!</v>
      </c>
      <c r="F12" t="e">
        <f>AND(Feuil1!E364,"AAAAADz33gU=")</f>
        <v>#VALUE!</v>
      </c>
      <c r="G12">
        <f>IF(Feuil1!365:365,"AAAAADz33gY=",0)</f>
        <v>0</v>
      </c>
      <c r="H12" t="e">
        <f>AND(Feuil1!A365,"AAAAADz33gc=")</f>
        <v>#VALUE!</v>
      </c>
      <c r="I12" t="e">
        <f>AND(Feuil1!B365,"AAAAADz33gg=")</f>
        <v>#VALUE!</v>
      </c>
      <c r="J12" t="e">
        <f>AND(Feuil1!C365,"AAAAADz33gk=")</f>
        <v>#VALUE!</v>
      </c>
      <c r="K12" t="e">
        <f>AND(Feuil1!D365,"AAAAADz33go=")</f>
        <v>#VALUE!</v>
      </c>
      <c r="L12" t="e">
        <f>AND(Feuil1!E365,"AAAAADz33gs=")</f>
        <v>#VALUE!</v>
      </c>
      <c r="M12">
        <f>IF(Feuil1!366:366,"AAAAADz33gw=",0)</f>
        <v>0</v>
      </c>
      <c r="N12" t="e">
        <f>AND(Feuil1!A366,"AAAAADz33g0=")</f>
        <v>#VALUE!</v>
      </c>
      <c r="O12" t="e">
        <f>AND(Feuil1!B366,"AAAAADz33g4=")</f>
        <v>#VALUE!</v>
      </c>
      <c r="P12" t="e">
        <f>AND(Feuil1!C366,"AAAAADz33g8=")</f>
        <v>#VALUE!</v>
      </c>
      <c r="Q12" t="e">
        <f>AND(Feuil1!D366,"AAAAADz33hA=")</f>
        <v>#VALUE!</v>
      </c>
      <c r="R12" t="e">
        <f>AND(Feuil1!E366,"AAAAADz33hE=")</f>
        <v>#VALUE!</v>
      </c>
      <c r="S12">
        <f>IF(Feuil1!367:367,"AAAAADz33hI=",0)</f>
        <v>0</v>
      </c>
      <c r="T12" t="e">
        <f>AND(Feuil1!A367,"AAAAADz33hM=")</f>
        <v>#VALUE!</v>
      </c>
      <c r="U12" t="e">
        <f>AND(Feuil1!B367,"AAAAADz33hQ=")</f>
        <v>#VALUE!</v>
      </c>
      <c r="V12" t="e">
        <f>AND(Feuil1!C367,"AAAAADz33hU=")</f>
        <v>#VALUE!</v>
      </c>
      <c r="W12" t="e">
        <f>AND(Feuil1!D367,"AAAAADz33hY=")</f>
        <v>#VALUE!</v>
      </c>
      <c r="X12" t="e">
        <f>AND(Feuil1!E367,"AAAAADz33hc=")</f>
        <v>#VALUE!</v>
      </c>
      <c r="Y12">
        <f>IF(Feuil1!368:368,"AAAAADz33hg=",0)</f>
        <v>0</v>
      </c>
      <c r="Z12" t="e">
        <f>AND(Feuil1!A368,"AAAAADz33hk=")</f>
        <v>#VALUE!</v>
      </c>
      <c r="AA12" t="e">
        <f>AND(Feuil1!B368,"AAAAADz33ho=")</f>
        <v>#VALUE!</v>
      </c>
      <c r="AB12" t="e">
        <f>AND(Feuil1!C368,"AAAAADz33hs=")</f>
        <v>#VALUE!</v>
      </c>
      <c r="AC12" t="e">
        <f>AND(Feuil1!D368,"AAAAADz33hw=")</f>
        <v>#VALUE!</v>
      </c>
      <c r="AD12" t="e">
        <f>AND(Feuil1!E368,"AAAAADz33h0=")</f>
        <v>#VALUE!</v>
      </c>
      <c r="AE12">
        <f>IF(Feuil1!369:369,"AAAAADz33h4=",0)</f>
        <v>0</v>
      </c>
      <c r="AF12" t="e">
        <f>AND(Feuil1!A369,"AAAAADz33h8=")</f>
        <v>#VALUE!</v>
      </c>
      <c r="AG12" t="e">
        <f>AND(Feuil1!B369,"AAAAADz33iA=")</f>
        <v>#VALUE!</v>
      </c>
      <c r="AH12" t="e">
        <f>AND(Feuil1!C369,"AAAAADz33iE=")</f>
        <v>#VALUE!</v>
      </c>
      <c r="AI12" t="e">
        <f>AND(Feuil1!D369,"AAAAADz33iI=")</f>
        <v>#VALUE!</v>
      </c>
      <c r="AJ12" t="e">
        <f>AND(Feuil1!E369,"AAAAADz33iM=")</f>
        <v>#VALUE!</v>
      </c>
      <c r="AK12">
        <f>IF(Feuil1!370:370,"AAAAADz33iQ=",0)</f>
        <v>0</v>
      </c>
      <c r="AL12" t="e">
        <f>AND(Feuil1!A370,"AAAAADz33iU=")</f>
        <v>#VALUE!</v>
      </c>
      <c r="AM12" t="e">
        <f>AND(Feuil1!B370,"AAAAADz33iY=")</f>
        <v>#VALUE!</v>
      </c>
      <c r="AN12" t="e">
        <f>AND(Feuil1!C370,"AAAAADz33ic=")</f>
        <v>#VALUE!</v>
      </c>
      <c r="AO12" t="e">
        <f>AND(Feuil1!D370,"AAAAADz33ig=")</f>
        <v>#VALUE!</v>
      </c>
      <c r="AP12" t="e">
        <f>AND(Feuil1!E370,"AAAAADz33ik=")</f>
        <v>#VALUE!</v>
      </c>
      <c r="AQ12">
        <f>IF(Feuil1!371:371,"AAAAADz33io=",0)</f>
        <v>0</v>
      </c>
      <c r="AR12" t="e">
        <f>AND(Feuil1!A371,"AAAAADz33is=")</f>
        <v>#VALUE!</v>
      </c>
      <c r="AS12" t="e">
        <f>AND(Feuil1!B371,"AAAAADz33iw=")</f>
        <v>#VALUE!</v>
      </c>
      <c r="AT12" t="e">
        <f>AND(Feuil1!C371,"AAAAADz33i0=")</f>
        <v>#VALUE!</v>
      </c>
      <c r="AU12" t="e">
        <f>AND(Feuil1!D371,"AAAAADz33i4=")</f>
        <v>#VALUE!</v>
      </c>
      <c r="AV12" t="e">
        <f>AND(Feuil1!E371,"AAAAADz33i8=")</f>
        <v>#VALUE!</v>
      </c>
      <c r="AW12">
        <f>IF(Feuil1!372:372,"AAAAADz33jA=",0)</f>
        <v>0</v>
      </c>
      <c r="AX12" t="e">
        <f>AND(Feuil1!A372,"AAAAADz33jE=")</f>
        <v>#VALUE!</v>
      </c>
      <c r="AY12" t="e">
        <f>AND(Feuil1!B372,"AAAAADz33jI=")</f>
        <v>#VALUE!</v>
      </c>
      <c r="AZ12" t="e">
        <f>AND(Feuil1!C372,"AAAAADz33jM=")</f>
        <v>#VALUE!</v>
      </c>
      <c r="BA12" t="e">
        <f>AND(Feuil1!D372,"AAAAADz33jQ=")</f>
        <v>#VALUE!</v>
      </c>
      <c r="BB12" t="e">
        <f>AND(Feuil1!E372,"AAAAADz33jU=")</f>
        <v>#VALUE!</v>
      </c>
      <c r="BC12">
        <f>IF(Feuil1!373:373,"AAAAADz33jY=",0)</f>
        <v>0</v>
      </c>
      <c r="BD12" t="e">
        <f>AND(Feuil1!A373,"AAAAADz33jc=")</f>
        <v>#VALUE!</v>
      </c>
      <c r="BE12" t="e">
        <f>AND(Feuil1!B373,"AAAAADz33jg=")</f>
        <v>#VALUE!</v>
      </c>
      <c r="BF12" t="e">
        <f>AND(Feuil1!C373,"AAAAADz33jk=")</f>
        <v>#VALUE!</v>
      </c>
      <c r="BG12" t="e">
        <f>AND(Feuil1!D373,"AAAAADz33jo=")</f>
        <v>#VALUE!</v>
      </c>
      <c r="BH12" t="e">
        <f>AND(Feuil1!E373,"AAAAADz33js=")</f>
        <v>#VALUE!</v>
      </c>
      <c r="BI12">
        <f>IF(Feuil1!374:374,"AAAAADz33jw=",0)</f>
        <v>0</v>
      </c>
      <c r="BJ12" t="e">
        <f>AND(Feuil1!A374,"AAAAADz33j0=")</f>
        <v>#VALUE!</v>
      </c>
      <c r="BK12" t="e">
        <f>AND(Feuil1!B374,"AAAAADz33j4=")</f>
        <v>#VALUE!</v>
      </c>
      <c r="BL12" t="e">
        <f>AND(Feuil1!C374,"AAAAADz33j8=")</f>
        <v>#VALUE!</v>
      </c>
      <c r="BM12" t="e">
        <f>AND(Feuil1!D374,"AAAAADz33kA=")</f>
        <v>#VALUE!</v>
      </c>
      <c r="BN12" t="e">
        <f>AND(Feuil1!E374,"AAAAADz33kE=")</f>
        <v>#VALUE!</v>
      </c>
      <c r="BO12">
        <f>IF(Feuil1!375:375,"AAAAADz33kI=",0)</f>
        <v>0</v>
      </c>
      <c r="BP12" t="e">
        <f>AND(Feuil1!A375,"AAAAADz33kM=")</f>
        <v>#VALUE!</v>
      </c>
      <c r="BQ12" t="e">
        <f>AND(Feuil1!B375,"AAAAADz33kQ=")</f>
        <v>#VALUE!</v>
      </c>
      <c r="BR12" t="e">
        <f>AND(Feuil1!C375,"AAAAADz33kU=")</f>
        <v>#VALUE!</v>
      </c>
      <c r="BS12" t="e">
        <f>AND(Feuil1!D375,"AAAAADz33kY=")</f>
        <v>#VALUE!</v>
      </c>
      <c r="BT12" t="e">
        <f>AND(Feuil1!E375,"AAAAADz33kc=")</f>
        <v>#VALUE!</v>
      </c>
      <c r="BU12">
        <f>IF(Feuil1!376:376,"AAAAADz33kg=",0)</f>
        <v>0</v>
      </c>
      <c r="BV12" t="e">
        <f>AND(Feuil1!A376,"AAAAADz33kk=")</f>
        <v>#VALUE!</v>
      </c>
      <c r="BW12" t="e">
        <f>AND(Feuil1!B376,"AAAAADz33ko=")</f>
        <v>#VALUE!</v>
      </c>
      <c r="BX12" t="e">
        <f>AND(Feuil1!C376,"AAAAADz33ks=")</f>
        <v>#VALUE!</v>
      </c>
      <c r="BY12" t="e">
        <f>AND(Feuil1!D376,"AAAAADz33kw=")</f>
        <v>#VALUE!</v>
      </c>
      <c r="BZ12" t="e">
        <f>AND(Feuil1!E376,"AAAAADz33k0=")</f>
        <v>#VALUE!</v>
      </c>
      <c r="CA12">
        <f>IF(Feuil1!377:377,"AAAAADz33k4=",0)</f>
        <v>0</v>
      </c>
      <c r="CB12" t="e">
        <f>AND(Feuil1!A377,"AAAAADz33k8=")</f>
        <v>#VALUE!</v>
      </c>
      <c r="CC12" t="e">
        <f>AND(Feuil1!B377,"AAAAADz33lA=")</f>
        <v>#VALUE!</v>
      </c>
      <c r="CD12" t="e">
        <f>AND(Feuil1!C377,"AAAAADz33lE=")</f>
        <v>#VALUE!</v>
      </c>
      <c r="CE12" t="e">
        <f>AND(Feuil1!D377,"AAAAADz33lI=")</f>
        <v>#VALUE!</v>
      </c>
      <c r="CF12" t="e">
        <f>AND(Feuil1!E377,"AAAAADz33lM=")</f>
        <v>#VALUE!</v>
      </c>
      <c r="CG12">
        <f>IF(Feuil1!378:378,"AAAAADz33lQ=",0)</f>
        <v>0</v>
      </c>
      <c r="CH12" t="e">
        <f>AND(Feuil1!A378,"AAAAADz33lU=")</f>
        <v>#VALUE!</v>
      </c>
      <c r="CI12" t="e">
        <f>AND(Feuil1!B378,"AAAAADz33lY=")</f>
        <v>#VALUE!</v>
      </c>
      <c r="CJ12" t="e">
        <f>AND(Feuil1!C378,"AAAAADz33lc=")</f>
        <v>#VALUE!</v>
      </c>
      <c r="CK12" t="e">
        <f>AND(Feuil1!D378,"AAAAADz33lg=")</f>
        <v>#VALUE!</v>
      </c>
      <c r="CL12" t="e">
        <f>AND(Feuil1!E378,"AAAAADz33lk=")</f>
        <v>#VALUE!</v>
      </c>
      <c r="CM12">
        <f>IF(Feuil1!379:379,"AAAAADz33lo=",0)</f>
        <v>0</v>
      </c>
      <c r="CN12" t="e">
        <f>AND(Feuil1!A379,"AAAAADz33ls=")</f>
        <v>#VALUE!</v>
      </c>
      <c r="CO12" t="e">
        <f>AND(Feuil1!B379,"AAAAADz33lw=")</f>
        <v>#VALUE!</v>
      </c>
      <c r="CP12" t="e">
        <f>AND(Feuil1!C379,"AAAAADz33l0=")</f>
        <v>#VALUE!</v>
      </c>
      <c r="CQ12" t="e">
        <f>AND(Feuil1!D379,"AAAAADz33l4=")</f>
        <v>#VALUE!</v>
      </c>
      <c r="CR12" t="e">
        <f>AND(Feuil1!E379,"AAAAADz33l8=")</f>
        <v>#VALUE!</v>
      </c>
      <c r="CS12">
        <f>IF(Feuil1!380:380,"AAAAADz33mA=",0)</f>
        <v>0</v>
      </c>
      <c r="CT12" t="e">
        <f>AND(Feuil1!A380,"AAAAADz33mE=")</f>
        <v>#VALUE!</v>
      </c>
      <c r="CU12" t="e">
        <f>AND(Feuil1!B380,"AAAAADz33mI=")</f>
        <v>#VALUE!</v>
      </c>
      <c r="CV12" t="e">
        <f>AND(Feuil1!C380,"AAAAADz33mM=")</f>
        <v>#VALUE!</v>
      </c>
      <c r="CW12" t="e">
        <f>AND(Feuil1!D380,"AAAAADz33mQ=")</f>
        <v>#VALUE!</v>
      </c>
      <c r="CX12" t="e">
        <f>AND(Feuil1!E380,"AAAAADz33mU=")</f>
        <v>#VALUE!</v>
      </c>
      <c r="CY12">
        <f>IF(Feuil1!381:381,"AAAAADz33mY=",0)</f>
        <v>0</v>
      </c>
      <c r="CZ12" t="e">
        <f>AND(Feuil1!A381,"AAAAADz33mc=")</f>
        <v>#VALUE!</v>
      </c>
      <c r="DA12" t="e">
        <f>AND(Feuil1!B381,"AAAAADz33mg=")</f>
        <v>#VALUE!</v>
      </c>
      <c r="DB12" t="e">
        <f>AND(Feuil1!C381,"AAAAADz33mk=")</f>
        <v>#VALUE!</v>
      </c>
      <c r="DC12" t="e">
        <f>AND(Feuil1!D381,"AAAAADz33mo=")</f>
        <v>#VALUE!</v>
      </c>
      <c r="DD12" t="e">
        <f>AND(Feuil1!E381,"AAAAADz33ms=")</f>
        <v>#VALUE!</v>
      </c>
      <c r="DE12">
        <f>IF(Feuil1!382:382,"AAAAADz33mw=",0)</f>
        <v>0</v>
      </c>
      <c r="DF12" t="e">
        <f>AND(Feuil1!A382,"AAAAADz33m0=")</f>
        <v>#VALUE!</v>
      </c>
      <c r="DG12" t="e">
        <f>AND(Feuil1!B382,"AAAAADz33m4=")</f>
        <v>#VALUE!</v>
      </c>
      <c r="DH12" t="e">
        <f>AND(Feuil1!C382,"AAAAADz33m8=")</f>
        <v>#VALUE!</v>
      </c>
      <c r="DI12" t="e">
        <f>AND(Feuil1!D382,"AAAAADz33nA=")</f>
        <v>#VALUE!</v>
      </c>
      <c r="DJ12" t="e">
        <f>AND(Feuil1!E382,"AAAAADz33nE=")</f>
        <v>#VALUE!</v>
      </c>
      <c r="DK12">
        <f>IF(Feuil1!383:383,"AAAAADz33nI=",0)</f>
        <v>0</v>
      </c>
      <c r="DL12" t="e">
        <f>AND(Feuil1!A383,"AAAAADz33nM=")</f>
        <v>#VALUE!</v>
      </c>
      <c r="DM12" t="e">
        <f>AND(Feuil1!B383,"AAAAADz33nQ=")</f>
        <v>#VALUE!</v>
      </c>
      <c r="DN12" t="e">
        <f>AND(Feuil1!C383,"AAAAADz33nU=")</f>
        <v>#VALUE!</v>
      </c>
      <c r="DO12" t="e">
        <f>AND(Feuil1!D383,"AAAAADz33nY=")</f>
        <v>#VALUE!</v>
      </c>
      <c r="DP12" t="e">
        <f>AND(Feuil1!E383,"AAAAADz33nc=")</f>
        <v>#VALUE!</v>
      </c>
      <c r="DQ12">
        <f>IF(Feuil1!384:384,"AAAAADz33ng=",0)</f>
        <v>0</v>
      </c>
      <c r="DR12" t="e">
        <f>AND(Feuil1!A384,"AAAAADz33nk=")</f>
        <v>#VALUE!</v>
      </c>
      <c r="DS12" t="e">
        <f>AND(Feuil1!B384,"AAAAADz33no=")</f>
        <v>#VALUE!</v>
      </c>
      <c r="DT12" t="e">
        <f>AND(Feuil1!C384,"AAAAADz33ns=")</f>
        <v>#VALUE!</v>
      </c>
      <c r="DU12" t="e">
        <f>AND(Feuil1!D384,"AAAAADz33nw=")</f>
        <v>#VALUE!</v>
      </c>
      <c r="DV12" t="e">
        <f>AND(Feuil1!E384,"AAAAADz33n0=")</f>
        <v>#VALUE!</v>
      </c>
      <c r="DW12">
        <f>IF(Feuil1!385:385,"AAAAADz33n4=",0)</f>
        <v>0</v>
      </c>
      <c r="DX12" t="e">
        <f>AND(Feuil1!A385,"AAAAADz33n8=")</f>
        <v>#VALUE!</v>
      </c>
      <c r="DY12" t="e">
        <f>AND(Feuil1!B385,"AAAAADz33oA=")</f>
        <v>#VALUE!</v>
      </c>
      <c r="DZ12" t="e">
        <f>AND(Feuil1!C385,"AAAAADz33oE=")</f>
        <v>#VALUE!</v>
      </c>
      <c r="EA12" t="e">
        <f>AND(Feuil1!D385,"AAAAADz33oI=")</f>
        <v>#VALUE!</v>
      </c>
      <c r="EB12" t="e">
        <f>AND(Feuil1!E385,"AAAAADz33oM=")</f>
        <v>#VALUE!</v>
      </c>
      <c r="EC12">
        <f>IF(Feuil1!386:386,"AAAAADz33oQ=",0)</f>
        <v>0</v>
      </c>
      <c r="ED12" t="e">
        <f>AND(Feuil1!A386,"AAAAADz33oU=")</f>
        <v>#VALUE!</v>
      </c>
      <c r="EE12" t="e">
        <f>AND(Feuil1!B386,"AAAAADz33oY=")</f>
        <v>#VALUE!</v>
      </c>
      <c r="EF12" t="e">
        <f>AND(Feuil1!C386,"AAAAADz33oc=")</f>
        <v>#VALUE!</v>
      </c>
      <c r="EG12" t="e">
        <f>AND(Feuil1!D386,"AAAAADz33og=")</f>
        <v>#VALUE!</v>
      </c>
      <c r="EH12" t="e">
        <f>AND(Feuil1!E386,"AAAAADz33ok=")</f>
        <v>#VALUE!</v>
      </c>
      <c r="EI12">
        <f>IF(Feuil1!387:387,"AAAAADz33oo=",0)</f>
        <v>0</v>
      </c>
      <c r="EJ12" t="e">
        <f>AND(Feuil1!A387,"AAAAADz33os=")</f>
        <v>#VALUE!</v>
      </c>
      <c r="EK12" t="e">
        <f>AND(Feuil1!B387,"AAAAADz33ow=")</f>
        <v>#VALUE!</v>
      </c>
      <c r="EL12" t="e">
        <f>AND(Feuil1!C387,"AAAAADz33o0=")</f>
        <v>#VALUE!</v>
      </c>
      <c r="EM12" t="e">
        <f>AND(Feuil1!D387,"AAAAADz33o4=")</f>
        <v>#VALUE!</v>
      </c>
      <c r="EN12" t="e">
        <f>AND(Feuil1!E387,"AAAAADz33o8=")</f>
        <v>#VALUE!</v>
      </c>
      <c r="EO12">
        <f>IF(Feuil1!388:388,"AAAAADz33pA=",0)</f>
        <v>0</v>
      </c>
      <c r="EP12" t="e">
        <f>AND(Feuil1!A388,"AAAAADz33pE=")</f>
        <v>#VALUE!</v>
      </c>
      <c r="EQ12" t="e">
        <f>AND(Feuil1!B388,"AAAAADz33pI=")</f>
        <v>#VALUE!</v>
      </c>
      <c r="ER12" t="e">
        <f>AND(Feuil1!C388,"AAAAADz33pM=")</f>
        <v>#VALUE!</v>
      </c>
      <c r="ES12" t="e">
        <f>AND(Feuil1!D388,"AAAAADz33pQ=")</f>
        <v>#VALUE!</v>
      </c>
      <c r="ET12" t="e">
        <f>AND(Feuil1!E388,"AAAAADz33pU=")</f>
        <v>#VALUE!</v>
      </c>
      <c r="EU12">
        <f>IF(Feuil1!389:389,"AAAAADz33pY=",0)</f>
        <v>0</v>
      </c>
      <c r="EV12" t="e">
        <f>AND(Feuil1!A389,"AAAAADz33pc=")</f>
        <v>#VALUE!</v>
      </c>
      <c r="EW12" t="e">
        <f>AND(Feuil1!B389,"AAAAADz33pg=")</f>
        <v>#VALUE!</v>
      </c>
      <c r="EX12" t="e">
        <f>AND(Feuil1!C389,"AAAAADz33pk=")</f>
        <v>#VALUE!</v>
      </c>
      <c r="EY12" t="e">
        <f>AND(Feuil1!D389,"AAAAADz33po=")</f>
        <v>#VALUE!</v>
      </c>
      <c r="EZ12" t="e">
        <f>AND(Feuil1!E389,"AAAAADz33ps=")</f>
        <v>#VALUE!</v>
      </c>
      <c r="FA12">
        <f>IF(Feuil1!390:390,"AAAAADz33pw=",0)</f>
        <v>0</v>
      </c>
      <c r="FB12" t="e">
        <f>AND(Feuil1!A390,"AAAAADz33p0=")</f>
        <v>#VALUE!</v>
      </c>
      <c r="FC12" t="e">
        <f>AND(Feuil1!B390,"AAAAADz33p4=")</f>
        <v>#VALUE!</v>
      </c>
      <c r="FD12" t="e">
        <f>AND(Feuil1!C390,"AAAAADz33p8=")</f>
        <v>#VALUE!</v>
      </c>
      <c r="FE12" t="e">
        <f>AND(Feuil1!D390,"AAAAADz33qA=")</f>
        <v>#VALUE!</v>
      </c>
      <c r="FF12" t="e">
        <f>AND(Feuil1!E390,"AAAAADz33qE=")</f>
        <v>#VALUE!</v>
      </c>
      <c r="FG12">
        <f>IF(Feuil1!391:391,"AAAAADz33qI=",0)</f>
        <v>0</v>
      </c>
      <c r="FH12" t="e">
        <f>AND(Feuil1!A391,"AAAAADz33qM=")</f>
        <v>#VALUE!</v>
      </c>
      <c r="FI12" t="e">
        <f>AND(Feuil1!B391,"AAAAADz33qQ=")</f>
        <v>#VALUE!</v>
      </c>
      <c r="FJ12" t="e">
        <f>AND(Feuil1!C391,"AAAAADz33qU=")</f>
        <v>#VALUE!</v>
      </c>
      <c r="FK12" t="e">
        <f>AND(Feuil1!D391,"AAAAADz33qY=")</f>
        <v>#VALUE!</v>
      </c>
      <c r="FL12" t="e">
        <f>AND(Feuil1!E391,"AAAAADz33qc=")</f>
        <v>#VALUE!</v>
      </c>
      <c r="FM12">
        <f>IF(Feuil1!392:392,"AAAAADz33qg=",0)</f>
        <v>0</v>
      </c>
      <c r="FN12" t="e">
        <f>AND(Feuil1!A392,"AAAAADz33qk=")</f>
        <v>#VALUE!</v>
      </c>
      <c r="FO12" t="e">
        <f>AND(Feuil1!B392,"AAAAADz33qo=")</f>
        <v>#VALUE!</v>
      </c>
      <c r="FP12" t="e">
        <f>AND(Feuil1!C392,"AAAAADz33qs=")</f>
        <v>#VALUE!</v>
      </c>
      <c r="FQ12" t="e">
        <f>AND(Feuil1!D392,"AAAAADz33qw=")</f>
        <v>#VALUE!</v>
      </c>
      <c r="FR12" t="e">
        <f>AND(Feuil1!E392,"AAAAADz33q0=")</f>
        <v>#VALUE!</v>
      </c>
      <c r="FS12">
        <f>IF(Feuil1!393:393,"AAAAADz33q4=",0)</f>
        <v>0</v>
      </c>
      <c r="FT12" t="e">
        <f>AND(Feuil1!A393,"AAAAADz33q8=")</f>
        <v>#VALUE!</v>
      </c>
      <c r="FU12" t="e">
        <f>AND(Feuil1!B393,"AAAAADz33rA=")</f>
        <v>#VALUE!</v>
      </c>
      <c r="FV12" t="e">
        <f>AND(Feuil1!C393,"AAAAADz33rE=")</f>
        <v>#VALUE!</v>
      </c>
      <c r="FW12" t="e">
        <f>AND(Feuil1!D393,"AAAAADz33rI=")</f>
        <v>#VALUE!</v>
      </c>
      <c r="FX12" t="e">
        <f>AND(Feuil1!E393,"AAAAADz33rM=")</f>
        <v>#VALUE!</v>
      </c>
      <c r="FY12">
        <f>IF(Feuil1!394:394,"AAAAADz33rQ=",0)</f>
        <v>0</v>
      </c>
      <c r="FZ12" t="e">
        <f>AND(Feuil1!A394,"AAAAADz33rU=")</f>
        <v>#VALUE!</v>
      </c>
      <c r="GA12" t="e">
        <f>AND(Feuil1!B394,"AAAAADz33rY=")</f>
        <v>#VALUE!</v>
      </c>
      <c r="GB12" t="e">
        <f>AND(Feuil1!C394,"AAAAADz33rc=")</f>
        <v>#VALUE!</v>
      </c>
      <c r="GC12" t="e">
        <f>AND(Feuil1!D394,"AAAAADz33rg=")</f>
        <v>#VALUE!</v>
      </c>
      <c r="GD12" t="e">
        <f>AND(Feuil1!E394,"AAAAADz33rk=")</f>
        <v>#VALUE!</v>
      </c>
      <c r="GE12">
        <f>IF(Feuil1!395:395,"AAAAADz33ro=",0)</f>
        <v>0</v>
      </c>
      <c r="GF12" t="e">
        <f>AND(Feuil1!A395,"AAAAADz33rs=")</f>
        <v>#VALUE!</v>
      </c>
      <c r="GG12" t="e">
        <f>AND(Feuil1!B395,"AAAAADz33rw=")</f>
        <v>#VALUE!</v>
      </c>
      <c r="GH12" t="e">
        <f>AND(Feuil1!C395,"AAAAADz33r0=")</f>
        <v>#VALUE!</v>
      </c>
      <c r="GI12" t="e">
        <f>AND(Feuil1!D395,"AAAAADz33r4=")</f>
        <v>#VALUE!</v>
      </c>
      <c r="GJ12" t="e">
        <f>AND(Feuil1!E395,"AAAAADz33r8=")</f>
        <v>#VALUE!</v>
      </c>
      <c r="GK12">
        <f>IF(Feuil1!396:396,"AAAAADz33sA=",0)</f>
        <v>0</v>
      </c>
      <c r="GL12" t="e">
        <f>AND(Feuil1!A396,"AAAAADz33sE=")</f>
        <v>#VALUE!</v>
      </c>
      <c r="GM12" t="e">
        <f>AND(Feuil1!B396,"AAAAADz33sI=")</f>
        <v>#VALUE!</v>
      </c>
      <c r="GN12" t="e">
        <f>AND(Feuil1!C396,"AAAAADz33sM=")</f>
        <v>#VALUE!</v>
      </c>
      <c r="GO12" t="e">
        <f>AND(Feuil1!D396,"AAAAADz33sQ=")</f>
        <v>#VALUE!</v>
      </c>
      <c r="GP12" t="e">
        <f>AND(Feuil1!E396,"AAAAADz33sU=")</f>
        <v>#VALUE!</v>
      </c>
      <c r="GQ12">
        <f>IF(Feuil1!397:397,"AAAAADz33sY=",0)</f>
        <v>0</v>
      </c>
      <c r="GR12" t="e">
        <f>AND(Feuil1!A397,"AAAAADz33sc=")</f>
        <v>#VALUE!</v>
      </c>
      <c r="GS12" t="e">
        <f>AND(Feuil1!B397,"AAAAADz33sg=")</f>
        <v>#VALUE!</v>
      </c>
      <c r="GT12" t="e">
        <f>AND(Feuil1!C397,"AAAAADz33sk=")</f>
        <v>#VALUE!</v>
      </c>
      <c r="GU12" t="e">
        <f>AND(Feuil1!D397,"AAAAADz33so=")</f>
        <v>#VALUE!</v>
      </c>
      <c r="GV12" t="e">
        <f>AND(Feuil1!E397,"AAAAADz33ss=")</f>
        <v>#VALUE!</v>
      </c>
      <c r="GW12">
        <f>IF(Feuil1!398:398,"AAAAADz33sw=",0)</f>
        <v>0</v>
      </c>
      <c r="GX12" t="e">
        <f>AND(Feuil1!A398,"AAAAADz33s0=")</f>
        <v>#VALUE!</v>
      </c>
      <c r="GY12" t="e">
        <f>AND(Feuil1!B398,"AAAAADz33s4=")</f>
        <v>#VALUE!</v>
      </c>
      <c r="GZ12" t="e">
        <f>AND(Feuil1!C398,"AAAAADz33s8=")</f>
        <v>#VALUE!</v>
      </c>
      <c r="HA12" t="e">
        <f>AND(Feuil1!D398,"AAAAADz33tA=")</f>
        <v>#VALUE!</v>
      </c>
      <c r="HB12" t="e">
        <f>AND(Feuil1!E398,"AAAAADz33tE=")</f>
        <v>#VALUE!</v>
      </c>
      <c r="HC12">
        <f>IF(Feuil1!399:399,"AAAAADz33tI=",0)</f>
        <v>0</v>
      </c>
      <c r="HD12" t="e">
        <f>AND(Feuil1!A399,"AAAAADz33tM=")</f>
        <v>#VALUE!</v>
      </c>
      <c r="HE12" t="e">
        <f>AND(Feuil1!B399,"AAAAADz33tQ=")</f>
        <v>#VALUE!</v>
      </c>
      <c r="HF12" t="e">
        <f>AND(Feuil1!C399,"AAAAADz33tU=")</f>
        <v>#VALUE!</v>
      </c>
      <c r="HG12" t="e">
        <f>AND(Feuil1!D399,"AAAAADz33tY=")</f>
        <v>#VALUE!</v>
      </c>
      <c r="HH12" t="e">
        <f>AND(Feuil1!E399,"AAAAADz33tc=")</f>
        <v>#VALUE!</v>
      </c>
      <c r="HI12">
        <f>IF(Feuil1!400:400,"AAAAADz33tg=",0)</f>
        <v>0</v>
      </c>
      <c r="HJ12" t="e">
        <f>AND(Feuil1!A400,"AAAAADz33tk=")</f>
        <v>#VALUE!</v>
      </c>
      <c r="HK12" t="e">
        <f>AND(Feuil1!B400,"AAAAADz33to=")</f>
        <v>#VALUE!</v>
      </c>
      <c r="HL12" t="e">
        <f>AND(Feuil1!C400,"AAAAADz33ts=")</f>
        <v>#VALUE!</v>
      </c>
      <c r="HM12" t="e">
        <f>AND(Feuil1!D400,"AAAAADz33tw=")</f>
        <v>#VALUE!</v>
      </c>
      <c r="HN12" t="e">
        <f>AND(Feuil1!E400,"AAAAADz33t0=")</f>
        <v>#VALUE!</v>
      </c>
      <c r="HO12">
        <f>IF(Feuil1!401:401,"AAAAADz33t4=",0)</f>
        <v>0</v>
      </c>
      <c r="HP12" t="e">
        <f>AND(Feuil1!A401,"AAAAADz33t8=")</f>
        <v>#VALUE!</v>
      </c>
      <c r="HQ12" t="e">
        <f>AND(Feuil1!B401,"AAAAADz33uA=")</f>
        <v>#VALUE!</v>
      </c>
      <c r="HR12" t="e">
        <f>AND(Feuil1!C401,"AAAAADz33uE=")</f>
        <v>#VALUE!</v>
      </c>
      <c r="HS12" t="e">
        <f>AND(Feuil1!D401,"AAAAADz33uI=")</f>
        <v>#VALUE!</v>
      </c>
      <c r="HT12" t="e">
        <f>AND(Feuil1!E401,"AAAAADz33uM=")</f>
        <v>#VALUE!</v>
      </c>
      <c r="HU12">
        <f>IF(Feuil1!402:402,"AAAAADz33uQ=",0)</f>
        <v>0</v>
      </c>
      <c r="HV12" t="e">
        <f>AND(Feuil1!A402,"AAAAADz33uU=")</f>
        <v>#VALUE!</v>
      </c>
      <c r="HW12" t="e">
        <f>AND(Feuil1!B402,"AAAAADz33uY=")</f>
        <v>#VALUE!</v>
      </c>
      <c r="HX12" t="e">
        <f>AND(Feuil1!C402,"AAAAADz33uc=")</f>
        <v>#VALUE!</v>
      </c>
      <c r="HY12" t="e">
        <f>AND(Feuil1!D402,"AAAAADz33ug=")</f>
        <v>#VALUE!</v>
      </c>
      <c r="HZ12" t="e">
        <f>AND(Feuil1!E402,"AAAAADz33uk=")</f>
        <v>#VALUE!</v>
      </c>
      <c r="IA12">
        <f>IF(Feuil1!403:403,"AAAAADz33uo=",0)</f>
        <v>0</v>
      </c>
      <c r="IB12" t="e">
        <f>AND(Feuil1!A403,"AAAAADz33us=")</f>
        <v>#VALUE!</v>
      </c>
      <c r="IC12" t="e">
        <f>AND(Feuil1!B403,"AAAAADz33uw=")</f>
        <v>#VALUE!</v>
      </c>
      <c r="ID12" t="e">
        <f>AND(Feuil1!C403,"AAAAADz33u0=")</f>
        <v>#VALUE!</v>
      </c>
      <c r="IE12" t="e">
        <f>AND(Feuil1!D403,"AAAAADz33u4=")</f>
        <v>#VALUE!</v>
      </c>
      <c r="IF12" t="e">
        <f>AND(Feuil1!E403,"AAAAADz33u8=")</f>
        <v>#VALUE!</v>
      </c>
      <c r="IG12">
        <f>IF(Feuil1!404:404,"AAAAADz33vA=",0)</f>
        <v>0</v>
      </c>
      <c r="IH12" t="e">
        <f>AND(Feuil1!A404,"AAAAADz33vE=")</f>
        <v>#VALUE!</v>
      </c>
      <c r="II12" t="e">
        <f>AND(Feuil1!B404,"AAAAADz33vI=")</f>
        <v>#VALUE!</v>
      </c>
      <c r="IJ12" t="e">
        <f>AND(Feuil1!C404,"AAAAADz33vM=")</f>
        <v>#VALUE!</v>
      </c>
      <c r="IK12" t="e">
        <f>AND(Feuil1!D404,"AAAAADz33vQ=")</f>
        <v>#VALUE!</v>
      </c>
      <c r="IL12" t="e">
        <f>AND(Feuil1!E404,"AAAAADz33vU=")</f>
        <v>#VALUE!</v>
      </c>
      <c r="IM12">
        <f>IF(Feuil1!405:405,"AAAAADz33vY=",0)</f>
        <v>0</v>
      </c>
      <c r="IN12" t="e">
        <f>AND(Feuil1!A405,"AAAAADz33vc=")</f>
        <v>#VALUE!</v>
      </c>
      <c r="IO12" t="e">
        <f>AND(Feuil1!B405,"AAAAADz33vg=")</f>
        <v>#VALUE!</v>
      </c>
      <c r="IP12" t="e">
        <f>AND(Feuil1!C405,"AAAAADz33vk=")</f>
        <v>#VALUE!</v>
      </c>
      <c r="IQ12" t="e">
        <f>AND(Feuil1!D405,"AAAAADz33vo=")</f>
        <v>#VALUE!</v>
      </c>
      <c r="IR12" t="e">
        <f>AND(Feuil1!E405,"AAAAADz33vs=")</f>
        <v>#VALUE!</v>
      </c>
      <c r="IS12">
        <f>IF(Feuil1!406:406,"AAAAADz33vw=",0)</f>
        <v>0</v>
      </c>
      <c r="IT12" t="e">
        <f>AND(Feuil1!A406,"AAAAADz33v0=")</f>
        <v>#VALUE!</v>
      </c>
      <c r="IU12" t="e">
        <f>AND(Feuil1!B406,"AAAAADz33v4=")</f>
        <v>#VALUE!</v>
      </c>
      <c r="IV12" t="e">
        <f>AND(Feuil1!C406,"AAAAADz33v8=")</f>
        <v>#VALUE!</v>
      </c>
    </row>
    <row r="13" spans="1:256" x14ac:dyDescent="0.25">
      <c r="A13" t="e">
        <f>AND(Feuil1!D406,"AAAAAH7v/QA=")</f>
        <v>#VALUE!</v>
      </c>
      <c r="B13" t="e">
        <f>AND(Feuil1!E406,"AAAAAH7v/QE=")</f>
        <v>#VALUE!</v>
      </c>
      <c r="C13">
        <f>IF(Feuil1!407:407,"AAAAAH7v/QI=",0)</f>
        <v>0</v>
      </c>
      <c r="D13" t="e">
        <f>AND(Feuil1!A407,"AAAAAH7v/QM=")</f>
        <v>#VALUE!</v>
      </c>
      <c r="E13" t="e">
        <f>AND(Feuil1!B407,"AAAAAH7v/QQ=")</f>
        <v>#VALUE!</v>
      </c>
      <c r="F13" t="e">
        <f>AND(Feuil1!C407,"AAAAAH7v/QU=")</f>
        <v>#VALUE!</v>
      </c>
      <c r="G13" t="e">
        <f>AND(Feuil1!D407,"AAAAAH7v/QY=")</f>
        <v>#VALUE!</v>
      </c>
      <c r="H13" t="e">
        <f>AND(Feuil1!E407,"AAAAAH7v/Qc=")</f>
        <v>#VALUE!</v>
      </c>
      <c r="I13">
        <f>IF(Feuil1!408:408,"AAAAAH7v/Qg=",0)</f>
        <v>0</v>
      </c>
      <c r="J13" t="e">
        <f>AND(Feuil1!A408,"AAAAAH7v/Qk=")</f>
        <v>#VALUE!</v>
      </c>
      <c r="K13" t="e">
        <f>AND(Feuil1!B408,"AAAAAH7v/Qo=")</f>
        <v>#VALUE!</v>
      </c>
      <c r="L13" t="e">
        <f>AND(Feuil1!C408,"AAAAAH7v/Qs=")</f>
        <v>#VALUE!</v>
      </c>
      <c r="M13" t="e">
        <f>AND(Feuil1!D408,"AAAAAH7v/Qw=")</f>
        <v>#VALUE!</v>
      </c>
      <c r="N13" t="e">
        <f>AND(Feuil1!E408,"AAAAAH7v/Q0=")</f>
        <v>#VALUE!</v>
      </c>
      <c r="O13">
        <f>IF(Feuil1!409:409,"AAAAAH7v/Q4=",0)</f>
        <v>0</v>
      </c>
      <c r="P13" t="e">
        <f>AND(Feuil1!A409,"AAAAAH7v/Q8=")</f>
        <v>#VALUE!</v>
      </c>
      <c r="Q13" t="e">
        <f>AND(Feuil1!B409,"AAAAAH7v/RA=")</f>
        <v>#VALUE!</v>
      </c>
      <c r="R13" t="e">
        <f>AND(Feuil1!C409,"AAAAAH7v/RE=")</f>
        <v>#VALUE!</v>
      </c>
      <c r="S13" t="e">
        <f>AND(Feuil1!D409,"AAAAAH7v/RI=")</f>
        <v>#VALUE!</v>
      </c>
      <c r="T13" t="e">
        <f>AND(Feuil1!E409,"AAAAAH7v/RM=")</f>
        <v>#VALUE!</v>
      </c>
      <c r="U13">
        <f>IF(Feuil1!410:410,"AAAAAH7v/RQ=",0)</f>
        <v>0</v>
      </c>
      <c r="V13" t="e">
        <f>AND(Feuil1!A410,"AAAAAH7v/RU=")</f>
        <v>#VALUE!</v>
      </c>
      <c r="W13" t="e">
        <f>AND(Feuil1!B410,"AAAAAH7v/RY=")</f>
        <v>#VALUE!</v>
      </c>
      <c r="X13" t="e">
        <f>AND(Feuil1!C410,"AAAAAH7v/Rc=")</f>
        <v>#VALUE!</v>
      </c>
      <c r="Y13" t="e">
        <f>AND(Feuil1!D410,"AAAAAH7v/Rg=")</f>
        <v>#VALUE!</v>
      </c>
      <c r="Z13" t="e">
        <f>AND(Feuil1!E410,"AAAAAH7v/Rk=")</f>
        <v>#VALUE!</v>
      </c>
      <c r="AA13">
        <f>IF(Feuil1!411:411,"AAAAAH7v/Ro=",0)</f>
        <v>0</v>
      </c>
      <c r="AB13" t="e">
        <f>AND(Feuil1!A411,"AAAAAH7v/Rs=")</f>
        <v>#VALUE!</v>
      </c>
      <c r="AC13" t="e">
        <f>AND(Feuil1!B411,"AAAAAH7v/Rw=")</f>
        <v>#VALUE!</v>
      </c>
      <c r="AD13" t="e">
        <f>AND(Feuil1!C411,"AAAAAH7v/R0=")</f>
        <v>#VALUE!</v>
      </c>
      <c r="AE13" t="e">
        <f>AND(Feuil1!D411,"AAAAAH7v/R4=")</f>
        <v>#VALUE!</v>
      </c>
      <c r="AF13" t="e">
        <f>AND(Feuil1!E411,"AAAAAH7v/R8=")</f>
        <v>#VALUE!</v>
      </c>
      <c r="AG13">
        <f>IF(Feuil1!412:412,"AAAAAH7v/SA=",0)</f>
        <v>0</v>
      </c>
      <c r="AH13" t="e">
        <f>AND(Feuil1!A412,"AAAAAH7v/SE=")</f>
        <v>#VALUE!</v>
      </c>
      <c r="AI13" t="e">
        <f>AND(Feuil1!B412,"AAAAAH7v/SI=")</f>
        <v>#VALUE!</v>
      </c>
      <c r="AJ13" t="e">
        <f>AND(Feuil1!C412,"AAAAAH7v/SM=")</f>
        <v>#VALUE!</v>
      </c>
      <c r="AK13" t="e">
        <f>AND(Feuil1!D412,"AAAAAH7v/SQ=")</f>
        <v>#VALUE!</v>
      </c>
      <c r="AL13" t="e">
        <f>AND(Feuil1!E412,"AAAAAH7v/SU=")</f>
        <v>#VALUE!</v>
      </c>
      <c r="AM13">
        <f>IF(Feuil1!413:413,"AAAAAH7v/SY=",0)</f>
        <v>0</v>
      </c>
      <c r="AN13" t="e">
        <f>AND(Feuil1!A413,"AAAAAH7v/Sc=")</f>
        <v>#VALUE!</v>
      </c>
      <c r="AO13" t="e">
        <f>AND(Feuil1!B413,"AAAAAH7v/Sg=")</f>
        <v>#VALUE!</v>
      </c>
      <c r="AP13" t="e">
        <f>AND(Feuil1!C413,"AAAAAH7v/Sk=")</f>
        <v>#VALUE!</v>
      </c>
      <c r="AQ13" t="e">
        <f>AND(Feuil1!D413,"AAAAAH7v/So=")</f>
        <v>#VALUE!</v>
      </c>
      <c r="AR13" t="e">
        <f>AND(Feuil1!E413,"AAAAAH7v/Ss=")</f>
        <v>#VALUE!</v>
      </c>
      <c r="AS13">
        <f>IF(Feuil1!414:414,"AAAAAH7v/Sw=",0)</f>
        <v>0</v>
      </c>
      <c r="AT13" t="e">
        <f>AND(Feuil1!A414,"AAAAAH7v/S0=")</f>
        <v>#VALUE!</v>
      </c>
      <c r="AU13" t="e">
        <f>AND(Feuil1!B414,"AAAAAH7v/S4=")</f>
        <v>#VALUE!</v>
      </c>
      <c r="AV13" t="e">
        <f>AND(Feuil1!C414,"AAAAAH7v/S8=")</f>
        <v>#VALUE!</v>
      </c>
      <c r="AW13" t="e">
        <f>AND(Feuil1!D414,"AAAAAH7v/TA=")</f>
        <v>#VALUE!</v>
      </c>
      <c r="AX13" t="e">
        <f>AND(Feuil1!E414,"AAAAAH7v/TE=")</f>
        <v>#VALUE!</v>
      </c>
      <c r="AY13">
        <f>IF(Feuil1!415:415,"AAAAAH7v/TI=",0)</f>
        <v>0</v>
      </c>
      <c r="AZ13" t="e">
        <f>AND(Feuil1!A415,"AAAAAH7v/TM=")</f>
        <v>#VALUE!</v>
      </c>
      <c r="BA13" t="e">
        <f>AND(Feuil1!B415,"AAAAAH7v/TQ=")</f>
        <v>#VALUE!</v>
      </c>
      <c r="BB13" t="e">
        <f>AND(Feuil1!C415,"AAAAAH7v/TU=")</f>
        <v>#VALUE!</v>
      </c>
      <c r="BC13" t="e">
        <f>AND(Feuil1!D415,"AAAAAH7v/TY=")</f>
        <v>#VALUE!</v>
      </c>
      <c r="BD13" t="e">
        <f>AND(Feuil1!E415,"AAAAAH7v/Tc=")</f>
        <v>#VALUE!</v>
      </c>
      <c r="BE13">
        <f>IF(Feuil1!416:416,"AAAAAH7v/Tg=",0)</f>
        <v>0</v>
      </c>
      <c r="BF13" t="e">
        <f>AND(Feuil1!A416,"AAAAAH7v/Tk=")</f>
        <v>#VALUE!</v>
      </c>
      <c r="BG13" t="e">
        <f>AND(Feuil1!B416,"AAAAAH7v/To=")</f>
        <v>#VALUE!</v>
      </c>
      <c r="BH13" t="e">
        <f>AND(Feuil1!C416,"AAAAAH7v/Ts=")</f>
        <v>#VALUE!</v>
      </c>
      <c r="BI13" t="e">
        <f>AND(Feuil1!D416,"AAAAAH7v/Tw=")</f>
        <v>#VALUE!</v>
      </c>
      <c r="BJ13" t="e">
        <f>AND(Feuil1!E416,"AAAAAH7v/T0=")</f>
        <v>#VALUE!</v>
      </c>
      <c r="BK13">
        <f>IF(Feuil1!417:417,"AAAAAH7v/T4=",0)</f>
        <v>0</v>
      </c>
      <c r="BL13" t="e">
        <f>AND(Feuil1!A417,"AAAAAH7v/T8=")</f>
        <v>#VALUE!</v>
      </c>
      <c r="BM13" t="e">
        <f>AND(Feuil1!B417,"AAAAAH7v/UA=")</f>
        <v>#VALUE!</v>
      </c>
      <c r="BN13" t="e">
        <f>AND(Feuil1!C417,"AAAAAH7v/UE=")</f>
        <v>#VALUE!</v>
      </c>
      <c r="BO13" t="e">
        <f>AND(Feuil1!D417,"AAAAAH7v/UI=")</f>
        <v>#VALUE!</v>
      </c>
      <c r="BP13" t="e">
        <f>AND(Feuil1!E417,"AAAAAH7v/UM=")</f>
        <v>#VALUE!</v>
      </c>
      <c r="BQ13">
        <f>IF(Feuil1!418:418,"AAAAAH7v/UQ=",0)</f>
        <v>0</v>
      </c>
      <c r="BR13" t="e">
        <f>AND(Feuil1!A418,"AAAAAH7v/UU=")</f>
        <v>#VALUE!</v>
      </c>
      <c r="BS13" t="e">
        <f>AND(Feuil1!B418,"AAAAAH7v/UY=")</f>
        <v>#VALUE!</v>
      </c>
      <c r="BT13" t="e">
        <f>AND(Feuil1!C418,"AAAAAH7v/Uc=")</f>
        <v>#VALUE!</v>
      </c>
      <c r="BU13" t="e">
        <f>AND(Feuil1!D418,"AAAAAH7v/Ug=")</f>
        <v>#VALUE!</v>
      </c>
      <c r="BV13" t="e">
        <f>AND(Feuil1!E418,"AAAAAH7v/Uk=")</f>
        <v>#VALUE!</v>
      </c>
      <c r="BW13">
        <f>IF(Feuil1!419:419,"AAAAAH7v/Uo=",0)</f>
        <v>0</v>
      </c>
      <c r="BX13" t="e">
        <f>AND(Feuil1!A419,"AAAAAH7v/Us=")</f>
        <v>#VALUE!</v>
      </c>
      <c r="BY13" t="e">
        <f>AND(Feuil1!B419,"AAAAAH7v/Uw=")</f>
        <v>#VALUE!</v>
      </c>
      <c r="BZ13" t="e">
        <f>AND(Feuil1!C419,"AAAAAH7v/U0=")</f>
        <v>#VALUE!</v>
      </c>
      <c r="CA13" t="e">
        <f>AND(Feuil1!D419,"AAAAAH7v/U4=")</f>
        <v>#VALUE!</v>
      </c>
      <c r="CB13" t="e">
        <f>AND(Feuil1!E419,"AAAAAH7v/U8=")</f>
        <v>#VALUE!</v>
      </c>
      <c r="CC13">
        <f>IF(Feuil1!420:420,"AAAAAH7v/VA=",0)</f>
        <v>0</v>
      </c>
      <c r="CD13" t="e">
        <f>AND(Feuil1!A420,"AAAAAH7v/VE=")</f>
        <v>#VALUE!</v>
      </c>
      <c r="CE13" t="e">
        <f>AND(Feuil1!B420,"AAAAAH7v/VI=")</f>
        <v>#VALUE!</v>
      </c>
      <c r="CF13" t="e">
        <f>AND(Feuil1!C420,"AAAAAH7v/VM=")</f>
        <v>#VALUE!</v>
      </c>
      <c r="CG13" t="e">
        <f>AND(Feuil1!D420,"AAAAAH7v/VQ=")</f>
        <v>#VALUE!</v>
      </c>
      <c r="CH13" t="e">
        <f>AND(Feuil1!E420,"AAAAAH7v/VU=")</f>
        <v>#VALUE!</v>
      </c>
      <c r="CI13">
        <f>IF(Feuil1!421:421,"AAAAAH7v/VY=",0)</f>
        <v>0</v>
      </c>
      <c r="CJ13" t="e">
        <f>AND(Feuil1!A421,"AAAAAH7v/Vc=")</f>
        <v>#VALUE!</v>
      </c>
      <c r="CK13" t="e">
        <f>AND(Feuil1!B421,"AAAAAH7v/Vg=")</f>
        <v>#VALUE!</v>
      </c>
      <c r="CL13" t="e">
        <f>AND(Feuil1!C421,"AAAAAH7v/Vk=")</f>
        <v>#VALUE!</v>
      </c>
      <c r="CM13" t="e">
        <f>AND(Feuil1!D421,"AAAAAH7v/Vo=")</f>
        <v>#VALUE!</v>
      </c>
      <c r="CN13" t="e">
        <f>AND(Feuil1!E421,"AAAAAH7v/Vs=")</f>
        <v>#VALUE!</v>
      </c>
      <c r="CO13">
        <f>IF(Feuil1!422:422,"AAAAAH7v/Vw=",0)</f>
        <v>0</v>
      </c>
      <c r="CP13" t="e">
        <f>AND(Feuil1!A422,"AAAAAH7v/V0=")</f>
        <v>#VALUE!</v>
      </c>
      <c r="CQ13" t="e">
        <f>AND(Feuil1!B422,"AAAAAH7v/V4=")</f>
        <v>#VALUE!</v>
      </c>
      <c r="CR13" t="e">
        <f>AND(Feuil1!C422,"AAAAAH7v/V8=")</f>
        <v>#VALUE!</v>
      </c>
      <c r="CS13" t="e">
        <f>AND(Feuil1!D422,"AAAAAH7v/WA=")</f>
        <v>#VALUE!</v>
      </c>
      <c r="CT13" t="e">
        <f>AND(Feuil1!E422,"AAAAAH7v/WE=")</f>
        <v>#VALUE!</v>
      </c>
      <c r="CU13">
        <f>IF(Feuil1!423:423,"AAAAAH7v/WI=",0)</f>
        <v>0</v>
      </c>
      <c r="CV13" t="e">
        <f>AND(Feuil1!A423,"AAAAAH7v/WM=")</f>
        <v>#VALUE!</v>
      </c>
      <c r="CW13" t="e">
        <f>AND(Feuil1!B423,"AAAAAH7v/WQ=")</f>
        <v>#VALUE!</v>
      </c>
      <c r="CX13" t="e">
        <f>AND(Feuil1!C423,"AAAAAH7v/WU=")</f>
        <v>#VALUE!</v>
      </c>
      <c r="CY13" t="e">
        <f>AND(Feuil1!D423,"AAAAAH7v/WY=")</f>
        <v>#VALUE!</v>
      </c>
      <c r="CZ13" t="e">
        <f>AND(Feuil1!E423,"AAAAAH7v/Wc=")</f>
        <v>#VALUE!</v>
      </c>
      <c r="DA13">
        <f>IF(Feuil1!424:424,"AAAAAH7v/Wg=",0)</f>
        <v>0</v>
      </c>
      <c r="DB13" t="e">
        <f>AND(Feuil1!A424,"AAAAAH7v/Wk=")</f>
        <v>#VALUE!</v>
      </c>
      <c r="DC13" t="e">
        <f>AND(Feuil1!B424,"AAAAAH7v/Wo=")</f>
        <v>#VALUE!</v>
      </c>
      <c r="DD13" t="e">
        <f>AND(Feuil1!C424,"AAAAAH7v/Ws=")</f>
        <v>#VALUE!</v>
      </c>
      <c r="DE13" t="e">
        <f>AND(Feuil1!D424,"AAAAAH7v/Ww=")</f>
        <v>#VALUE!</v>
      </c>
      <c r="DF13" t="e">
        <f>AND(Feuil1!E424,"AAAAAH7v/W0=")</f>
        <v>#VALUE!</v>
      </c>
      <c r="DG13">
        <f>IF(Feuil1!425:425,"AAAAAH7v/W4=",0)</f>
        <v>0</v>
      </c>
      <c r="DH13" t="e">
        <f>AND(Feuil1!A425,"AAAAAH7v/W8=")</f>
        <v>#VALUE!</v>
      </c>
      <c r="DI13" t="e">
        <f>AND(Feuil1!B425,"AAAAAH7v/XA=")</f>
        <v>#VALUE!</v>
      </c>
      <c r="DJ13" t="e">
        <f>AND(Feuil1!C425,"AAAAAH7v/XE=")</f>
        <v>#VALUE!</v>
      </c>
      <c r="DK13" t="e">
        <f>AND(Feuil1!D425,"AAAAAH7v/XI=")</f>
        <v>#VALUE!</v>
      </c>
      <c r="DL13" t="e">
        <f>AND(Feuil1!E425,"AAAAAH7v/XM=")</f>
        <v>#VALUE!</v>
      </c>
      <c r="DM13">
        <f>IF(Feuil1!426:426,"AAAAAH7v/XQ=",0)</f>
        <v>0</v>
      </c>
      <c r="DN13" t="e">
        <f>AND(Feuil1!A426,"AAAAAH7v/XU=")</f>
        <v>#VALUE!</v>
      </c>
      <c r="DO13" t="e">
        <f>AND(Feuil1!B426,"AAAAAH7v/XY=")</f>
        <v>#VALUE!</v>
      </c>
      <c r="DP13" t="e">
        <f>AND(Feuil1!C426,"AAAAAH7v/Xc=")</f>
        <v>#VALUE!</v>
      </c>
      <c r="DQ13" t="e">
        <f>AND(Feuil1!D426,"AAAAAH7v/Xg=")</f>
        <v>#VALUE!</v>
      </c>
      <c r="DR13" t="e">
        <f>AND(Feuil1!E426,"AAAAAH7v/Xk=")</f>
        <v>#VALUE!</v>
      </c>
      <c r="DS13">
        <f>IF(Feuil1!427:427,"AAAAAH7v/Xo=",0)</f>
        <v>0</v>
      </c>
      <c r="DT13" t="e">
        <f>AND(Feuil1!A427,"AAAAAH7v/Xs=")</f>
        <v>#VALUE!</v>
      </c>
      <c r="DU13" t="e">
        <f>AND(Feuil1!B427,"AAAAAH7v/Xw=")</f>
        <v>#VALUE!</v>
      </c>
      <c r="DV13" t="e">
        <f>AND(Feuil1!C427,"AAAAAH7v/X0=")</f>
        <v>#VALUE!</v>
      </c>
      <c r="DW13" t="e">
        <f>AND(Feuil1!D427,"AAAAAH7v/X4=")</f>
        <v>#VALUE!</v>
      </c>
      <c r="DX13" t="e">
        <f>AND(Feuil1!E427,"AAAAAH7v/X8=")</f>
        <v>#VALUE!</v>
      </c>
      <c r="DY13">
        <f>IF(Feuil1!428:428,"AAAAAH7v/YA=",0)</f>
        <v>0</v>
      </c>
      <c r="DZ13" t="e">
        <f>AND(Feuil1!A428,"AAAAAH7v/YE=")</f>
        <v>#VALUE!</v>
      </c>
      <c r="EA13" t="e">
        <f>AND(Feuil1!B428,"AAAAAH7v/YI=")</f>
        <v>#VALUE!</v>
      </c>
      <c r="EB13" t="e">
        <f>AND(Feuil1!C428,"AAAAAH7v/YM=")</f>
        <v>#VALUE!</v>
      </c>
      <c r="EC13" t="e">
        <f>AND(Feuil1!D428,"AAAAAH7v/YQ=")</f>
        <v>#VALUE!</v>
      </c>
      <c r="ED13" t="e">
        <f>AND(Feuil1!E428,"AAAAAH7v/YU=")</f>
        <v>#VALUE!</v>
      </c>
      <c r="EE13">
        <f>IF(Feuil1!429:429,"AAAAAH7v/YY=",0)</f>
        <v>0</v>
      </c>
      <c r="EF13" t="e">
        <f>AND(Feuil1!A429,"AAAAAH7v/Yc=")</f>
        <v>#VALUE!</v>
      </c>
      <c r="EG13" t="e">
        <f>AND(Feuil1!B429,"AAAAAH7v/Yg=")</f>
        <v>#VALUE!</v>
      </c>
      <c r="EH13" t="e">
        <f>AND(Feuil1!C429,"AAAAAH7v/Yk=")</f>
        <v>#VALUE!</v>
      </c>
      <c r="EI13" t="e">
        <f>AND(Feuil1!D429,"AAAAAH7v/Yo=")</f>
        <v>#VALUE!</v>
      </c>
      <c r="EJ13" t="e">
        <f>AND(Feuil1!E429,"AAAAAH7v/Ys=")</f>
        <v>#VALUE!</v>
      </c>
      <c r="EK13">
        <f>IF(Feuil1!430:430,"AAAAAH7v/Yw=",0)</f>
        <v>0</v>
      </c>
      <c r="EL13" t="e">
        <f>AND(Feuil1!A430,"AAAAAH7v/Y0=")</f>
        <v>#VALUE!</v>
      </c>
      <c r="EM13" t="e">
        <f>AND(Feuil1!B430,"AAAAAH7v/Y4=")</f>
        <v>#VALUE!</v>
      </c>
      <c r="EN13" t="e">
        <f>AND(Feuil1!C430,"AAAAAH7v/Y8=")</f>
        <v>#VALUE!</v>
      </c>
      <c r="EO13" t="e">
        <f>AND(Feuil1!D430,"AAAAAH7v/ZA=")</f>
        <v>#VALUE!</v>
      </c>
      <c r="EP13" t="e">
        <f>AND(Feuil1!E430,"AAAAAH7v/ZE=")</f>
        <v>#VALUE!</v>
      </c>
      <c r="EQ13">
        <f>IF(Feuil1!431:431,"AAAAAH7v/ZI=",0)</f>
        <v>0</v>
      </c>
      <c r="ER13" t="e">
        <f>AND(Feuil1!A431,"AAAAAH7v/ZM=")</f>
        <v>#VALUE!</v>
      </c>
      <c r="ES13" t="e">
        <f>AND(Feuil1!B431,"AAAAAH7v/ZQ=")</f>
        <v>#VALUE!</v>
      </c>
      <c r="ET13" t="e">
        <f>AND(Feuil1!C431,"AAAAAH7v/ZU=")</f>
        <v>#VALUE!</v>
      </c>
      <c r="EU13" t="e">
        <f>AND(Feuil1!D431,"AAAAAH7v/ZY=")</f>
        <v>#VALUE!</v>
      </c>
      <c r="EV13" t="e">
        <f>AND(Feuil1!E431,"AAAAAH7v/Zc=")</f>
        <v>#VALUE!</v>
      </c>
      <c r="EW13">
        <f>IF(Feuil1!432:432,"AAAAAH7v/Zg=",0)</f>
        <v>0</v>
      </c>
      <c r="EX13" t="e">
        <f>AND(Feuil1!A432,"AAAAAH7v/Zk=")</f>
        <v>#VALUE!</v>
      </c>
      <c r="EY13" t="e">
        <f>AND(Feuil1!B432,"AAAAAH7v/Zo=")</f>
        <v>#VALUE!</v>
      </c>
      <c r="EZ13" t="e">
        <f>AND(Feuil1!C432,"AAAAAH7v/Zs=")</f>
        <v>#VALUE!</v>
      </c>
      <c r="FA13" t="e">
        <f>AND(Feuil1!D432,"AAAAAH7v/Zw=")</f>
        <v>#VALUE!</v>
      </c>
      <c r="FB13" t="e">
        <f>AND(Feuil1!E432,"AAAAAH7v/Z0=")</f>
        <v>#VALUE!</v>
      </c>
      <c r="FC13">
        <f>IF(Feuil1!433:433,"AAAAAH7v/Z4=",0)</f>
        <v>0</v>
      </c>
      <c r="FD13" t="e">
        <f>AND(Feuil1!A433,"AAAAAH7v/Z8=")</f>
        <v>#VALUE!</v>
      </c>
      <c r="FE13" t="e">
        <f>AND(Feuil1!B433,"AAAAAH7v/aA=")</f>
        <v>#VALUE!</v>
      </c>
      <c r="FF13" t="e">
        <f>AND(Feuil1!C433,"AAAAAH7v/aE=")</f>
        <v>#VALUE!</v>
      </c>
      <c r="FG13" t="e">
        <f>AND(Feuil1!D433,"AAAAAH7v/aI=")</f>
        <v>#VALUE!</v>
      </c>
      <c r="FH13" t="e">
        <f>AND(Feuil1!E433,"AAAAAH7v/aM=")</f>
        <v>#VALUE!</v>
      </c>
      <c r="FI13">
        <f>IF(Feuil1!434:434,"AAAAAH7v/aQ=",0)</f>
        <v>0</v>
      </c>
      <c r="FJ13" t="e">
        <f>AND(Feuil1!A434,"AAAAAH7v/aU=")</f>
        <v>#VALUE!</v>
      </c>
      <c r="FK13" t="e">
        <f>AND(Feuil1!B434,"AAAAAH7v/aY=")</f>
        <v>#VALUE!</v>
      </c>
      <c r="FL13" t="e">
        <f>AND(Feuil1!C434,"AAAAAH7v/ac=")</f>
        <v>#VALUE!</v>
      </c>
      <c r="FM13" t="e">
        <f>AND(Feuil1!D434,"AAAAAH7v/ag=")</f>
        <v>#VALUE!</v>
      </c>
      <c r="FN13" t="e">
        <f>AND(Feuil1!E434,"AAAAAH7v/ak=")</f>
        <v>#VALUE!</v>
      </c>
      <c r="FO13">
        <f>IF(Feuil1!435:435,"AAAAAH7v/ao=",0)</f>
        <v>0</v>
      </c>
      <c r="FP13" t="e">
        <f>AND(Feuil1!A435,"AAAAAH7v/as=")</f>
        <v>#VALUE!</v>
      </c>
      <c r="FQ13" t="e">
        <f>AND(Feuil1!B435,"AAAAAH7v/aw=")</f>
        <v>#VALUE!</v>
      </c>
      <c r="FR13" t="e">
        <f>AND(Feuil1!C435,"AAAAAH7v/a0=")</f>
        <v>#VALUE!</v>
      </c>
      <c r="FS13" t="e">
        <f>AND(Feuil1!D435,"AAAAAH7v/a4=")</f>
        <v>#VALUE!</v>
      </c>
      <c r="FT13" t="e">
        <f>AND(Feuil1!E435,"AAAAAH7v/a8=")</f>
        <v>#VALUE!</v>
      </c>
      <c r="FU13">
        <f>IF(Feuil1!436:436,"AAAAAH7v/bA=",0)</f>
        <v>0</v>
      </c>
      <c r="FV13" t="e">
        <f>AND(Feuil1!A436,"AAAAAH7v/bE=")</f>
        <v>#VALUE!</v>
      </c>
      <c r="FW13" t="e">
        <f>AND(Feuil1!B436,"AAAAAH7v/bI=")</f>
        <v>#VALUE!</v>
      </c>
      <c r="FX13" t="e">
        <f>AND(Feuil1!C436,"AAAAAH7v/bM=")</f>
        <v>#VALUE!</v>
      </c>
      <c r="FY13" t="e">
        <f>AND(Feuil1!D436,"AAAAAH7v/bQ=")</f>
        <v>#VALUE!</v>
      </c>
      <c r="FZ13" t="e">
        <f>AND(Feuil1!E436,"AAAAAH7v/bU=")</f>
        <v>#VALUE!</v>
      </c>
      <c r="GA13">
        <f>IF(Feuil1!437:437,"AAAAAH7v/bY=",0)</f>
        <v>0</v>
      </c>
      <c r="GB13" t="e">
        <f>AND(Feuil1!A437,"AAAAAH7v/bc=")</f>
        <v>#VALUE!</v>
      </c>
      <c r="GC13" t="e">
        <f>AND(Feuil1!B437,"AAAAAH7v/bg=")</f>
        <v>#VALUE!</v>
      </c>
      <c r="GD13" t="e">
        <f>AND(Feuil1!C437,"AAAAAH7v/bk=")</f>
        <v>#VALUE!</v>
      </c>
      <c r="GE13" t="e">
        <f>AND(Feuil1!D437,"AAAAAH7v/bo=")</f>
        <v>#VALUE!</v>
      </c>
      <c r="GF13" t="e">
        <f>AND(Feuil1!E437,"AAAAAH7v/bs=")</f>
        <v>#VALUE!</v>
      </c>
      <c r="GG13">
        <f>IF(Feuil1!438:438,"AAAAAH7v/bw=",0)</f>
        <v>0</v>
      </c>
      <c r="GH13" t="e">
        <f>AND(Feuil1!A438,"AAAAAH7v/b0=")</f>
        <v>#VALUE!</v>
      </c>
      <c r="GI13" t="e">
        <f>AND(Feuil1!B438,"AAAAAH7v/b4=")</f>
        <v>#VALUE!</v>
      </c>
      <c r="GJ13" t="e">
        <f>AND(Feuil1!C438,"AAAAAH7v/b8=")</f>
        <v>#VALUE!</v>
      </c>
      <c r="GK13" t="e">
        <f>AND(Feuil1!D438,"AAAAAH7v/cA=")</f>
        <v>#VALUE!</v>
      </c>
      <c r="GL13" t="e">
        <f>AND(Feuil1!E438,"AAAAAH7v/cE=")</f>
        <v>#VALUE!</v>
      </c>
      <c r="GM13">
        <f>IF(Feuil1!439:439,"AAAAAH7v/cI=",0)</f>
        <v>0</v>
      </c>
      <c r="GN13" t="e">
        <f>AND(Feuil1!A439,"AAAAAH7v/cM=")</f>
        <v>#VALUE!</v>
      </c>
      <c r="GO13" t="e">
        <f>AND(Feuil1!B439,"AAAAAH7v/cQ=")</f>
        <v>#VALUE!</v>
      </c>
      <c r="GP13" t="e">
        <f>AND(Feuil1!C439,"AAAAAH7v/cU=")</f>
        <v>#VALUE!</v>
      </c>
      <c r="GQ13" t="e">
        <f>AND(Feuil1!D439,"AAAAAH7v/cY=")</f>
        <v>#VALUE!</v>
      </c>
      <c r="GR13" t="e">
        <f>AND(Feuil1!E439,"AAAAAH7v/cc=")</f>
        <v>#VALUE!</v>
      </c>
      <c r="GS13">
        <f>IF(Feuil1!440:440,"AAAAAH7v/cg=",0)</f>
        <v>0</v>
      </c>
      <c r="GT13" t="e">
        <f>AND(Feuil1!A440,"AAAAAH7v/ck=")</f>
        <v>#VALUE!</v>
      </c>
      <c r="GU13" t="e">
        <f>AND(Feuil1!B440,"AAAAAH7v/co=")</f>
        <v>#VALUE!</v>
      </c>
      <c r="GV13" t="e">
        <f>AND(Feuil1!C440,"AAAAAH7v/cs=")</f>
        <v>#VALUE!</v>
      </c>
      <c r="GW13" t="e">
        <f>AND(Feuil1!D440,"AAAAAH7v/cw=")</f>
        <v>#VALUE!</v>
      </c>
      <c r="GX13" t="e">
        <f>AND(Feuil1!E440,"AAAAAH7v/c0=")</f>
        <v>#VALUE!</v>
      </c>
      <c r="GY13">
        <f>IF(Feuil1!441:441,"AAAAAH7v/c4=",0)</f>
        <v>0</v>
      </c>
      <c r="GZ13" t="e">
        <f>AND(Feuil1!A441,"AAAAAH7v/c8=")</f>
        <v>#VALUE!</v>
      </c>
      <c r="HA13" t="e">
        <f>AND(Feuil1!B441,"AAAAAH7v/dA=")</f>
        <v>#VALUE!</v>
      </c>
      <c r="HB13" t="e">
        <f>AND(Feuil1!C441,"AAAAAH7v/dE=")</f>
        <v>#VALUE!</v>
      </c>
      <c r="HC13" t="e">
        <f>AND(Feuil1!D441,"AAAAAH7v/dI=")</f>
        <v>#VALUE!</v>
      </c>
      <c r="HD13" t="e">
        <f>AND(Feuil1!E441,"AAAAAH7v/dM=")</f>
        <v>#VALUE!</v>
      </c>
      <c r="HE13">
        <f>IF(Feuil1!442:442,"AAAAAH7v/dQ=",0)</f>
        <v>0</v>
      </c>
      <c r="HF13" t="e">
        <f>AND(Feuil1!A442,"AAAAAH7v/dU=")</f>
        <v>#VALUE!</v>
      </c>
      <c r="HG13" t="e">
        <f>AND(Feuil1!B442,"AAAAAH7v/dY=")</f>
        <v>#VALUE!</v>
      </c>
      <c r="HH13" t="e">
        <f>AND(Feuil1!C442,"AAAAAH7v/dc=")</f>
        <v>#VALUE!</v>
      </c>
      <c r="HI13" t="e">
        <f>AND(Feuil1!D442,"AAAAAH7v/dg=")</f>
        <v>#VALUE!</v>
      </c>
      <c r="HJ13" t="e">
        <f>AND(Feuil1!E442,"AAAAAH7v/dk=")</f>
        <v>#VALUE!</v>
      </c>
      <c r="HK13">
        <f>IF(Feuil1!443:443,"AAAAAH7v/do=",0)</f>
        <v>0</v>
      </c>
      <c r="HL13" t="e">
        <f>AND(Feuil1!A443,"AAAAAH7v/ds=")</f>
        <v>#VALUE!</v>
      </c>
      <c r="HM13" t="e">
        <f>AND(Feuil1!B443,"AAAAAH7v/dw=")</f>
        <v>#VALUE!</v>
      </c>
      <c r="HN13" t="e">
        <f>AND(Feuil1!C443,"AAAAAH7v/d0=")</f>
        <v>#VALUE!</v>
      </c>
      <c r="HO13" t="e">
        <f>AND(Feuil1!D443,"AAAAAH7v/d4=")</f>
        <v>#VALUE!</v>
      </c>
      <c r="HP13" t="e">
        <f>AND(Feuil1!E443,"AAAAAH7v/d8=")</f>
        <v>#VALUE!</v>
      </c>
      <c r="HQ13">
        <f>IF(Feuil1!444:444,"AAAAAH7v/eA=",0)</f>
        <v>0</v>
      </c>
      <c r="HR13" t="e">
        <f>AND(Feuil1!A444,"AAAAAH7v/eE=")</f>
        <v>#VALUE!</v>
      </c>
      <c r="HS13" t="e">
        <f>AND(Feuil1!B444,"AAAAAH7v/eI=")</f>
        <v>#VALUE!</v>
      </c>
      <c r="HT13" t="e">
        <f>AND(Feuil1!C444,"AAAAAH7v/eM=")</f>
        <v>#VALUE!</v>
      </c>
      <c r="HU13" t="e">
        <f>AND(Feuil1!D444,"AAAAAH7v/eQ=")</f>
        <v>#VALUE!</v>
      </c>
      <c r="HV13" t="e">
        <f>AND(Feuil1!E444,"AAAAAH7v/eU=")</f>
        <v>#VALUE!</v>
      </c>
      <c r="HW13">
        <f>IF(Feuil1!445:445,"AAAAAH7v/eY=",0)</f>
        <v>0</v>
      </c>
      <c r="HX13" t="e">
        <f>AND(Feuil1!A445,"AAAAAH7v/ec=")</f>
        <v>#VALUE!</v>
      </c>
      <c r="HY13" t="e">
        <f>AND(Feuil1!B445,"AAAAAH7v/eg=")</f>
        <v>#VALUE!</v>
      </c>
      <c r="HZ13" t="e">
        <f>AND(Feuil1!C445,"AAAAAH7v/ek=")</f>
        <v>#VALUE!</v>
      </c>
      <c r="IA13" t="e">
        <f>AND(Feuil1!D445,"AAAAAH7v/eo=")</f>
        <v>#VALUE!</v>
      </c>
      <c r="IB13" t="e">
        <f>AND(Feuil1!E445,"AAAAAH7v/es=")</f>
        <v>#VALUE!</v>
      </c>
      <c r="IC13">
        <f>IF(Feuil1!446:446,"AAAAAH7v/ew=",0)</f>
        <v>0</v>
      </c>
      <c r="ID13" t="e">
        <f>AND(Feuil1!A446,"AAAAAH7v/e0=")</f>
        <v>#VALUE!</v>
      </c>
      <c r="IE13" t="e">
        <f>AND(Feuil1!B446,"AAAAAH7v/e4=")</f>
        <v>#VALUE!</v>
      </c>
      <c r="IF13" t="e">
        <f>AND(Feuil1!C446,"AAAAAH7v/e8=")</f>
        <v>#VALUE!</v>
      </c>
      <c r="IG13" t="e">
        <f>AND(Feuil1!D446,"AAAAAH7v/fA=")</f>
        <v>#VALUE!</v>
      </c>
      <c r="IH13" t="e">
        <f>AND(Feuil1!E446,"AAAAAH7v/fE=")</f>
        <v>#VALUE!</v>
      </c>
      <c r="II13">
        <f>IF(Feuil1!447:447,"AAAAAH7v/fI=",0)</f>
        <v>0</v>
      </c>
      <c r="IJ13" t="e">
        <f>AND(Feuil1!A447,"AAAAAH7v/fM=")</f>
        <v>#VALUE!</v>
      </c>
      <c r="IK13" t="e">
        <f>AND(Feuil1!B447,"AAAAAH7v/fQ=")</f>
        <v>#VALUE!</v>
      </c>
      <c r="IL13" t="e">
        <f>AND(Feuil1!C447,"AAAAAH7v/fU=")</f>
        <v>#VALUE!</v>
      </c>
      <c r="IM13" t="e">
        <f>AND(Feuil1!D447,"AAAAAH7v/fY=")</f>
        <v>#VALUE!</v>
      </c>
      <c r="IN13" t="e">
        <f>AND(Feuil1!E447,"AAAAAH7v/fc=")</f>
        <v>#VALUE!</v>
      </c>
      <c r="IO13">
        <f>IF(Feuil1!448:448,"AAAAAH7v/fg=",0)</f>
        <v>0</v>
      </c>
      <c r="IP13" t="e">
        <f>AND(Feuil1!A448,"AAAAAH7v/fk=")</f>
        <v>#VALUE!</v>
      </c>
      <c r="IQ13" t="e">
        <f>AND(Feuil1!B448,"AAAAAH7v/fo=")</f>
        <v>#VALUE!</v>
      </c>
      <c r="IR13" t="e">
        <f>AND(Feuil1!C448,"AAAAAH7v/fs=")</f>
        <v>#VALUE!</v>
      </c>
      <c r="IS13" t="e">
        <f>AND(Feuil1!D448,"AAAAAH7v/fw=")</f>
        <v>#VALUE!</v>
      </c>
      <c r="IT13" t="e">
        <f>AND(Feuil1!E448,"AAAAAH7v/f0=")</f>
        <v>#VALUE!</v>
      </c>
      <c r="IU13">
        <f>IF(Feuil1!449:449,"AAAAAH7v/f4=",0)</f>
        <v>0</v>
      </c>
      <c r="IV13" t="e">
        <f>AND(Feuil1!A449,"AAAAAH7v/f8=")</f>
        <v>#VALUE!</v>
      </c>
    </row>
    <row r="14" spans="1:256" x14ac:dyDescent="0.25">
      <c r="A14" t="e">
        <f>AND(Feuil1!B449,"AAAAAF//fgA=")</f>
        <v>#VALUE!</v>
      </c>
      <c r="B14" t="e">
        <f>AND(Feuil1!C449,"AAAAAF//fgE=")</f>
        <v>#VALUE!</v>
      </c>
      <c r="C14" t="e">
        <f>AND(Feuil1!D449,"AAAAAF//fgI=")</f>
        <v>#VALUE!</v>
      </c>
      <c r="D14" t="e">
        <f>AND(Feuil1!E449,"AAAAAF//fgM=")</f>
        <v>#VALUE!</v>
      </c>
      <c r="E14">
        <f>IF(Feuil1!450:450,"AAAAAF//fgQ=",0)</f>
        <v>0</v>
      </c>
      <c r="F14" t="e">
        <f>AND(Feuil1!A450,"AAAAAF//fgU=")</f>
        <v>#VALUE!</v>
      </c>
      <c r="G14" t="e">
        <f>AND(Feuil1!B450,"AAAAAF//fgY=")</f>
        <v>#VALUE!</v>
      </c>
      <c r="H14" t="e">
        <f>AND(Feuil1!C450,"AAAAAF//fgc=")</f>
        <v>#VALUE!</v>
      </c>
      <c r="I14" t="e">
        <f>AND(Feuil1!D450,"AAAAAF//fgg=")</f>
        <v>#VALUE!</v>
      </c>
      <c r="J14" t="e">
        <f>AND(Feuil1!E450,"AAAAAF//fgk=")</f>
        <v>#VALUE!</v>
      </c>
      <c r="K14">
        <f>IF(Feuil1!451:451,"AAAAAF//fgo=",0)</f>
        <v>0</v>
      </c>
      <c r="L14" t="e">
        <f>AND(Feuil1!A451,"AAAAAF//fgs=")</f>
        <v>#VALUE!</v>
      </c>
      <c r="M14" t="e">
        <f>AND(Feuil1!B451,"AAAAAF//fgw=")</f>
        <v>#VALUE!</v>
      </c>
      <c r="N14" t="e">
        <f>AND(Feuil1!C451,"AAAAAF//fg0=")</f>
        <v>#VALUE!</v>
      </c>
      <c r="O14" t="e">
        <f>AND(Feuil1!D451,"AAAAAF//fg4=")</f>
        <v>#VALUE!</v>
      </c>
      <c r="P14" t="e">
        <f>AND(Feuil1!E451,"AAAAAF//fg8=")</f>
        <v>#VALUE!</v>
      </c>
      <c r="Q14">
        <f>IF(Feuil1!452:452,"AAAAAF//fhA=",0)</f>
        <v>0</v>
      </c>
      <c r="R14" t="e">
        <f>AND(Feuil1!A452,"AAAAAF//fhE=")</f>
        <v>#VALUE!</v>
      </c>
      <c r="S14" t="e">
        <f>AND(Feuil1!B452,"AAAAAF//fhI=")</f>
        <v>#VALUE!</v>
      </c>
      <c r="T14" t="e">
        <f>AND(Feuil1!C452,"AAAAAF//fhM=")</f>
        <v>#VALUE!</v>
      </c>
      <c r="U14" t="e">
        <f>AND(Feuil1!D452,"AAAAAF//fhQ=")</f>
        <v>#VALUE!</v>
      </c>
      <c r="V14" t="e">
        <f>AND(Feuil1!E452,"AAAAAF//fhU=")</f>
        <v>#VALUE!</v>
      </c>
      <c r="W14">
        <f>IF(Feuil1!453:453,"AAAAAF//fhY=",0)</f>
        <v>0</v>
      </c>
      <c r="X14" t="e">
        <f>AND(Feuil1!A453,"AAAAAF//fhc=")</f>
        <v>#VALUE!</v>
      </c>
      <c r="Y14" t="e">
        <f>AND(Feuil1!B453,"AAAAAF//fhg=")</f>
        <v>#VALUE!</v>
      </c>
      <c r="Z14" t="e">
        <f>AND(Feuil1!C453,"AAAAAF//fhk=")</f>
        <v>#VALUE!</v>
      </c>
      <c r="AA14" t="e">
        <f>AND(Feuil1!D453,"AAAAAF//fho=")</f>
        <v>#VALUE!</v>
      </c>
      <c r="AB14" t="e">
        <f>AND(Feuil1!E453,"AAAAAF//fhs=")</f>
        <v>#VALUE!</v>
      </c>
      <c r="AC14">
        <f>IF(Feuil1!454:454,"AAAAAF//fhw=",0)</f>
        <v>0</v>
      </c>
      <c r="AD14" t="e">
        <f>AND(Feuil1!A454,"AAAAAF//fh0=")</f>
        <v>#VALUE!</v>
      </c>
      <c r="AE14" t="e">
        <f>AND(Feuil1!B454,"AAAAAF//fh4=")</f>
        <v>#VALUE!</v>
      </c>
      <c r="AF14" t="e">
        <f>AND(Feuil1!C454,"AAAAAF//fh8=")</f>
        <v>#VALUE!</v>
      </c>
      <c r="AG14" t="e">
        <f>AND(Feuil1!D454,"AAAAAF//fiA=")</f>
        <v>#VALUE!</v>
      </c>
      <c r="AH14" t="e">
        <f>AND(Feuil1!E454,"AAAAAF//fiE=")</f>
        <v>#VALUE!</v>
      </c>
      <c r="AI14">
        <f>IF(Feuil1!455:455,"AAAAAF//fiI=",0)</f>
        <v>0</v>
      </c>
      <c r="AJ14" t="e">
        <f>AND(Feuil1!A455,"AAAAAF//fiM=")</f>
        <v>#VALUE!</v>
      </c>
      <c r="AK14" t="e">
        <f>AND(Feuil1!B455,"AAAAAF//fiQ=")</f>
        <v>#VALUE!</v>
      </c>
      <c r="AL14" t="e">
        <f>AND(Feuil1!C455,"AAAAAF//fiU=")</f>
        <v>#VALUE!</v>
      </c>
      <c r="AM14" t="e">
        <f>AND(Feuil1!D455,"AAAAAF//fiY=")</f>
        <v>#VALUE!</v>
      </c>
      <c r="AN14" t="e">
        <f>AND(Feuil1!E455,"AAAAAF//fic=")</f>
        <v>#VALUE!</v>
      </c>
      <c r="AO14">
        <f>IF(Feuil1!456:456,"AAAAAF//fig=",0)</f>
        <v>0</v>
      </c>
      <c r="AP14" t="e">
        <f>AND(Feuil1!A456,"AAAAAF//fik=")</f>
        <v>#VALUE!</v>
      </c>
      <c r="AQ14" t="e">
        <f>AND(Feuil1!B456,"AAAAAF//fio=")</f>
        <v>#VALUE!</v>
      </c>
      <c r="AR14" t="e">
        <f>AND(Feuil1!C456,"AAAAAF//fis=")</f>
        <v>#VALUE!</v>
      </c>
      <c r="AS14" t="e">
        <f>AND(Feuil1!D456,"AAAAAF//fiw=")</f>
        <v>#VALUE!</v>
      </c>
      <c r="AT14" t="e">
        <f>AND(Feuil1!E456,"AAAAAF//fi0=")</f>
        <v>#VALUE!</v>
      </c>
      <c r="AU14">
        <f>IF(Feuil1!457:457,"AAAAAF//fi4=",0)</f>
        <v>0</v>
      </c>
      <c r="AV14" t="e">
        <f>AND(Feuil1!A457,"AAAAAF//fi8=")</f>
        <v>#VALUE!</v>
      </c>
      <c r="AW14" t="e">
        <f>AND(Feuil1!B457,"AAAAAF//fjA=")</f>
        <v>#VALUE!</v>
      </c>
      <c r="AX14" t="e">
        <f>AND(Feuil1!C457,"AAAAAF//fjE=")</f>
        <v>#VALUE!</v>
      </c>
      <c r="AY14" t="e">
        <f>AND(Feuil1!D457,"AAAAAF//fjI=")</f>
        <v>#VALUE!</v>
      </c>
      <c r="AZ14" t="e">
        <f>AND(Feuil1!E457,"AAAAAF//fjM=")</f>
        <v>#VALUE!</v>
      </c>
      <c r="BA14">
        <f>IF(Feuil1!458:458,"AAAAAF//fjQ=",0)</f>
        <v>0</v>
      </c>
      <c r="BB14" t="e">
        <f>AND(Feuil1!A458,"AAAAAF//fjU=")</f>
        <v>#VALUE!</v>
      </c>
      <c r="BC14" t="e">
        <f>AND(Feuil1!B458,"AAAAAF//fjY=")</f>
        <v>#VALUE!</v>
      </c>
      <c r="BD14" t="e">
        <f>AND(Feuil1!C458,"AAAAAF//fjc=")</f>
        <v>#VALUE!</v>
      </c>
      <c r="BE14" t="e">
        <f>AND(Feuil1!D458,"AAAAAF//fjg=")</f>
        <v>#VALUE!</v>
      </c>
      <c r="BF14" t="e">
        <f>AND(Feuil1!E458,"AAAAAF//fjk=")</f>
        <v>#VALUE!</v>
      </c>
      <c r="BG14">
        <f>IF(Feuil1!459:459,"AAAAAF//fjo=",0)</f>
        <v>0</v>
      </c>
      <c r="BH14" t="e">
        <f>AND(Feuil1!A459,"AAAAAF//fjs=")</f>
        <v>#VALUE!</v>
      </c>
      <c r="BI14" t="e">
        <f>AND(Feuil1!B459,"AAAAAF//fjw=")</f>
        <v>#VALUE!</v>
      </c>
      <c r="BJ14" t="e">
        <f>AND(Feuil1!C459,"AAAAAF//fj0=")</f>
        <v>#VALUE!</v>
      </c>
      <c r="BK14" t="e">
        <f>AND(Feuil1!D459,"AAAAAF//fj4=")</f>
        <v>#VALUE!</v>
      </c>
      <c r="BL14" t="e">
        <f>AND(Feuil1!E459,"AAAAAF//fj8=")</f>
        <v>#VALUE!</v>
      </c>
      <c r="BM14">
        <f>IF(Feuil1!460:460,"AAAAAF//fkA=",0)</f>
        <v>0</v>
      </c>
      <c r="BN14" t="e">
        <f>AND(Feuil1!A460,"AAAAAF//fkE=")</f>
        <v>#VALUE!</v>
      </c>
      <c r="BO14" t="e">
        <f>AND(Feuil1!B460,"AAAAAF//fkI=")</f>
        <v>#VALUE!</v>
      </c>
      <c r="BP14" t="e">
        <f>AND(Feuil1!C460,"AAAAAF//fkM=")</f>
        <v>#VALUE!</v>
      </c>
      <c r="BQ14" t="e">
        <f>AND(Feuil1!D460,"AAAAAF//fkQ=")</f>
        <v>#VALUE!</v>
      </c>
      <c r="BR14" t="e">
        <f>AND(Feuil1!E460,"AAAAAF//fkU=")</f>
        <v>#VALUE!</v>
      </c>
      <c r="BS14">
        <f>IF(Feuil1!461:461,"AAAAAF//fkY=",0)</f>
        <v>0</v>
      </c>
      <c r="BT14" t="e">
        <f>AND(Feuil1!A461,"AAAAAF//fkc=")</f>
        <v>#VALUE!</v>
      </c>
      <c r="BU14" t="e">
        <f>AND(Feuil1!B461,"AAAAAF//fkg=")</f>
        <v>#VALUE!</v>
      </c>
      <c r="BV14" t="e">
        <f>AND(Feuil1!C461,"AAAAAF//fkk=")</f>
        <v>#VALUE!</v>
      </c>
      <c r="BW14" t="e">
        <f>AND(Feuil1!D461,"AAAAAF//fko=")</f>
        <v>#VALUE!</v>
      </c>
      <c r="BX14" t="e">
        <f>AND(Feuil1!E461,"AAAAAF//fks=")</f>
        <v>#VALUE!</v>
      </c>
      <c r="BY14">
        <f>IF(Feuil1!462:462,"AAAAAF//fkw=",0)</f>
        <v>0</v>
      </c>
      <c r="BZ14" t="e">
        <f>AND(Feuil1!A462,"AAAAAF//fk0=")</f>
        <v>#VALUE!</v>
      </c>
      <c r="CA14" t="e">
        <f>AND(Feuil1!B462,"AAAAAF//fk4=")</f>
        <v>#VALUE!</v>
      </c>
      <c r="CB14" t="e">
        <f>AND(Feuil1!C462,"AAAAAF//fk8=")</f>
        <v>#VALUE!</v>
      </c>
      <c r="CC14" t="e">
        <f>AND(Feuil1!D462,"AAAAAF//flA=")</f>
        <v>#VALUE!</v>
      </c>
      <c r="CD14" t="e">
        <f>AND(Feuil1!E462,"AAAAAF//flE=")</f>
        <v>#VALUE!</v>
      </c>
      <c r="CE14">
        <f>IF(Feuil1!463:463,"AAAAAF//flI=",0)</f>
        <v>0</v>
      </c>
      <c r="CF14" t="e">
        <f>AND(Feuil1!A463,"AAAAAF//flM=")</f>
        <v>#VALUE!</v>
      </c>
      <c r="CG14" t="e">
        <f>AND(Feuil1!B463,"AAAAAF//flQ=")</f>
        <v>#VALUE!</v>
      </c>
      <c r="CH14" t="e">
        <f>AND(Feuil1!C463,"AAAAAF//flU=")</f>
        <v>#VALUE!</v>
      </c>
      <c r="CI14" t="e">
        <f>AND(Feuil1!D463,"AAAAAF//flY=")</f>
        <v>#VALUE!</v>
      </c>
      <c r="CJ14" t="e">
        <f>AND(Feuil1!E463,"AAAAAF//flc=")</f>
        <v>#VALUE!</v>
      </c>
      <c r="CK14">
        <f>IF(Feuil1!464:464,"AAAAAF//flg=",0)</f>
        <v>0</v>
      </c>
      <c r="CL14" t="e">
        <f>AND(Feuil1!A464,"AAAAAF//flk=")</f>
        <v>#VALUE!</v>
      </c>
      <c r="CM14" t="e">
        <f>AND(Feuil1!B464,"AAAAAF//flo=")</f>
        <v>#VALUE!</v>
      </c>
      <c r="CN14" t="e">
        <f>AND(Feuil1!C464,"AAAAAF//fls=")</f>
        <v>#VALUE!</v>
      </c>
      <c r="CO14" t="e">
        <f>AND(Feuil1!D464,"AAAAAF//flw=")</f>
        <v>#VALUE!</v>
      </c>
      <c r="CP14" t="e">
        <f>AND(Feuil1!E464,"AAAAAF//fl0=")</f>
        <v>#VALUE!</v>
      </c>
      <c r="CQ14">
        <f>IF(Feuil1!465:465,"AAAAAF//fl4=",0)</f>
        <v>0</v>
      </c>
      <c r="CR14" t="e">
        <f>AND(Feuil1!A465,"AAAAAF//fl8=")</f>
        <v>#VALUE!</v>
      </c>
      <c r="CS14" t="e">
        <f>AND(Feuil1!B465,"AAAAAF//fmA=")</f>
        <v>#VALUE!</v>
      </c>
      <c r="CT14" t="e">
        <f>AND(Feuil1!C465,"AAAAAF//fmE=")</f>
        <v>#VALUE!</v>
      </c>
      <c r="CU14" t="e">
        <f>AND(Feuil1!D465,"AAAAAF//fmI=")</f>
        <v>#VALUE!</v>
      </c>
      <c r="CV14" t="e">
        <f>AND(Feuil1!E465,"AAAAAF//fmM=")</f>
        <v>#VALUE!</v>
      </c>
      <c r="CW14">
        <f>IF(Feuil1!466:466,"AAAAAF//fmQ=",0)</f>
        <v>0</v>
      </c>
      <c r="CX14" t="e">
        <f>AND(Feuil1!A466,"AAAAAF//fmU=")</f>
        <v>#VALUE!</v>
      </c>
      <c r="CY14" t="e">
        <f>AND(Feuil1!B466,"AAAAAF//fmY=")</f>
        <v>#VALUE!</v>
      </c>
      <c r="CZ14" t="e">
        <f>AND(Feuil1!C466,"AAAAAF//fmc=")</f>
        <v>#VALUE!</v>
      </c>
      <c r="DA14" t="e">
        <f>AND(Feuil1!D466,"AAAAAF//fmg=")</f>
        <v>#VALUE!</v>
      </c>
      <c r="DB14" t="e">
        <f>AND(Feuil1!E466,"AAAAAF//fmk=")</f>
        <v>#VALUE!</v>
      </c>
      <c r="DC14">
        <f>IF(Feuil1!467:467,"AAAAAF//fmo=",0)</f>
        <v>0</v>
      </c>
      <c r="DD14" t="e">
        <f>AND(Feuil1!A467,"AAAAAF//fms=")</f>
        <v>#VALUE!</v>
      </c>
      <c r="DE14" t="e">
        <f>AND(Feuil1!B467,"AAAAAF//fmw=")</f>
        <v>#VALUE!</v>
      </c>
      <c r="DF14" t="e">
        <f>AND(Feuil1!C467,"AAAAAF//fm0=")</f>
        <v>#VALUE!</v>
      </c>
      <c r="DG14" t="e">
        <f>AND(Feuil1!D467,"AAAAAF//fm4=")</f>
        <v>#VALUE!</v>
      </c>
      <c r="DH14" t="e">
        <f>AND(Feuil1!E467,"AAAAAF//fm8=")</f>
        <v>#VALUE!</v>
      </c>
      <c r="DI14">
        <f>IF(Feuil1!468:468,"AAAAAF//fnA=",0)</f>
        <v>0</v>
      </c>
      <c r="DJ14" t="e">
        <f>AND(Feuil1!A468,"AAAAAF//fnE=")</f>
        <v>#VALUE!</v>
      </c>
      <c r="DK14" t="e">
        <f>AND(Feuil1!B468,"AAAAAF//fnI=")</f>
        <v>#VALUE!</v>
      </c>
      <c r="DL14" t="e">
        <f>AND(Feuil1!C468,"AAAAAF//fnM=")</f>
        <v>#VALUE!</v>
      </c>
      <c r="DM14" t="e">
        <f>AND(Feuil1!D468,"AAAAAF//fnQ=")</f>
        <v>#VALUE!</v>
      </c>
      <c r="DN14" t="e">
        <f>AND(Feuil1!E468,"AAAAAF//fnU=")</f>
        <v>#VALUE!</v>
      </c>
      <c r="DO14">
        <f>IF(Feuil1!469:469,"AAAAAF//fnY=",0)</f>
        <v>0</v>
      </c>
      <c r="DP14" t="e">
        <f>AND(Feuil1!A469,"AAAAAF//fnc=")</f>
        <v>#VALUE!</v>
      </c>
      <c r="DQ14" t="e">
        <f>AND(Feuil1!B469,"AAAAAF//fng=")</f>
        <v>#VALUE!</v>
      </c>
      <c r="DR14" t="e">
        <f>AND(Feuil1!C469,"AAAAAF//fnk=")</f>
        <v>#VALUE!</v>
      </c>
      <c r="DS14" t="e">
        <f>AND(Feuil1!D469,"AAAAAF//fno=")</f>
        <v>#VALUE!</v>
      </c>
      <c r="DT14" t="e">
        <f>AND(Feuil1!E469,"AAAAAF//fns=")</f>
        <v>#VALUE!</v>
      </c>
      <c r="DU14">
        <f>IF(Feuil1!470:470,"AAAAAF//fnw=",0)</f>
        <v>0</v>
      </c>
      <c r="DV14" t="e">
        <f>AND(Feuil1!A470,"AAAAAF//fn0=")</f>
        <v>#VALUE!</v>
      </c>
      <c r="DW14" t="e">
        <f>AND(Feuil1!B470,"AAAAAF//fn4=")</f>
        <v>#VALUE!</v>
      </c>
      <c r="DX14" t="e">
        <f>AND(Feuil1!C470,"AAAAAF//fn8=")</f>
        <v>#VALUE!</v>
      </c>
      <c r="DY14" t="e">
        <f>AND(Feuil1!D470,"AAAAAF//foA=")</f>
        <v>#VALUE!</v>
      </c>
      <c r="DZ14" t="e">
        <f>AND(Feuil1!E470,"AAAAAF//foE=")</f>
        <v>#VALUE!</v>
      </c>
      <c r="EA14">
        <f>IF(Feuil1!471:471,"AAAAAF//foI=",0)</f>
        <v>0</v>
      </c>
      <c r="EB14" t="e">
        <f>AND(Feuil1!A471,"AAAAAF//foM=")</f>
        <v>#VALUE!</v>
      </c>
      <c r="EC14" t="e">
        <f>AND(Feuil1!B471,"AAAAAF//foQ=")</f>
        <v>#VALUE!</v>
      </c>
      <c r="ED14" t="e">
        <f>AND(Feuil1!C471,"AAAAAF//foU=")</f>
        <v>#VALUE!</v>
      </c>
      <c r="EE14" t="e">
        <f>AND(Feuil1!D471,"AAAAAF//foY=")</f>
        <v>#VALUE!</v>
      </c>
      <c r="EF14" t="e">
        <f>AND(Feuil1!E471,"AAAAAF//foc=")</f>
        <v>#VALUE!</v>
      </c>
      <c r="EG14">
        <f>IF(Feuil1!472:472,"AAAAAF//fog=",0)</f>
        <v>0</v>
      </c>
      <c r="EH14" t="e">
        <f>AND(Feuil1!A472,"AAAAAF//fok=")</f>
        <v>#VALUE!</v>
      </c>
      <c r="EI14" t="e">
        <f>AND(Feuil1!B472,"AAAAAF//foo=")</f>
        <v>#VALUE!</v>
      </c>
      <c r="EJ14" t="e">
        <f>AND(Feuil1!C472,"AAAAAF//fos=")</f>
        <v>#VALUE!</v>
      </c>
      <c r="EK14" t="e">
        <f>AND(Feuil1!D472,"AAAAAF//fow=")</f>
        <v>#VALUE!</v>
      </c>
      <c r="EL14" t="e">
        <f>AND(Feuil1!E472,"AAAAAF//fo0=")</f>
        <v>#VALUE!</v>
      </c>
      <c r="EM14">
        <f>IF(Feuil1!473:473,"AAAAAF//fo4=",0)</f>
        <v>0</v>
      </c>
      <c r="EN14" t="e">
        <f>AND(Feuil1!A473,"AAAAAF//fo8=")</f>
        <v>#VALUE!</v>
      </c>
      <c r="EO14" t="e">
        <f>AND(Feuil1!B473,"AAAAAF//fpA=")</f>
        <v>#VALUE!</v>
      </c>
      <c r="EP14" t="e">
        <f>AND(Feuil1!C473,"AAAAAF//fpE=")</f>
        <v>#VALUE!</v>
      </c>
      <c r="EQ14" t="e">
        <f>AND(Feuil1!D473,"AAAAAF//fpI=")</f>
        <v>#VALUE!</v>
      </c>
      <c r="ER14" t="e">
        <f>AND(Feuil1!E473,"AAAAAF//fpM=")</f>
        <v>#VALUE!</v>
      </c>
      <c r="ES14">
        <f>IF(Feuil1!474:474,"AAAAAF//fpQ=",0)</f>
        <v>0</v>
      </c>
      <c r="ET14" t="e">
        <f>AND(Feuil1!A474,"AAAAAF//fpU=")</f>
        <v>#VALUE!</v>
      </c>
      <c r="EU14" t="e">
        <f>AND(Feuil1!B474,"AAAAAF//fpY=")</f>
        <v>#VALUE!</v>
      </c>
      <c r="EV14" t="e">
        <f>AND(Feuil1!C474,"AAAAAF//fpc=")</f>
        <v>#VALUE!</v>
      </c>
      <c r="EW14" t="e">
        <f>AND(Feuil1!D474,"AAAAAF//fpg=")</f>
        <v>#VALUE!</v>
      </c>
      <c r="EX14" t="e">
        <f>AND(Feuil1!E474,"AAAAAF//fpk=")</f>
        <v>#VALUE!</v>
      </c>
      <c r="EY14">
        <f>IF(Feuil1!475:475,"AAAAAF//fpo=",0)</f>
        <v>0</v>
      </c>
      <c r="EZ14" t="e">
        <f>AND(Feuil1!A475,"AAAAAF//fps=")</f>
        <v>#VALUE!</v>
      </c>
      <c r="FA14" t="e">
        <f>AND(Feuil1!B475,"AAAAAF//fpw=")</f>
        <v>#VALUE!</v>
      </c>
      <c r="FB14" t="e">
        <f>AND(Feuil1!C475,"AAAAAF//fp0=")</f>
        <v>#VALUE!</v>
      </c>
      <c r="FC14" t="e">
        <f>AND(Feuil1!D475,"AAAAAF//fp4=")</f>
        <v>#VALUE!</v>
      </c>
      <c r="FD14" t="e">
        <f>AND(Feuil1!E475,"AAAAAF//fp8=")</f>
        <v>#VALUE!</v>
      </c>
      <c r="FE14">
        <f>IF(Feuil1!476:476,"AAAAAF//fqA=",0)</f>
        <v>0</v>
      </c>
      <c r="FF14" t="e">
        <f>AND(Feuil1!A476,"AAAAAF//fqE=")</f>
        <v>#VALUE!</v>
      </c>
      <c r="FG14" t="e">
        <f>AND(Feuil1!B476,"AAAAAF//fqI=")</f>
        <v>#VALUE!</v>
      </c>
      <c r="FH14" t="e">
        <f>AND(Feuil1!C476,"AAAAAF//fqM=")</f>
        <v>#VALUE!</v>
      </c>
      <c r="FI14" t="e">
        <f>AND(Feuil1!D476,"AAAAAF//fqQ=")</f>
        <v>#VALUE!</v>
      </c>
      <c r="FJ14" t="e">
        <f>AND(Feuil1!E476,"AAAAAF//fqU=")</f>
        <v>#VALUE!</v>
      </c>
      <c r="FK14">
        <f>IF(Feuil1!477:477,"AAAAAF//fqY=",0)</f>
        <v>0</v>
      </c>
      <c r="FL14" t="e">
        <f>AND(Feuil1!A477,"AAAAAF//fqc=")</f>
        <v>#VALUE!</v>
      </c>
      <c r="FM14" t="e">
        <f>AND(Feuil1!B477,"AAAAAF//fqg=")</f>
        <v>#VALUE!</v>
      </c>
      <c r="FN14" t="e">
        <f>AND(Feuil1!C477,"AAAAAF//fqk=")</f>
        <v>#VALUE!</v>
      </c>
      <c r="FO14" t="e">
        <f>AND(Feuil1!D477,"AAAAAF//fqo=")</f>
        <v>#VALUE!</v>
      </c>
      <c r="FP14" t="e">
        <f>AND(Feuil1!E477,"AAAAAF//fqs=")</f>
        <v>#VALUE!</v>
      </c>
      <c r="FQ14">
        <f>IF(Feuil1!478:478,"AAAAAF//fqw=",0)</f>
        <v>0</v>
      </c>
      <c r="FR14" t="e">
        <f>AND(Feuil1!A478,"AAAAAF//fq0=")</f>
        <v>#VALUE!</v>
      </c>
      <c r="FS14" t="e">
        <f>AND(Feuil1!B478,"AAAAAF//fq4=")</f>
        <v>#VALUE!</v>
      </c>
      <c r="FT14" t="e">
        <f>AND(Feuil1!C478,"AAAAAF//fq8=")</f>
        <v>#VALUE!</v>
      </c>
      <c r="FU14" t="e">
        <f>AND(Feuil1!D478,"AAAAAF//frA=")</f>
        <v>#VALUE!</v>
      </c>
      <c r="FV14" t="e">
        <f>AND(Feuil1!E478,"AAAAAF//frE=")</f>
        <v>#VALUE!</v>
      </c>
      <c r="FW14">
        <f>IF(Feuil1!479:479,"AAAAAF//frI=",0)</f>
        <v>0</v>
      </c>
      <c r="FX14" t="e">
        <f>AND(Feuil1!A479,"AAAAAF//frM=")</f>
        <v>#VALUE!</v>
      </c>
      <c r="FY14" t="e">
        <f>AND(Feuil1!B479,"AAAAAF//frQ=")</f>
        <v>#VALUE!</v>
      </c>
      <c r="FZ14" t="e">
        <f>AND(Feuil1!C479,"AAAAAF//frU=")</f>
        <v>#VALUE!</v>
      </c>
      <c r="GA14" t="e">
        <f>AND(Feuil1!D479,"AAAAAF//frY=")</f>
        <v>#VALUE!</v>
      </c>
      <c r="GB14" t="e">
        <f>AND(Feuil1!E479,"AAAAAF//frc=")</f>
        <v>#VALUE!</v>
      </c>
      <c r="GC14">
        <f>IF(Feuil1!480:480,"AAAAAF//frg=",0)</f>
        <v>0</v>
      </c>
      <c r="GD14" t="e">
        <f>AND(Feuil1!A480,"AAAAAF//frk=")</f>
        <v>#VALUE!</v>
      </c>
      <c r="GE14" t="e">
        <f>AND(Feuil1!B480,"AAAAAF//fro=")</f>
        <v>#VALUE!</v>
      </c>
      <c r="GF14" t="e">
        <f>AND(Feuil1!C480,"AAAAAF//frs=")</f>
        <v>#VALUE!</v>
      </c>
      <c r="GG14" t="e">
        <f>AND(Feuil1!D480,"AAAAAF//frw=")</f>
        <v>#VALUE!</v>
      </c>
      <c r="GH14" t="e">
        <f>AND(Feuil1!E480,"AAAAAF//fr0=")</f>
        <v>#VALUE!</v>
      </c>
      <c r="GI14">
        <f>IF(Feuil1!481:481,"AAAAAF//fr4=",0)</f>
        <v>0</v>
      </c>
      <c r="GJ14" t="e">
        <f>AND(Feuil1!A481,"AAAAAF//fr8=")</f>
        <v>#VALUE!</v>
      </c>
      <c r="GK14" t="e">
        <f>AND(Feuil1!B481,"AAAAAF//fsA=")</f>
        <v>#VALUE!</v>
      </c>
      <c r="GL14" t="e">
        <f>AND(Feuil1!C481,"AAAAAF//fsE=")</f>
        <v>#VALUE!</v>
      </c>
      <c r="GM14" t="e">
        <f>AND(Feuil1!D481,"AAAAAF//fsI=")</f>
        <v>#VALUE!</v>
      </c>
      <c r="GN14" t="e">
        <f>AND(Feuil1!E481,"AAAAAF//fsM=")</f>
        <v>#VALUE!</v>
      </c>
      <c r="GO14">
        <f>IF(Feuil1!482:482,"AAAAAF//fsQ=",0)</f>
        <v>0</v>
      </c>
      <c r="GP14" t="e">
        <f>AND(Feuil1!A482,"AAAAAF//fsU=")</f>
        <v>#VALUE!</v>
      </c>
      <c r="GQ14" t="e">
        <f>AND(Feuil1!B482,"AAAAAF//fsY=")</f>
        <v>#VALUE!</v>
      </c>
      <c r="GR14" t="e">
        <f>AND(Feuil1!C482,"AAAAAF//fsc=")</f>
        <v>#VALUE!</v>
      </c>
      <c r="GS14" t="e">
        <f>AND(Feuil1!D482,"AAAAAF//fsg=")</f>
        <v>#VALUE!</v>
      </c>
      <c r="GT14" t="e">
        <f>AND(Feuil1!E482,"AAAAAF//fsk=")</f>
        <v>#VALUE!</v>
      </c>
      <c r="GU14">
        <f>IF(Feuil1!483:483,"AAAAAF//fso=",0)</f>
        <v>0</v>
      </c>
      <c r="GV14" t="e">
        <f>AND(Feuil1!A483,"AAAAAF//fss=")</f>
        <v>#VALUE!</v>
      </c>
      <c r="GW14" t="e">
        <f>AND(Feuil1!B483,"AAAAAF//fsw=")</f>
        <v>#VALUE!</v>
      </c>
      <c r="GX14" t="e">
        <f>AND(Feuil1!C483,"AAAAAF//fs0=")</f>
        <v>#VALUE!</v>
      </c>
      <c r="GY14" t="e">
        <f>AND(Feuil1!D483,"AAAAAF//fs4=")</f>
        <v>#VALUE!</v>
      </c>
      <c r="GZ14" t="e">
        <f>AND(Feuil1!E483,"AAAAAF//fs8=")</f>
        <v>#VALUE!</v>
      </c>
      <c r="HA14">
        <f>IF(Feuil1!484:484,"AAAAAF//ftA=",0)</f>
        <v>0</v>
      </c>
      <c r="HB14" t="e">
        <f>AND(Feuil1!A484,"AAAAAF//ftE=")</f>
        <v>#VALUE!</v>
      </c>
      <c r="HC14" t="e">
        <f>AND(Feuil1!B484,"AAAAAF//ftI=")</f>
        <v>#VALUE!</v>
      </c>
      <c r="HD14" t="e">
        <f>AND(Feuil1!C484,"AAAAAF//ftM=")</f>
        <v>#VALUE!</v>
      </c>
      <c r="HE14" t="e">
        <f>AND(Feuil1!D484,"AAAAAF//ftQ=")</f>
        <v>#VALUE!</v>
      </c>
      <c r="HF14" t="e">
        <f>AND(Feuil1!E484,"AAAAAF//ftU=")</f>
        <v>#VALUE!</v>
      </c>
      <c r="HG14">
        <f>IF(Feuil1!485:485,"AAAAAF//ftY=",0)</f>
        <v>0</v>
      </c>
      <c r="HH14" t="e">
        <f>AND(Feuil1!A485,"AAAAAF//ftc=")</f>
        <v>#VALUE!</v>
      </c>
      <c r="HI14" t="e">
        <f>AND(Feuil1!B485,"AAAAAF//ftg=")</f>
        <v>#VALUE!</v>
      </c>
      <c r="HJ14" t="e">
        <f>AND(Feuil1!C485,"AAAAAF//ftk=")</f>
        <v>#VALUE!</v>
      </c>
      <c r="HK14" t="e">
        <f>AND(Feuil1!D485,"AAAAAF//fto=")</f>
        <v>#VALUE!</v>
      </c>
      <c r="HL14" t="e">
        <f>AND(Feuil1!E485,"AAAAAF//fts=")</f>
        <v>#VALUE!</v>
      </c>
      <c r="HM14">
        <f>IF(Feuil1!486:486,"AAAAAF//ftw=",0)</f>
        <v>0</v>
      </c>
      <c r="HN14" t="e">
        <f>AND(Feuil1!A486,"AAAAAF//ft0=")</f>
        <v>#VALUE!</v>
      </c>
      <c r="HO14" t="e">
        <f>AND(Feuil1!B486,"AAAAAF//ft4=")</f>
        <v>#VALUE!</v>
      </c>
      <c r="HP14" t="e">
        <f>AND(Feuil1!C486,"AAAAAF//ft8=")</f>
        <v>#VALUE!</v>
      </c>
      <c r="HQ14" t="e">
        <f>AND(Feuil1!D486,"AAAAAF//fuA=")</f>
        <v>#VALUE!</v>
      </c>
      <c r="HR14" t="e">
        <f>AND(Feuil1!E486,"AAAAAF//fuE=")</f>
        <v>#VALUE!</v>
      </c>
      <c r="HS14">
        <f>IF(Feuil1!487:487,"AAAAAF//fuI=",0)</f>
        <v>0</v>
      </c>
      <c r="HT14" t="e">
        <f>AND(Feuil1!A487,"AAAAAF//fuM=")</f>
        <v>#VALUE!</v>
      </c>
      <c r="HU14" t="e">
        <f>AND(Feuil1!B487,"AAAAAF//fuQ=")</f>
        <v>#VALUE!</v>
      </c>
      <c r="HV14" t="e">
        <f>AND(Feuil1!C487,"AAAAAF//fuU=")</f>
        <v>#VALUE!</v>
      </c>
      <c r="HW14" t="e">
        <f>AND(Feuil1!D487,"AAAAAF//fuY=")</f>
        <v>#VALUE!</v>
      </c>
      <c r="HX14" t="e">
        <f>AND(Feuil1!E487,"AAAAAF//fuc=")</f>
        <v>#VALUE!</v>
      </c>
      <c r="HY14">
        <f>IF(Feuil1!488:488,"AAAAAF//fug=",0)</f>
        <v>0</v>
      </c>
      <c r="HZ14" t="e">
        <f>AND(Feuil1!A488,"AAAAAF//fuk=")</f>
        <v>#VALUE!</v>
      </c>
      <c r="IA14" t="e">
        <f>AND(Feuil1!B488,"AAAAAF//fuo=")</f>
        <v>#VALUE!</v>
      </c>
      <c r="IB14" t="e">
        <f>AND(Feuil1!C488,"AAAAAF//fus=")</f>
        <v>#VALUE!</v>
      </c>
      <c r="IC14" t="e">
        <f>AND(Feuil1!D488,"AAAAAF//fuw=")</f>
        <v>#VALUE!</v>
      </c>
      <c r="ID14" t="e">
        <f>AND(Feuil1!E488,"AAAAAF//fu0=")</f>
        <v>#VALUE!</v>
      </c>
      <c r="IE14">
        <f>IF(Feuil1!489:489,"AAAAAF//fu4=",0)</f>
        <v>0</v>
      </c>
      <c r="IF14" t="e">
        <f>AND(Feuil1!A489,"AAAAAF//fu8=")</f>
        <v>#VALUE!</v>
      </c>
      <c r="IG14" t="e">
        <f>AND(Feuil1!B489,"AAAAAF//fvA=")</f>
        <v>#VALUE!</v>
      </c>
      <c r="IH14" t="e">
        <f>AND(Feuil1!C489,"AAAAAF//fvE=")</f>
        <v>#VALUE!</v>
      </c>
      <c r="II14" t="e">
        <f>AND(Feuil1!D489,"AAAAAF//fvI=")</f>
        <v>#VALUE!</v>
      </c>
      <c r="IJ14" t="e">
        <f>AND(Feuil1!E489,"AAAAAF//fvM=")</f>
        <v>#VALUE!</v>
      </c>
      <c r="IK14">
        <f>IF(Feuil1!490:490,"AAAAAF//fvQ=",0)</f>
        <v>0</v>
      </c>
      <c r="IL14" t="e">
        <f>AND(Feuil1!A490,"AAAAAF//fvU=")</f>
        <v>#VALUE!</v>
      </c>
      <c r="IM14" t="e">
        <f>AND(Feuil1!B490,"AAAAAF//fvY=")</f>
        <v>#VALUE!</v>
      </c>
      <c r="IN14" t="e">
        <f>AND(Feuil1!C490,"AAAAAF//fvc=")</f>
        <v>#VALUE!</v>
      </c>
      <c r="IO14" t="e">
        <f>AND(Feuil1!D490,"AAAAAF//fvg=")</f>
        <v>#VALUE!</v>
      </c>
      <c r="IP14" t="e">
        <f>AND(Feuil1!E490,"AAAAAF//fvk=")</f>
        <v>#VALUE!</v>
      </c>
      <c r="IQ14">
        <f>IF(Feuil1!491:491,"AAAAAF//fvo=",0)</f>
        <v>0</v>
      </c>
      <c r="IR14" t="e">
        <f>AND(Feuil1!A491,"AAAAAF//fvs=")</f>
        <v>#VALUE!</v>
      </c>
      <c r="IS14" t="e">
        <f>AND(Feuil1!B491,"AAAAAF//fvw=")</f>
        <v>#VALUE!</v>
      </c>
      <c r="IT14" t="e">
        <f>AND(Feuil1!C491,"AAAAAF//fv0=")</f>
        <v>#VALUE!</v>
      </c>
      <c r="IU14" t="e">
        <f>AND(Feuil1!D491,"AAAAAF//fv4=")</f>
        <v>#VALUE!</v>
      </c>
      <c r="IV14" t="e">
        <f>AND(Feuil1!E491,"AAAAAF//fv8=")</f>
        <v>#VALUE!</v>
      </c>
    </row>
    <row r="15" spans="1:256" x14ac:dyDescent="0.25">
      <c r="A15">
        <f>IF(Feuil1!492:492,"AAAAAH9t+wA=",0)</f>
        <v>0</v>
      </c>
      <c r="B15" t="e">
        <f>AND(Feuil1!A492,"AAAAAH9t+wE=")</f>
        <v>#VALUE!</v>
      </c>
      <c r="C15" t="e">
        <f>AND(Feuil1!B492,"AAAAAH9t+wI=")</f>
        <v>#VALUE!</v>
      </c>
      <c r="D15" t="e">
        <f>AND(Feuil1!C492,"AAAAAH9t+wM=")</f>
        <v>#VALUE!</v>
      </c>
      <c r="E15" t="e">
        <f>AND(Feuil1!D492,"AAAAAH9t+wQ=")</f>
        <v>#VALUE!</v>
      </c>
      <c r="F15" t="e">
        <f>AND(Feuil1!E492,"AAAAAH9t+wU=")</f>
        <v>#VALUE!</v>
      </c>
      <c r="G15">
        <f>IF(Feuil1!493:493,"AAAAAH9t+wY=",0)</f>
        <v>0</v>
      </c>
      <c r="H15" t="e">
        <f>AND(Feuil1!A493,"AAAAAH9t+wc=")</f>
        <v>#VALUE!</v>
      </c>
      <c r="I15" t="e">
        <f>AND(Feuil1!B493,"AAAAAH9t+wg=")</f>
        <v>#VALUE!</v>
      </c>
      <c r="J15" t="e">
        <f>AND(Feuil1!C493,"AAAAAH9t+wk=")</f>
        <v>#VALUE!</v>
      </c>
      <c r="K15" t="e">
        <f>AND(Feuil1!D493,"AAAAAH9t+wo=")</f>
        <v>#VALUE!</v>
      </c>
      <c r="L15" t="e">
        <f>AND(Feuil1!E493,"AAAAAH9t+ws=")</f>
        <v>#VALUE!</v>
      </c>
      <c r="M15">
        <f>IF(Feuil1!494:494,"AAAAAH9t+ww=",0)</f>
        <v>0</v>
      </c>
      <c r="N15" t="e">
        <f>AND(Feuil1!A494,"AAAAAH9t+w0=")</f>
        <v>#VALUE!</v>
      </c>
      <c r="O15" t="e">
        <f>AND(Feuil1!B494,"AAAAAH9t+w4=")</f>
        <v>#VALUE!</v>
      </c>
      <c r="P15" t="e">
        <f>AND(Feuil1!C494,"AAAAAH9t+w8=")</f>
        <v>#VALUE!</v>
      </c>
      <c r="Q15" t="e">
        <f>AND(Feuil1!D494,"AAAAAH9t+xA=")</f>
        <v>#VALUE!</v>
      </c>
      <c r="R15" t="e">
        <f>AND(Feuil1!E494,"AAAAAH9t+xE=")</f>
        <v>#VALUE!</v>
      </c>
      <c r="S15">
        <f>IF(Feuil1!495:495,"AAAAAH9t+xI=",0)</f>
        <v>0</v>
      </c>
      <c r="T15" t="e">
        <f>AND(Feuil1!A495,"AAAAAH9t+xM=")</f>
        <v>#VALUE!</v>
      </c>
      <c r="U15" t="e">
        <f>AND(Feuil1!B495,"AAAAAH9t+xQ=")</f>
        <v>#VALUE!</v>
      </c>
      <c r="V15" t="e">
        <f>AND(Feuil1!C495,"AAAAAH9t+xU=")</f>
        <v>#VALUE!</v>
      </c>
      <c r="W15" t="e">
        <f>AND(Feuil1!D495,"AAAAAH9t+xY=")</f>
        <v>#VALUE!</v>
      </c>
      <c r="X15" t="e">
        <f>AND(Feuil1!E495,"AAAAAH9t+xc=")</f>
        <v>#VALUE!</v>
      </c>
      <c r="Y15">
        <f>IF(Feuil1!496:496,"AAAAAH9t+xg=",0)</f>
        <v>0</v>
      </c>
      <c r="Z15" t="e">
        <f>AND(Feuil1!A496,"AAAAAH9t+xk=")</f>
        <v>#VALUE!</v>
      </c>
      <c r="AA15" t="e">
        <f>AND(Feuil1!B496,"AAAAAH9t+xo=")</f>
        <v>#VALUE!</v>
      </c>
      <c r="AB15" t="e">
        <f>AND(Feuil1!C496,"AAAAAH9t+xs=")</f>
        <v>#VALUE!</v>
      </c>
      <c r="AC15" t="e">
        <f>AND(Feuil1!D496,"AAAAAH9t+xw=")</f>
        <v>#VALUE!</v>
      </c>
      <c r="AD15" t="e">
        <f>AND(Feuil1!E496,"AAAAAH9t+x0=")</f>
        <v>#VALUE!</v>
      </c>
      <c r="AE15">
        <f>IF(Feuil1!497:497,"AAAAAH9t+x4=",0)</f>
        <v>0</v>
      </c>
      <c r="AF15" t="e">
        <f>AND(Feuil1!A497,"AAAAAH9t+x8=")</f>
        <v>#VALUE!</v>
      </c>
      <c r="AG15" t="e">
        <f>AND(Feuil1!B497,"AAAAAH9t+yA=")</f>
        <v>#VALUE!</v>
      </c>
      <c r="AH15" t="e">
        <f>AND(Feuil1!C497,"AAAAAH9t+yE=")</f>
        <v>#VALUE!</v>
      </c>
      <c r="AI15" t="e">
        <f>AND(Feuil1!D497,"AAAAAH9t+yI=")</f>
        <v>#VALUE!</v>
      </c>
      <c r="AJ15" t="e">
        <f>AND(Feuil1!E497,"AAAAAH9t+yM=")</f>
        <v>#VALUE!</v>
      </c>
      <c r="AK15">
        <f>IF(Feuil1!498:498,"AAAAAH9t+yQ=",0)</f>
        <v>0</v>
      </c>
      <c r="AL15" t="e">
        <f>AND(Feuil1!A498,"AAAAAH9t+yU=")</f>
        <v>#VALUE!</v>
      </c>
      <c r="AM15" t="e">
        <f>AND(Feuil1!B498,"AAAAAH9t+yY=")</f>
        <v>#VALUE!</v>
      </c>
      <c r="AN15" t="e">
        <f>AND(Feuil1!C498,"AAAAAH9t+yc=")</f>
        <v>#VALUE!</v>
      </c>
      <c r="AO15" t="e">
        <f>AND(Feuil1!D498,"AAAAAH9t+yg=")</f>
        <v>#VALUE!</v>
      </c>
      <c r="AP15" t="e">
        <f>AND(Feuil1!E498,"AAAAAH9t+yk=")</f>
        <v>#VALUE!</v>
      </c>
      <c r="AQ15">
        <f>IF(Feuil1!499:499,"AAAAAH9t+yo=",0)</f>
        <v>0</v>
      </c>
      <c r="AR15" t="e">
        <f>AND(Feuil1!A499,"AAAAAH9t+ys=")</f>
        <v>#VALUE!</v>
      </c>
      <c r="AS15" t="e">
        <f>AND(Feuil1!B499,"AAAAAH9t+yw=")</f>
        <v>#VALUE!</v>
      </c>
      <c r="AT15" t="e">
        <f>AND(Feuil1!C499,"AAAAAH9t+y0=")</f>
        <v>#VALUE!</v>
      </c>
      <c r="AU15" t="e">
        <f>AND(Feuil1!D499,"AAAAAH9t+y4=")</f>
        <v>#VALUE!</v>
      </c>
      <c r="AV15" t="e">
        <f>AND(Feuil1!E499,"AAAAAH9t+y8=")</f>
        <v>#VALUE!</v>
      </c>
      <c r="AW15">
        <f>IF(Feuil1!500:500,"AAAAAH9t+zA=",0)</f>
        <v>0</v>
      </c>
      <c r="AX15" t="e">
        <f>AND(Feuil1!A500,"AAAAAH9t+zE=")</f>
        <v>#VALUE!</v>
      </c>
      <c r="AY15" t="e">
        <f>AND(Feuil1!B500,"AAAAAH9t+zI=")</f>
        <v>#VALUE!</v>
      </c>
      <c r="AZ15" t="e">
        <f>AND(Feuil1!C500,"AAAAAH9t+zM=")</f>
        <v>#VALUE!</v>
      </c>
      <c r="BA15" t="e">
        <f>AND(Feuil1!D500,"AAAAAH9t+zQ=")</f>
        <v>#VALUE!</v>
      </c>
      <c r="BB15" t="e">
        <f>AND(Feuil1!E500,"AAAAAH9t+zU=")</f>
        <v>#VALUE!</v>
      </c>
      <c r="BC15">
        <f>IF(Feuil1!501:501,"AAAAAH9t+zY=",0)</f>
        <v>0</v>
      </c>
      <c r="BD15" t="e">
        <f>AND(Feuil1!A501,"AAAAAH9t+zc=")</f>
        <v>#VALUE!</v>
      </c>
      <c r="BE15" t="e">
        <f>AND(Feuil1!B501,"AAAAAH9t+zg=")</f>
        <v>#VALUE!</v>
      </c>
      <c r="BF15" t="e">
        <f>AND(Feuil1!C501,"AAAAAH9t+zk=")</f>
        <v>#VALUE!</v>
      </c>
      <c r="BG15" t="e">
        <f>AND(Feuil1!D501,"AAAAAH9t+zo=")</f>
        <v>#VALUE!</v>
      </c>
      <c r="BH15" t="e">
        <f>AND(Feuil1!E501,"AAAAAH9t+zs=")</f>
        <v>#VALUE!</v>
      </c>
      <c r="BI15">
        <f>IF(Feuil1!502:502,"AAAAAH9t+zw=",0)</f>
        <v>0</v>
      </c>
      <c r="BJ15" t="e">
        <f>AND(Feuil1!A502,"AAAAAH9t+z0=")</f>
        <v>#VALUE!</v>
      </c>
      <c r="BK15" t="e">
        <f>AND(Feuil1!B502,"AAAAAH9t+z4=")</f>
        <v>#VALUE!</v>
      </c>
      <c r="BL15" t="e">
        <f>AND(Feuil1!C502,"AAAAAH9t+z8=")</f>
        <v>#VALUE!</v>
      </c>
      <c r="BM15" t="e">
        <f>AND(Feuil1!D502,"AAAAAH9t+0A=")</f>
        <v>#VALUE!</v>
      </c>
      <c r="BN15" t="e">
        <f>AND(Feuil1!E502,"AAAAAH9t+0E=")</f>
        <v>#VALUE!</v>
      </c>
      <c r="BO15">
        <f>IF(Feuil1!503:503,"AAAAAH9t+0I=",0)</f>
        <v>0</v>
      </c>
      <c r="BP15" t="e">
        <f>AND(Feuil1!A503,"AAAAAH9t+0M=")</f>
        <v>#VALUE!</v>
      </c>
      <c r="BQ15" t="e">
        <f>AND(Feuil1!B503,"AAAAAH9t+0Q=")</f>
        <v>#VALUE!</v>
      </c>
      <c r="BR15" t="e">
        <f>AND(Feuil1!C503,"AAAAAH9t+0U=")</f>
        <v>#VALUE!</v>
      </c>
      <c r="BS15" t="e">
        <f>AND(Feuil1!D503,"AAAAAH9t+0Y=")</f>
        <v>#VALUE!</v>
      </c>
      <c r="BT15" t="e">
        <f>AND(Feuil1!E503,"AAAAAH9t+0c=")</f>
        <v>#VALUE!</v>
      </c>
      <c r="BU15">
        <f>IF(Feuil1!504:504,"AAAAAH9t+0g=",0)</f>
        <v>0</v>
      </c>
      <c r="BV15" t="e">
        <f>AND(Feuil1!A504,"AAAAAH9t+0k=")</f>
        <v>#VALUE!</v>
      </c>
      <c r="BW15" t="e">
        <f>AND(Feuil1!B504,"AAAAAH9t+0o=")</f>
        <v>#VALUE!</v>
      </c>
      <c r="BX15" t="e">
        <f>AND(Feuil1!C504,"AAAAAH9t+0s=")</f>
        <v>#VALUE!</v>
      </c>
      <c r="BY15" t="e">
        <f>AND(Feuil1!D504,"AAAAAH9t+0w=")</f>
        <v>#VALUE!</v>
      </c>
      <c r="BZ15" t="e">
        <f>AND(Feuil1!E504,"AAAAAH9t+00=")</f>
        <v>#VALUE!</v>
      </c>
      <c r="CA15">
        <f>IF(Feuil1!505:505,"AAAAAH9t+04=",0)</f>
        <v>0</v>
      </c>
      <c r="CB15" t="e">
        <f>AND(Feuil1!A505,"AAAAAH9t+08=")</f>
        <v>#VALUE!</v>
      </c>
      <c r="CC15" t="e">
        <f>AND(Feuil1!B505,"AAAAAH9t+1A=")</f>
        <v>#VALUE!</v>
      </c>
      <c r="CD15" t="e">
        <f>AND(Feuil1!C505,"AAAAAH9t+1E=")</f>
        <v>#VALUE!</v>
      </c>
      <c r="CE15" t="e">
        <f>AND(Feuil1!D505,"AAAAAH9t+1I=")</f>
        <v>#VALUE!</v>
      </c>
      <c r="CF15" t="e">
        <f>AND(Feuil1!E505,"AAAAAH9t+1M=")</f>
        <v>#VALUE!</v>
      </c>
      <c r="CG15">
        <f>IF(Feuil1!506:506,"AAAAAH9t+1Q=",0)</f>
        <v>0</v>
      </c>
      <c r="CH15" t="e">
        <f>AND(Feuil1!A506,"AAAAAH9t+1U=")</f>
        <v>#VALUE!</v>
      </c>
      <c r="CI15" t="e">
        <f>AND(Feuil1!B506,"AAAAAH9t+1Y=")</f>
        <v>#VALUE!</v>
      </c>
      <c r="CJ15" t="e">
        <f>AND(Feuil1!C506,"AAAAAH9t+1c=")</f>
        <v>#VALUE!</v>
      </c>
      <c r="CK15" t="e">
        <f>AND(Feuil1!D506,"AAAAAH9t+1g=")</f>
        <v>#VALUE!</v>
      </c>
      <c r="CL15" t="e">
        <f>AND(Feuil1!E506,"AAAAAH9t+1k=")</f>
        <v>#VALUE!</v>
      </c>
      <c r="CM15">
        <f>IF(Feuil1!507:507,"AAAAAH9t+1o=",0)</f>
        <v>0</v>
      </c>
      <c r="CN15" t="e">
        <f>AND(Feuil1!A507,"AAAAAH9t+1s=")</f>
        <v>#VALUE!</v>
      </c>
      <c r="CO15" t="e">
        <f>AND(Feuil1!B507,"AAAAAH9t+1w=")</f>
        <v>#VALUE!</v>
      </c>
      <c r="CP15" t="e">
        <f>AND(Feuil1!C507,"AAAAAH9t+10=")</f>
        <v>#VALUE!</v>
      </c>
      <c r="CQ15" t="e">
        <f>AND(Feuil1!D507,"AAAAAH9t+14=")</f>
        <v>#VALUE!</v>
      </c>
      <c r="CR15" t="e">
        <f>AND(Feuil1!E507,"AAAAAH9t+18=")</f>
        <v>#VALUE!</v>
      </c>
      <c r="CS15">
        <f>IF(Feuil1!508:508,"AAAAAH9t+2A=",0)</f>
        <v>0</v>
      </c>
      <c r="CT15" t="e">
        <f>AND(Feuil1!A508,"AAAAAH9t+2E=")</f>
        <v>#VALUE!</v>
      </c>
      <c r="CU15" t="e">
        <f>AND(Feuil1!B508,"AAAAAH9t+2I=")</f>
        <v>#VALUE!</v>
      </c>
      <c r="CV15" t="e">
        <f>AND(Feuil1!C508,"AAAAAH9t+2M=")</f>
        <v>#VALUE!</v>
      </c>
      <c r="CW15" t="e">
        <f>AND(Feuil1!D508,"AAAAAH9t+2Q=")</f>
        <v>#VALUE!</v>
      </c>
      <c r="CX15" t="e">
        <f>AND(Feuil1!E508,"AAAAAH9t+2U=")</f>
        <v>#VALUE!</v>
      </c>
      <c r="CY15">
        <f>IF(Feuil1!509:509,"AAAAAH9t+2Y=",0)</f>
        <v>0</v>
      </c>
      <c r="CZ15" t="e">
        <f>AND(Feuil1!A509,"AAAAAH9t+2c=")</f>
        <v>#VALUE!</v>
      </c>
      <c r="DA15" t="e">
        <f>AND(Feuil1!B509,"AAAAAH9t+2g=")</f>
        <v>#VALUE!</v>
      </c>
      <c r="DB15" t="e">
        <f>AND(Feuil1!C509,"AAAAAH9t+2k=")</f>
        <v>#VALUE!</v>
      </c>
      <c r="DC15" t="e">
        <f>AND(Feuil1!D509,"AAAAAH9t+2o=")</f>
        <v>#VALUE!</v>
      </c>
      <c r="DD15" t="e">
        <f>AND(Feuil1!E509,"AAAAAH9t+2s=")</f>
        <v>#VALUE!</v>
      </c>
      <c r="DE15">
        <f>IF(Feuil1!510:510,"AAAAAH9t+2w=",0)</f>
        <v>0</v>
      </c>
      <c r="DF15" t="e">
        <f>AND(Feuil1!A510,"AAAAAH9t+20=")</f>
        <v>#VALUE!</v>
      </c>
      <c r="DG15" t="e">
        <f>AND(Feuil1!B510,"AAAAAH9t+24=")</f>
        <v>#VALUE!</v>
      </c>
      <c r="DH15" t="e">
        <f>AND(Feuil1!C510,"AAAAAH9t+28=")</f>
        <v>#VALUE!</v>
      </c>
      <c r="DI15" t="e">
        <f>AND(Feuil1!D510,"AAAAAH9t+3A=")</f>
        <v>#VALUE!</v>
      </c>
      <c r="DJ15" t="e">
        <f>AND(Feuil1!E510,"AAAAAH9t+3E=")</f>
        <v>#VALUE!</v>
      </c>
      <c r="DK15">
        <f>IF(Feuil1!511:511,"AAAAAH9t+3I=",0)</f>
        <v>0</v>
      </c>
      <c r="DL15" t="e">
        <f>AND(Feuil1!A511,"AAAAAH9t+3M=")</f>
        <v>#VALUE!</v>
      </c>
      <c r="DM15" t="e">
        <f>AND(Feuil1!B511,"AAAAAH9t+3Q=")</f>
        <v>#VALUE!</v>
      </c>
      <c r="DN15" t="e">
        <f>AND(Feuil1!C511,"AAAAAH9t+3U=")</f>
        <v>#VALUE!</v>
      </c>
      <c r="DO15" t="e">
        <f>AND(Feuil1!D511,"AAAAAH9t+3Y=")</f>
        <v>#VALUE!</v>
      </c>
      <c r="DP15" t="e">
        <f>AND(Feuil1!E511,"AAAAAH9t+3c=")</f>
        <v>#VALUE!</v>
      </c>
      <c r="DQ15">
        <f>IF(Feuil1!512:512,"AAAAAH9t+3g=",0)</f>
        <v>0</v>
      </c>
      <c r="DR15" t="e">
        <f>AND(Feuil1!A512,"AAAAAH9t+3k=")</f>
        <v>#VALUE!</v>
      </c>
      <c r="DS15" t="e">
        <f>AND(Feuil1!B512,"AAAAAH9t+3o=")</f>
        <v>#VALUE!</v>
      </c>
      <c r="DT15" t="e">
        <f>AND(Feuil1!C512,"AAAAAH9t+3s=")</f>
        <v>#VALUE!</v>
      </c>
      <c r="DU15" t="e">
        <f>AND(Feuil1!D512,"AAAAAH9t+3w=")</f>
        <v>#VALUE!</v>
      </c>
      <c r="DV15" t="e">
        <f>AND(Feuil1!E512,"AAAAAH9t+30=")</f>
        <v>#VALUE!</v>
      </c>
      <c r="DW15">
        <f>IF(Feuil1!513:513,"AAAAAH9t+34=",0)</f>
        <v>0</v>
      </c>
      <c r="DX15" t="e">
        <f>AND(Feuil1!A513,"AAAAAH9t+38=")</f>
        <v>#VALUE!</v>
      </c>
      <c r="DY15" t="e">
        <f>AND(Feuil1!B513,"AAAAAH9t+4A=")</f>
        <v>#VALUE!</v>
      </c>
      <c r="DZ15" t="e">
        <f>AND(Feuil1!C513,"AAAAAH9t+4E=")</f>
        <v>#VALUE!</v>
      </c>
      <c r="EA15" t="e">
        <f>AND(Feuil1!D513,"AAAAAH9t+4I=")</f>
        <v>#VALUE!</v>
      </c>
      <c r="EB15" t="e">
        <f>AND(Feuil1!E513,"AAAAAH9t+4M=")</f>
        <v>#VALUE!</v>
      </c>
      <c r="EC15">
        <f>IF(Feuil1!514:514,"AAAAAH9t+4Q=",0)</f>
        <v>0</v>
      </c>
      <c r="ED15" t="e">
        <f>AND(Feuil1!A514,"AAAAAH9t+4U=")</f>
        <v>#VALUE!</v>
      </c>
      <c r="EE15" t="e">
        <f>AND(Feuil1!B514,"AAAAAH9t+4Y=")</f>
        <v>#VALUE!</v>
      </c>
      <c r="EF15" t="e">
        <f>AND(Feuil1!C514,"AAAAAH9t+4c=")</f>
        <v>#VALUE!</v>
      </c>
      <c r="EG15" t="e">
        <f>AND(Feuil1!D514,"AAAAAH9t+4g=")</f>
        <v>#VALUE!</v>
      </c>
      <c r="EH15" t="e">
        <f>AND(Feuil1!E514,"AAAAAH9t+4k=")</f>
        <v>#VALUE!</v>
      </c>
      <c r="EI15">
        <f>IF(Feuil1!515:515,"AAAAAH9t+4o=",0)</f>
        <v>0</v>
      </c>
      <c r="EJ15" t="e">
        <f>AND(Feuil1!A515,"AAAAAH9t+4s=")</f>
        <v>#VALUE!</v>
      </c>
      <c r="EK15" t="e">
        <f>AND(Feuil1!B515,"AAAAAH9t+4w=")</f>
        <v>#VALUE!</v>
      </c>
      <c r="EL15" t="e">
        <f>AND(Feuil1!C515,"AAAAAH9t+40=")</f>
        <v>#VALUE!</v>
      </c>
      <c r="EM15" t="e">
        <f>AND(Feuil1!D515,"AAAAAH9t+44=")</f>
        <v>#VALUE!</v>
      </c>
      <c r="EN15" t="e">
        <f>AND(Feuil1!E515,"AAAAAH9t+48=")</f>
        <v>#VALUE!</v>
      </c>
      <c r="EO15">
        <f>IF(Feuil1!516:516,"AAAAAH9t+5A=",0)</f>
        <v>0</v>
      </c>
      <c r="EP15" t="e">
        <f>AND(Feuil1!A516,"AAAAAH9t+5E=")</f>
        <v>#VALUE!</v>
      </c>
      <c r="EQ15" t="e">
        <f>AND(Feuil1!B516,"AAAAAH9t+5I=")</f>
        <v>#VALUE!</v>
      </c>
      <c r="ER15" t="e">
        <f>AND(Feuil1!C516,"AAAAAH9t+5M=")</f>
        <v>#VALUE!</v>
      </c>
      <c r="ES15" t="e">
        <f>AND(Feuil1!D516,"AAAAAH9t+5Q=")</f>
        <v>#VALUE!</v>
      </c>
      <c r="ET15" t="e">
        <f>AND(Feuil1!E516,"AAAAAH9t+5U=")</f>
        <v>#VALUE!</v>
      </c>
      <c r="EU15">
        <f>IF(Feuil1!517:517,"AAAAAH9t+5Y=",0)</f>
        <v>0</v>
      </c>
      <c r="EV15" t="e">
        <f>AND(Feuil1!A517,"AAAAAH9t+5c=")</f>
        <v>#VALUE!</v>
      </c>
      <c r="EW15" t="e">
        <f>AND(Feuil1!B517,"AAAAAH9t+5g=")</f>
        <v>#VALUE!</v>
      </c>
      <c r="EX15" t="e">
        <f>AND(Feuil1!C517,"AAAAAH9t+5k=")</f>
        <v>#VALUE!</v>
      </c>
      <c r="EY15" t="e">
        <f>AND(Feuil1!D517,"AAAAAH9t+5o=")</f>
        <v>#VALUE!</v>
      </c>
      <c r="EZ15" t="e">
        <f>AND(Feuil1!E517,"AAAAAH9t+5s=")</f>
        <v>#VALUE!</v>
      </c>
      <c r="FA15">
        <f>IF(Feuil1!518:518,"AAAAAH9t+5w=",0)</f>
        <v>0</v>
      </c>
      <c r="FB15" t="e">
        <f>AND(Feuil1!A518,"AAAAAH9t+50=")</f>
        <v>#VALUE!</v>
      </c>
      <c r="FC15" t="e">
        <f>AND(Feuil1!B518,"AAAAAH9t+54=")</f>
        <v>#VALUE!</v>
      </c>
      <c r="FD15" t="e">
        <f>AND(Feuil1!C518,"AAAAAH9t+58=")</f>
        <v>#VALUE!</v>
      </c>
      <c r="FE15" t="e">
        <f>AND(Feuil1!D518,"AAAAAH9t+6A=")</f>
        <v>#VALUE!</v>
      </c>
      <c r="FF15" t="e">
        <f>AND(Feuil1!E518,"AAAAAH9t+6E=")</f>
        <v>#VALUE!</v>
      </c>
      <c r="FG15">
        <f>IF(Feuil1!519:519,"AAAAAH9t+6I=",0)</f>
        <v>0</v>
      </c>
      <c r="FH15" t="e">
        <f>AND(Feuil1!A519,"AAAAAH9t+6M=")</f>
        <v>#VALUE!</v>
      </c>
      <c r="FI15" t="e">
        <f>AND(Feuil1!B519,"AAAAAH9t+6Q=")</f>
        <v>#VALUE!</v>
      </c>
      <c r="FJ15" t="e">
        <f>AND(Feuil1!C519,"AAAAAH9t+6U=")</f>
        <v>#VALUE!</v>
      </c>
      <c r="FK15" t="e">
        <f>AND(Feuil1!D519,"AAAAAH9t+6Y=")</f>
        <v>#VALUE!</v>
      </c>
      <c r="FL15" t="e">
        <f>AND(Feuil1!E519,"AAAAAH9t+6c=")</f>
        <v>#VALUE!</v>
      </c>
      <c r="FM15">
        <f>IF(Feuil1!520:520,"AAAAAH9t+6g=",0)</f>
        <v>0</v>
      </c>
      <c r="FN15" t="e">
        <f>AND(Feuil1!A520,"AAAAAH9t+6k=")</f>
        <v>#VALUE!</v>
      </c>
      <c r="FO15" t="e">
        <f>AND(Feuil1!B520,"AAAAAH9t+6o=")</f>
        <v>#VALUE!</v>
      </c>
      <c r="FP15" t="e">
        <f>AND(Feuil1!C520,"AAAAAH9t+6s=")</f>
        <v>#VALUE!</v>
      </c>
      <c r="FQ15" t="e">
        <f>AND(Feuil1!D520,"AAAAAH9t+6w=")</f>
        <v>#VALUE!</v>
      </c>
      <c r="FR15" t="e">
        <f>AND(Feuil1!E520,"AAAAAH9t+60=")</f>
        <v>#VALUE!</v>
      </c>
      <c r="FS15">
        <f>IF(Feuil1!521:521,"AAAAAH9t+64=",0)</f>
        <v>0</v>
      </c>
      <c r="FT15" t="e">
        <f>AND(Feuil1!A521,"AAAAAH9t+68=")</f>
        <v>#VALUE!</v>
      </c>
      <c r="FU15" t="e">
        <f>AND(Feuil1!B521,"AAAAAH9t+7A=")</f>
        <v>#VALUE!</v>
      </c>
      <c r="FV15" t="e">
        <f>AND(Feuil1!C521,"AAAAAH9t+7E=")</f>
        <v>#VALUE!</v>
      </c>
      <c r="FW15" t="e">
        <f>AND(Feuil1!D521,"AAAAAH9t+7I=")</f>
        <v>#VALUE!</v>
      </c>
      <c r="FX15" t="e">
        <f>AND(Feuil1!E521,"AAAAAH9t+7M=")</f>
        <v>#VALUE!</v>
      </c>
      <c r="FY15">
        <f>IF(Feuil1!522:522,"AAAAAH9t+7Q=",0)</f>
        <v>0</v>
      </c>
      <c r="FZ15" t="e">
        <f>AND(Feuil1!A522,"AAAAAH9t+7U=")</f>
        <v>#VALUE!</v>
      </c>
      <c r="GA15" t="e">
        <f>AND(Feuil1!B522,"AAAAAH9t+7Y=")</f>
        <v>#VALUE!</v>
      </c>
      <c r="GB15" t="e">
        <f>AND(Feuil1!C522,"AAAAAH9t+7c=")</f>
        <v>#VALUE!</v>
      </c>
      <c r="GC15" t="e">
        <f>AND(Feuil1!D522,"AAAAAH9t+7g=")</f>
        <v>#VALUE!</v>
      </c>
      <c r="GD15" t="e">
        <f>AND(Feuil1!E522,"AAAAAH9t+7k=")</f>
        <v>#VALUE!</v>
      </c>
      <c r="GE15">
        <f>IF(Feuil1!523:523,"AAAAAH9t+7o=",0)</f>
        <v>0</v>
      </c>
      <c r="GF15" t="e">
        <f>AND(Feuil1!A523,"AAAAAH9t+7s=")</f>
        <v>#VALUE!</v>
      </c>
      <c r="GG15" t="e">
        <f>AND(Feuil1!B523,"AAAAAH9t+7w=")</f>
        <v>#VALUE!</v>
      </c>
      <c r="GH15" t="e">
        <f>AND(Feuil1!C523,"AAAAAH9t+70=")</f>
        <v>#VALUE!</v>
      </c>
      <c r="GI15" t="e">
        <f>AND(Feuil1!D523,"AAAAAH9t+74=")</f>
        <v>#VALUE!</v>
      </c>
      <c r="GJ15" t="e">
        <f>AND(Feuil1!E523,"AAAAAH9t+78=")</f>
        <v>#VALUE!</v>
      </c>
      <c r="GK15">
        <f>IF(Feuil1!524:524,"AAAAAH9t+8A=",0)</f>
        <v>0</v>
      </c>
      <c r="GL15" t="e">
        <f>AND(Feuil1!A524,"AAAAAH9t+8E=")</f>
        <v>#VALUE!</v>
      </c>
      <c r="GM15" t="e">
        <f>AND(Feuil1!B524,"AAAAAH9t+8I=")</f>
        <v>#VALUE!</v>
      </c>
      <c r="GN15" t="e">
        <f>AND(Feuil1!C524,"AAAAAH9t+8M=")</f>
        <v>#VALUE!</v>
      </c>
      <c r="GO15" t="e">
        <f>AND(Feuil1!D524,"AAAAAH9t+8Q=")</f>
        <v>#VALUE!</v>
      </c>
      <c r="GP15" t="e">
        <f>AND(Feuil1!E524,"AAAAAH9t+8U=")</f>
        <v>#VALUE!</v>
      </c>
      <c r="GQ15">
        <f>IF(Feuil1!525:525,"AAAAAH9t+8Y=",0)</f>
        <v>0</v>
      </c>
      <c r="GR15" t="e">
        <f>AND(Feuil1!A525,"AAAAAH9t+8c=")</f>
        <v>#VALUE!</v>
      </c>
      <c r="GS15" t="e">
        <f>AND(Feuil1!B525,"AAAAAH9t+8g=")</f>
        <v>#VALUE!</v>
      </c>
      <c r="GT15" t="e">
        <f>AND(Feuil1!C525,"AAAAAH9t+8k=")</f>
        <v>#VALUE!</v>
      </c>
      <c r="GU15" t="e">
        <f>AND(Feuil1!D525,"AAAAAH9t+8o=")</f>
        <v>#VALUE!</v>
      </c>
      <c r="GV15" t="e">
        <f>AND(Feuil1!E525,"AAAAAH9t+8s=")</f>
        <v>#VALUE!</v>
      </c>
      <c r="GW15">
        <f>IF(Feuil1!526:526,"AAAAAH9t+8w=",0)</f>
        <v>0</v>
      </c>
      <c r="GX15" t="e">
        <f>AND(Feuil1!A526,"AAAAAH9t+80=")</f>
        <v>#VALUE!</v>
      </c>
      <c r="GY15" t="e">
        <f>AND(Feuil1!B526,"AAAAAH9t+84=")</f>
        <v>#VALUE!</v>
      </c>
      <c r="GZ15" t="e">
        <f>AND(Feuil1!C526,"AAAAAH9t+88=")</f>
        <v>#VALUE!</v>
      </c>
      <c r="HA15" t="e">
        <f>AND(Feuil1!D526,"AAAAAH9t+9A=")</f>
        <v>#VALUE!</v>
      </c>
      <c r="HB15" t="e">
        <f>AND(Feuil1!E526,"AAAAAH9t+9E=")</f>
        <v>#VALUE!</v>
      </c>
      <c r="HC15">
        <f>IF(Feuil1!527:527,"AAAAAH9t+9I=",0)</f>
        <v>0</v>
      </c>
      <c r="HD15" t="e">
        <f>AND(Feuil1!A527,"AAAAAH9t+9M=")</f>
        <v>#VALUE!</v>
      </c>
      <c r="HE15" t="e">
        <f>AND(Feuil1!B527,"AAAAAH9t+9Q=")</f>
        <v>#VALUE!</v>
      </c>
      <c r="HF15" t="e">
        <f>AND(Feuil1!C527,"AAAAAH9t+9U=")</f>
        <v>#VALUE!</v>
      </c>
      <c r="HG15" t="e">
        <f>AND(Feuil1!D527,"AAAAAH9t+9Y=")</f>
        <v>#VALUE!</v>
      </c>
      <c r="HH15" t="e">
        <f>AND(Feuil1!E527,"AAAAAH9t+9c=")</f>
        <v>#VALUE!</v>
      </c>
      <c r="HI15">
        <f>IF(Feuil1!528:528,"AAAAAH9t+9g=",0)</f>
        <v>0</v>
      </c>
      <c r="HJ15" t="e">
        <f>AND(Feuil1!A528,"AAAAAH9t+9k=")</f>
        <v>#VALUE!</v>
      </c>
      <c r="HK15" t="e">
        <f>AND(Feuil1!B528,"AAAAAH9t+9o=")</f>
        <v>#VALUE!</v>
      </c>
      <c r="HL15" t="e">
        <f>AND(Feuil1!C528,"AAAAAH9t+9s=")</f>
        <v>#VALUE!</v>
      </c>
      <c r="HM15" t="e">
        <f>AND(Feuil1!D528,"AAAAAH9t+9w=")</f>
        <v>#VALUE!</v>
      </c>
      <c r="HN15" t="e">
        <f>AND(Feuil1!E528,"AAAAAH9t+90=")</f>
        <v>#VALUE!</v>
      </c>
      <c r="HO15">
        <f>IF(Feuil1!529:529,"AAAAAH9t+94=",0)</f>
        <v>0</v>
      </c>
      <c r="HP15" t="e">
        <f>AND(Feuil1!A529,"AAAAAH9t+98=")</f>
        <v>#VALUE!</v>
      </c>
      <c r="HQ15" t="e">
        <f>AND(Feuil1!B529,"AAAAAH9t++A=")</f>
        <v>#VALUE!</v>
      </c>
      <c r="HR15" t="e">
        <f>AND(Feuil1!C529,"AAAAAH9t++E=")</f>
        <v>#VALUE!</v>
      </c>
      <c r="HS15" t="e">
        <f>AND(Feuil1!D529,"AAAAAH9t++I=")</f>
        <v>#VALUE!</v>
      </c>
      <c r="HT15" t="e">
        <f>AND(Feuil1!E529,"AAAAAH9t++M=")</f>
        <v>#VALUE!</v>
      </c>
      <c r="HU15">
        <f>IF(Feuil1!530:530,"AAAAAH9t++Q=",0)</f>
        <v>0</v>
      </c>
      <c r="HV15" t="e">
        <f>AND(Feuil1!A530,"AAAAAH9t++U=")</f>
        <v>#VALUE!</v>
      </c>
      <c r="HW15" t="e">
        <f>AND(Feuil1!B530,"AAAAAH9t++Y=")</f>
        <v>#VALUE!</v>
      </c>
      <c r="HX15" t="e">
        <f>AND(Feuil1!C530,"AAAAAH9t++c=")</f>
        <v>#VALUE!</v>
      </c>
      <c r="HY15" t="e">
        <f>AND(Feuil1!D530,"AAAAAH9t++g=")</f>
        <v>#VALUE!</v>
      </c>
      <c r="HZ15" t="e">
        <f>AND(Feuil1!E530,"AAAAAH9t++k=")</f>
        <v>#VALUE!</v>
      </c>
      <c r="IA15">
        <f>IF(Feuil1!531:531,"AAAAAH9t++o=",0)</f>
        <v>0</v>
      </c>
      <c r="IB15" t="e">
        <f>AND(Feuil1!A531,"AAAAAH9t++s=")</f>
        <v>#VALUE!</v>
      </c>
      <c r="IC15" t="e">
        <f>AND(Feuil1!B531,"AAAAAH9t++w=")</f>
        <v>#VALUE!</v>
      </c>
      <c r="ID15" t="e">
        <f>AND(Feuil1!C531,"AAAAAH9t++0=")</f>
        <v>#VALUE!</v>
      </c>
      <c r="IE15" t="e">
        <f>AND(Feuil1!D531,"AAAAAH9t++4=")</f>
        <v>#VALUE!</v>
      </c>
      <c r="IF15" t="e">
        <f>AND(Feuil1!E531,"AAAAAH9t++8=")</f>
        <v>#VALUE!</v>
      </c>
      <c r="IG15">
        <f>IF(Feuil1!532:532,"AAAAAH9t+/A=",0)</f>
        <v>0</v>
      </c>
      <c r="IH15" t="e">
        <f>AND(Feuil1!A532,"AAAAAH9t+/E=")</f>
        <v>#VALUE!</v>
      </c>
      <c r="II15" t="e">
        <f>AND(Feuil1!B532,"AAAAAH9t+/I=")</f>
        <v>#VALUE!</v>
      </c>
      <c r="IJ15" t="e">
        <f>AND(Feuil1!C532,"AAAAAH9t+/M=")</f>
        <v>#VALUE!</v>
      </c>
      <c r="IK15" t="e">
        <f>AND(Feuil1!D532,"AAAAAH9t+/Q=")</f>
        <v>#VALUE!</v>
      </c>
      <c r="IL15" t="e">
        <f>AND(Feuil1!E532,"AAAAAH9t+/U=")</f>
        <v>#VALUE!</v>
      </c>
      <c r="IM15">
        <f>IF(Feuil1!533:533,"AAAAAH9t+/Y=",0)</f>
        <v>0</v>
      </c>
      <c r="IN15" t="e">
        <f>AND(Feuil1!A533,"AAAAAH9t+/c=")</f>
        <v>#VALUE!</v>
      </c>
      <c r="IO15" t="e">
        <f>AND(Feuil1!B533,"AAAAAH9t+/g=")</f>
        <v>#VALUE!</v>
      </c>
      <c r="IP15" t="e">
        <f>AND(Feuil1!C533,"AAAAAH9t+/k=")</f>
        <v>#VALUE!</v>
      </c>
      <c r="IQ15" t="e">
        <f>AND(Feuil1!D533,"AAAAAH9t+/o=")</f>
        <v>#VALUE!</v>
      </c>
      <c r="IR15" t="e">
        <f>AND(Feuil1!E533,"AAAAAH9t+/s=")</f>
        <v>#VALUE!</v>
      </c>
      <c r="IS15">
        <f>IF(Feuil1!534:534,"AAAAAH9t+/w=",0)</f>
        <v>0</v>
      </c>
      <c r="IT15" t="e">
        <f>AND(Feuil1!A534,"AAAAAH9t+/0=")</f>
        <v>#VALUE!</v>
      </c>
      <c r="IU15" t="e">
        <f>AND(Feuil1!B534,"AAAAAH9t+/4=")</f>
        <v>#VALUE!</v>
      </c>
      <c r="IV15" t="e">
        <f>AND(Feuil1!C534,"AAAAAH9t+/8=")</f>
        <v>#VALUE!</v>
      </c>
    </row>
    <row r="16" spans="1:256" x14ac:dyDescent="0.25">
      <c r="A16" t="e">
        <f>AND(Feuil1!D534,"AAAAAH96/QA=")</f>
        <v>#VALUE!</v>
      </c>
      <c r="B16" t="e">
        <f>AND(Feuil1!E534,"AAAAAH96/QE=")</f>
        <v>#VALUE!</v>
      </c>
      <c r="C16">
        <f>IF(Feuil1!535:535,"AAAAAH96/QI=",0)</f>
        <v>0</v>
      </c>
      <c r="D16" t="e">
        <f>AND(Feuil1!A535,"AAAAAH96/QM=")</f>
        <v>#VALUE!</v>
      </c>
      <c r="E16" t="e">
        <f>AND(Feuil1!B535,"AAAAAH96/QQ=")</f>
        <v>#VALUE!</v>
      </c>
      <c r="F16" t="e">
        <f>AND(Feuil1!C535,"AAAAAH96/QU=")</f>
        <v>#VALUE!</v>
      </c>
      <c r="G16" t="e">
        <f>AND(Feuil1!D535,"AAAAAH96/QY=")</f>
        <v>#VALUE!</v>
      </c>
      <c r="H16" t="e">
        <f>AND(Feuil1!E535,"AAAAAH96/Qc=")</f>
        <v>#VALUE!</v>
      </c>
      <c r="I16">
        <f>IF(Feuil1!536:536,"AAAAAH96/Qg=",0)</f>
        <v>0</v>
      </c>
      <c r="J16" t="e">
        <f>AND(Feuil1!A536,"AAAAAH96/Qk=")</f>
        <v>#VALUE!</v>
      </c>
      <c r="K16" t="e">
        <f>AND(Feuil1!B536,"AAAAAH96/Qo=")</f>
        <v>#VALUE!</v>
      </c>
      <c r="L16" t="e">
        <f>AND(Feuil1!C536,"AAAAAH96/Qs=")</f>
        <v>#VALUE!</v>
      </c>
      <c r="M16" t="e">
        <f>AND(Feuil1!D536,"AAAAAH96/Qw=")</f>
        <v>#VALUE!</v>
      </c>
      <c r="N16" t="e">
        <f>AND(Feuil1!E536,"AAAAAH96/Q0=")</f>
        <v>#VALUE!</v>
      </c>
      <c r="O16">
        <f>IF(Feuil1!537:537,"AAAAAH96/Q4=",0)</f>
        <v>0</v>
      </c>
      <c r="P16" t="e">
        <f>AND(Feuil1!A537,"AAAAAH96/Q8=")</f>
        <v>#VALUE!</v>
      </c>
      <c r="Q16" t="e">
        <f>AND(Feuil1!B537,"AAAAAH96/RA=")</f>
        <v>#VALUE!</v>
      </c>
      <c r="R16" t="e">
        <f>AND(Feuil1!C537,"AAAAAH96/RE=")</f>
        <v>#VALUE!</v>
      </c>
      <c r="S16" t="e">
        <f>AND(Feuil1!D537,"AAAAAH96/RI=")</f>
        <v>#VALUE!</v>
      </c>
      <c r="T16" t="e">
        <f>AND(Feuil1!E537,"AAAAAH96/RM=")</f>
        <v>#VALUE!</v>
      </c>
      <c r="U16">
        <f>IF(Feuil1!538:538,"AAAAAH96/RQ=",0)</f>
        <v>0</v>
      </c>
      <c r="V16" t="e">
        <f>AND(Feuil1!A538,"AAAAAH96/RU=")</f>
        <v>#VALUE!</v>
      </c>
      <c r="W16" t="e">
        <f>AND(Feuil1!B538,"AAAAAH96/RY=")</f>
        <v>#VALUE!</v>
      </c>
      <c r="X16" t="e">
        <f>AND(Feuil1!C538,"AAAAAH96/Rc=")</f>
        <v>#VALUE!</v>
      </c>
      <c r="Y16" t="e">
        <f>AND(Feuil1!D538,"AAAAAH96/Rg=")</f>
        <v>#VALUE!</v>
      </c>
      <c r="Z16" t="e">
        <f>AND(Feuil1!E538,"AAAAAH96/Rk=")</f>
        <v>#VALUE!</v>
      </c>
      <c r="AA16">
        <f>IF(Feuil1!539:539,"AAAAAH96/Ro=",0)</f>
        <v>0</v>
      </c>
      <c r="AB16" t="e">
        <f>AND(Feuil1!A539,"AAAAAH96/Rs=")</f>
        <v>#VALUE!</v>
      </c>
      <c r="AC16" t="e">
        <f>AND(Feuil1!B539,"AAAAAH96/Rw=")</f>
        <v>#VALUE!</v>
      </c>
      <c r="AD16" t="e">
        <f>AND(Feuil1!C539,"AAAAAH96/R0=")</f>
        <v>#VALUE!</v>
      </c>
      <c r="AE16" t="e">
        <f>AND(Feuil1!D539,"AAAAAH96/R4=")</f>
        <v>#VALUE!</v>
      </c>
      <c r="AF16" t="e">
        <f>AND(Feuil1!E539,"AAAAAH96/R8=")</f>
        <v>#VALUE!</v>
      </c>
      <c r="AG16">
        <f>IF(Feuil1!540:540,"AAAAAH96/SA=",0)</f>
        <v>0</v>
      </c>
      <c r="AH16" t="e">
        <f>AND(Feuil1!A540,"AAAAAH96/SE=")</f>
        <v>#VALUE!</v>
      </c>
      <c r="AI16" t="e">
        <f>AND(Feuil1!B540,"AAAAAH96/SI=")</f>
        <v>#VALUE!</v>
      </c>
      <c r="AJ16" t="e">
        <f>AND(Feuil1!C540,"AAAAAH96/SM=")</f>
        <v>#VALUE!</v>
      </c>
      <c r="AK16" t="e">
        <f>AND(Feuil1!D540,"AAAAAH96/SQ=")</f>
        <v>#VALUE!</v>
      </c>
      <c r="AL16" t="e">
        <f>AND(Feuil1!E540,"AAAAAH96/SU=")</f>
        <v>#VALUE!</v>
      </c>
      <c r="AM16">
        <f>IF(Feuil1!541:541,"AAAAAH96/SY=",0)</f>
        <v>0</v>
      </c>
      <c r="AN16" t="e">
        <f>AND(Feuil1!A541,"AAAAAH96/Sc=")</f>
        <v>#VALUE!</v>
      </c>
      <c r="AO16" t="e">
        <f>AND(Feuil1!B541,"AAAAAH96/Sg=")</f>
        <v>#VALUE!</v>
      </c>
      <c r="AP16" t="e">
        <f>AND(Feuil1!C541,"AAAAAH96/Sk=")</f>
        <v>#VALUE!</v>
      </c>
      <c r="AQ16" t="e">
        <f>AND(Feuil1!D541,"AAAAAH96/So=")</f>
        <v>#VALUE!</v>
      </c>
      <c r="AR16" t="e">
        <f>AND(Feuil1!E541,"AAAAAH96/Ss=")</f>
        <v>#VALUE!</v>
      </c>
      <c r="AS16">
        <f>IF(Feuil1!542:542,"AAAAAH96/Sw=",0)</f>
        <v>0</v>
      </c>
      <c r="AT16" t="e">
        <f>AND(Feuil1!A542,"AAAAAH96/S0=")</f>
        <v>#VALUE!</v>
      </c>
      <c r="AU16" t="e">
        <f>AND(Feuil1!B542,"AAAAAH96/S4=")</f>
        <v>#VALUE!</v>
      </c>
      <c r="AV16" t="e">
        <f>AND(Feuil1!C542,"AAAAAH96/S8=")</f>
        <v>#VALUE!</v>
      </c>
      <c r="AW16" t="e">
        <f>AND(Feuil1!D542,"AAAAAH96/TA=")</f>
        <v>#VALUE!</v>
      </c>
      <c r="AX16" t="e">
        <f>AND(Feuil1!E542,"AAAAAH96/TE=")</f>
        <v>#VALUE!</v>
      </c>
      <c r="AY16">
        <f>IF(Feuil1!543:543,"AAAAAH96/TI=",0)</f>
        <v>0</v>
      </c>
      <c r="AZ16" t="e">
        <f>AND(Feuil1!A543,"AAAAAH96/TM=")</f>
        <v>#VALUE!</v>
      </c>
      <c r="BA16" t="e">
        <f>AND(Feuil1!B543,"AAAAAH96/TQ=")</f>
        <v>#VALUE!</v>
      </c>
      <c r="BB16" t="e">
        <f>AND(Feuil1!C543,"AAAAAH96/TU=")</f>
        <v>#VALUE!</v>
      </c>
      <c r="BC16" t="e">
        <f>AND(Feuil1!D543,"AAAAAH96/TY=")</f>
        <v>#VALUE!</v>
      </c>
      <c r="BD16" t="e">
        <f>AND(Feuil1!E543,"AAAAAH96/Tc=")</f>
        <v>#VALUE!</v>
      </c>
      <c r="BE16">
        <f>IF(Feuil1!544:544,"AAAAAH96/Tg=",0)</f>
        <v>0</v>
      </c>
      <c r="BF16" t="e">
        <f>AND(Feuil1!A544,"AAAAAH96/Tk=")</f>
        <v>#VALUE!</v>
      </c>
      <c r="BG16" t="e">
        <f>AND(Feuil1!B544,"AAAAAH96/To=")</f>
        <v>#VALUE!</v>
      </c>
      <c r="BH16" t="e">
        <f>AND(Feuil1!C544,"AAAAAH96/Ts=")</f>
        <v>#VALUE!</v>
      </c>
      <c r="BI16" t="e">
        <f>AND(Feuil1!D544,"AAAAAH96/Tw=")</f>
        <v>#VALUE!</v>
      </c>
      <c r="BJ16" t="e">
        <f>AND(Feuil1!E544,"AAAAAH96/T0=")</f>
        <v>#VALUE!</v>
      </c>
      <c r="BK16">
        <f>IF(Feuil1!545:545,"AAAAAH96/T4=",0)</f>
        <v>0</v>
      </c>
      <c r="BL16" t="e">
        <f>AND(Feuil1!A545,"AAAAAH96/T8=")</f>
        <v>#VALUE!</v>
      </c>
      <c r="BM16" t="e">
        <f>AND(Feuil1!B545,"AAAAAH96/UA=")</f>
        <v>#VALUE!</v>
      </c>
      <c r="BN16" t="e">
        <f>AND(Feuil1!C545,"AAAAAH96/UE=")</f>
        <v>#VALUE!</v>
      </c>
      <c r="BO16" t="e">
        <f>AND(Feuil1!D545,"AAAAAH96/UI=")</f>
        <v>#VALUE!</v>
      </c>
      <c r="BP16" t="e">
        <f>AND(Feuil1!E545,"AAAAAH96/UM=")</f>
        <v>#VALUE!</v>
      </c>
      <c r="BQ16">
        <f>IF(Feuil1!546:546,"AAAAAH96/UQ=",0)</f>
        <v>0</v>
      </c>
      <c r="BR16" t="e">
        <f>AND(Feuil1!A546,"AAAAAH96/UU=")</f>
        <v>#VALUE!</v>
      </c>
      <c r="BS16" t="e">
        <f>AND(Feuil1!B546,"AAAAAH96/UY=")</f>
        <v>#VALUE!</v>
      </c>
      <c r="BT16" t="e">
        <f>AND(Feuil1!C546,"AAAAAH96/Uc=")</f>
        <v>#VALUE!</v>
      </c>
      <c r="BU16" t="e">
        <f>AND(Feuil1!D546,"AAAAAH96/Ug=")</f>
        <v>#VALUE!</v>
      </c>
      <c r="BV16" t="e">
        <f>AND(Feuil1!E546,"AAAAAH96/Uk=")</f>
        <v>#VALUE!</v>
      </c>
      <c r="BW16">
        <f>IF(Feuil1!547:547,"AAAAAH96/Uo=",0)</f>
        <v>0</v>
      </c>
      <c r="BX16" t="e">
        <f>AND(Feuil1!A547,"AAAAAH96/Us=")</f>
        <v>#VALUE!</v>
      </c>
      <c r="BY16" t="e">
        <f>AND(Feuil1!B547,"AAAAAH96/Uw=")</f>
        <v>#VALUE!</v>
      </c>
      <c r="BZ16" t="e">
        <f>AND(Feuil1!C547,"AAAAAH96/U0=")</f>
        <v>#VALUE!</v>
      </c>
      <c r="CA16" t="e">
        <f>AND(Feuil1!D547,"AAAAAH96/U4=")</f>
        <v>#VALUE!</v>
      </c>
      <c r="CB16" t="e">
        <f>AND(Feuil1!E547,"AAAAAH96/U8=")</f>
        <v>#VALUE!</v>
      </c>
      <c r="CC16">
        <f>IF(Feuil1!548:548,"AAAAAH96/VA=",0)</f>
        <v>0</v>
      </c>
      <c r="CD16" t="e">
        <f>AND(Feuil1!A548,"AAAAAH96/VE=")</f>
        <v>#VALUE!</v>
      </c>
      <c r="CE16" t="e">
        <f>AND(Feuil1!B548,"AAAAAH96/VI=")</f>
        <v>#VALUE!</v>
      </c>
      <c r="CF16" t="e">
        <f>AND(Feuil1!C548,"AAAAAH96/VM=")</f>
        <v>#VALUE!</v>
      </c>
      <c r="CG16" t="e">
        <f>AND(Feuil1!D548,"AAAAAH96/VQ=")</f>
        <v>#VALUE!</v>
      </c>
      <c r="CH16" t="e">
        <f>AND(Feuil1!E548,"AAAAAH96/VU=")</f>
        <v>#VALUE!</v>
      </c>
      <c r="CI16">
        <f>IF(Feuil1!549:549,"AAAAAH96/VY=",0)</f>
        <v>0</v>
      </c>
      <c r="CJ16" t="e">
        <f>AND(Feuil1!A549,"AAAAAH96/Vc=")</f>
        <v>#VALUE!</v>
      </c>
      <c r="CK16" t="e">
        <f>AND(Feuil1!B549,"AAAAAH96/Vg=")</f>
        <v>#VALUE!</v>
      </c>
      <c r="CL16" t="e">
        <f>AND(Feuil1!C549,"AAAAAH96/Vk=")</f>
        <v>#VALUE!</v>
      </c>
      <c r="CM16" t="e">
        <f>AND(Feuil1!D549,"AAAAAH96/Vo=")</f>
        <v>#VALUE!</v>
      </c>
      <c r="CN16" t="e">
        <f>AND(Feuil1!E549,"AAAAAH96/Vs=")</f>
        <v>#VALUE!</v>
      </c>
      <c r="CO16">
        <f>IF(Feuil1!550:550,"AAAAAH96/Vw=",0)</f>
        <v>0</v>
      </c>
      <c r="CP16" t="e">
        <f>AND(Feuil1!A550,"AAAAAH96/V0=")</f>
        <v>#VALUE!</v>
      </c>
      <c r="CQ16" t="e">
        <f>AND(Feuil1!B550,"AAAAAH96/V4=")</f>
        <v>#VALUE!</v>
      </c>
      <c r="CR16" t="e">
        <f>AND(Feuil1!C550,"AAAAAH96/V8=")</f>
        <v>#VALUE!</v>
      </c>
      <c r="CS16" t="e">
        <f>AND(Feuil1!D550,"AAAAAH96/WA=")</f>
        <v>#VALUE!</v>
      </c>
      <c r="CT16" t="e">
        <f>AND(Feuil1!E550,"AAAAAH96/WE=")</f>
        <v>#VALUE!</v>
      </c>
      <c r="CU16">
        <f>IF(Feuil1!551:551,"AAAAAH96/WI=",0)</f>
        <v>0</v>
      </c>
      <c r="CV16" t="e">
        <f>AND(Feuil1!A551,"AAAAAH96/WM=")</f>
        <v>#VALUE!</v>
      </c>
      <c r="CW16" t="e">
        <f>AND(Feuil1!B551,"AAAAAH96/WQ=")</f>
        <v>#VALUE!</v>
      </c>
      <c r="CX16" t="e">
        <f>AND(Feuil1!C551,"AAAAAH96/WU=")</f>
        <v>#VALUE!</v>
      </c>
      <c r="CY16" t="e">
        <f>AND(Feuil1!D551,"AAAAAH96/WY=")</f>
        <v>#VALUE!</v>
      </c>
      <c r="CZ16" t="e">
        <f>AND(Feuil1!E551,"AAAAAH96/Wc=")</f>
        <v>#VALUE!</v>
      </c>
      <c r="DA16">
        <f>IF(Feuil1!552:552,"AAAAAH96/Wg=",0)</f>
        <v>0</v>
      </c>
      <c r="DB16" t="e">
        <f>AND(Feuil1!A552,"AAAAAH96/Wk=")</f>
        <v>#VALUE!</v>
      </c>
      <c r="DC16" t="e">
        <f>AND(Feuil1!B552,"AAAAAH96/Wo=")</f>
        <v>#VALUE!</v>
      </c>
      <c r="DD16" t="e">
        <f>AND(Feuil1!C552,"AAAAAH96/Ws=")</f>
        <v>#VALUE!</v>
      </c>
      <c r="DE16" t="e">
        <f>AND(Feuil1!D552,"AAAAAH96/Ww=")</f>
        <v>#VALUE!</v>
      </c>
      <c r="DF16" t="e">
        <f>AND(Feuil1!E552,"AAAAAH96/W0=")</f>
        <v>#VALUE!</v>
      </c>
      <c r="DG16">
        <f>IF(Feuil1!553:553,"AAAAAH96/W4=",0)</f>
        <v>0</v>
      </c>
      <c r="DH16" t="e">
        <f>AND(Feuil1!A553,"AAAAAH96/W8=")</f>
        <v>#VALUE!</v>
      </c>
      <c r="DI16" t="e">
        <f>AND(Feuil1!B553,"AAAAAH96/XA=")</f>
        <v>#VALUE!</v>
      </c>
      <c r="DJ16" t="e">
        <f>AND(Feuil1!C553,"AAAAAH96/XE=")</f>
        <v>#VALUE!</v>
      </c>
      <c r="DK16" t="e">
        <f>AND(Feuil1!D553,"AAAAAH96/XI=")</f>
        <v>#VALUE!</v>
      </c>
      <c r="DL16" t="e">
        <f>AND(Feuil1!E553,"AAAAAH96/XM=")</f>
        <v>#VALUE!</v>
      </c>
      <c r="DM16">
        <f>IF(Feuil1!A:A,"AAAAAH96/XQ=",0)</f>
        <v>0</v>
      </c>
      <c r="DN16">
        <f>IF(Feuil1!B:B,"AAAAAH96/XU=",0)</f>
        <v>0</v>
      </c>
      <c r="DO16" t="str">
        <f>IF(Feuil1!C:C,"AAAAAH96/XY=",0)</f>
        <v>AAAAAH96/XY=</v>
      </c>
      <c r="DP16" t="str">
        <f>IF(Feuil1!D:D,"AAAAAH96/Xc=",0)</f>
        <v>AAAAAH96/Xc=</v>
      </c>
      <c r="DQ16" t="e">
        <f>IF(Feuil1!E:E,"AAAAAH96/Xg=",0)</f>
        <v>#VALUE!</v>
      </c>
      <c r="DR16" t="e">
        <f>IF(Feuil1!F:F,"AAAAAH96/Xk=",0)</f>
        <v>#VALUE!</v>
      </c>
      <c r="DS16">
        <f>IF(Feuil1!H:H,"AAAAAH96/Xo=",0)</f>
        <v>0</v>
      </c>
      <c r="DT16">
        <f>IF(Feuil1!I:I,"AAAAAH96/Xs=",0)</f>
        <v>0</v>
      </c>
      <c r="DU16" t="e">
        <f>IF(Feuil1!#REF!,"AAAAAH96/Xw=",0)</f>
        <v>#REF!</v>
      </c>
      <c r="DV16" t="e">
        <f>IF(Feuil1!#REF!,"AAAAAH96/X0=",0)</f>
        <v>#REF!</v>
      </c>
      <c r="DW16" t="e">
        <f>IF(Feuil1!#REF!,"AAAAAH96/X4=",0)</f>
        <v>#REF!</v>
      </c>
      <c r="DX16" t="e">
        <f>IF(Feuil1!#REF!,"AAAAAH96/X8=",0)</f>
        <v>#REF!</v>
      </c>
      <c r="DY16" t="e">
        <f>IF(Feuil1!#REF!,"AAAAAH96/YA=",0)</f>
        <v>#REF!</v>
      </c>
      <c r="DZ16" t="e">
        <f>IF(Feuil1!#REF!,"AAAAAH96/YE=",0)</f>
        <v>#REF!</v>
      </c>
      <c r="EA16" t="e">
        <f>AND(GETPIVOTDATA("",Feuil1!H1),"AAAAAH96/YI=")</f>
        <v>#REF!</v>
      </c>
      <c r="EB16" t="s">
        <v>32</v>
      </c>
    </row>
    <row r="17" spans="1:9" x14ac:dyDescent="0.25">
      <c r="A17" t="e">
        <f>AND(Feuil1!F40,"AAAAAH7V0gA=")</f>
        <v>#VALUE!</v>
      </c>
      <c r="B17" t="e">
        <f>AND(Feuil1!H40,"AAAAAH7V0gE=")</f>
        <v>#VALUE!</v>
      </c>
      <c r="C17" t="e">
        <f>AND(Feuil1!I40,"AAAAAH7V0gI=")</f>
        <v>#VALUE!</v>
      </c>
      <c r="D17" t="e">
        <f>AND(Feuil1!#REF!,"AAAAAH7V0gM=")</f>
        <v>#REF!</v>
      </c>
      <c r="E17" t="e">
        <f>AND(Feuil1!#REF!,"AAAAAH7V0gQ=")</f>
        <v>#REF!</v>
      </c>
      <c r="F17" t="e">
        <f>AND(Feuil1!#REF!,"AAAAAH7V0gU=")</f>
        <v>#REF!</v>
      </c>
      <c r="G17" t="e">
        <f>AND(Feuil1!#REF!,"AAAAAH7V0gY=")</f>
        <v>#REF!</v>
      </c>
      <c r="H17" t="e">
        <f>AND(Feuil1!#REF!,"AAAAAH7V0gc=")</f>
        <v>#REF!</v>
      </c>
      <c r="I17" t="e">
        <f>AND(Feuil1!#REF!,"AAAAAH7V0gg=")</f>
        <v>#REF!</v>
      </c>
    </row>
  </sheetData>
  <pageMargins left="0.7" right="0.7" top="0.75" bottom="0.75" header="0.3" footer="0.3"/>
  <customProperties>
    <customPr name="DVSECTION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Jean-Eric Pelouas</cp:lastModifiedBy>
  <dcterms:created xsi:type="dcterms:W3CDTF">2013-01-20T11:35:41Z</dcterms:created>
  <dcterms:modified xsi:type="dcterms:W3CDTF">2013-01-22T22:42:11Z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14Q8w6HY92U6nIFYRo9oFx2odmkjTuykG4QunDoJQP1c</vt:lpwstr>
  </property>
  <property fmtid="{D5CDD505-2E9C-101B-9397-08002B2CF9AE}" pid="4" name="Google.Documents.RevisionId">
    <vt:lpwstr>12022440695124727234</vt:lpwstr>
  </property>
  <property fmtid="{D5CDD505-2E9C-101B-9397-08002B2CF9AE}" pid="5" name="Google.Documents.PreviousRevisionId">
    <vt:lpwstr>03724795989376775688</vt:lpwstr>
  </property>
  <property fmtid="{D5CDD505-2E9C-101B-9397-08002B2CF9AE}" pid="6" name="Google.Documents.PluginVersion">
    <vt:lpwstr>2.0.2662.553</vt:lpwstr>
  </property>
  <property fmtid="{D5CDD505-2E9C-101B-9397-08002B2CF9AE}" pid="7" name="Google.Documents.MergeIncapabilityFlags">
    <vt:i4>0</vt:i4>
  </property>
</Properties>
</file>