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R326" i="1" l="1"/>
  <c r="S326" i="1"/>
  <c r="R327" i="1"/>
  <c r="S327" i="1"/>
  <c r="R328" i="1"/>
  <c r="S328" i="1"/>
  <c r="R329" i="1"/>
  <c r="S329" i="1"/>
  <c r="R330" i="1"/>
  <c r="S330" i="1"/>
  <c r="R331" i="1"/>
  <c r="S331" i="1"/>
  <c r="R332" i="1"/>
  <c r="S332" i="1"/>
  <c r="R333" i="1"/>
  <c r="S333" i="1"/>
  <c r="R334" i="1"/>
  <c r="S334" i="1"/>
  <c r="O326" i="1"/>
  <c r="O327" i="1"/>
  <c r="O328" i="1"/>
  <c r="O329" i="1"/>
  <c r="O330" i="1"/>
  <c r="O331" i="1"/>
  <c r="O332" i="1"/>
  <c r="O333" i="1"/>
  <c r="O334" i="1"/>
  <c r="I326" i="1"/>
  <c r="J326" i="1"/>
  <c r="I327" i="1"/>
  <c r="J327" i="1"/>
  <c r="I328" i="1"/>
  <c r="J328" i="1"/>
  <c r="I329" i="1"/>
  <c r="J329" i="1"/>
  <c r="I330" i="1"/>
  <c r="J330" i="1"/>
  <c r="I331" i="1"/>
  <c r="J331" i="1"/>
  <c r="I332" i="1"/>
  <c r="J332" i="1"/>
  <c r="I333" i="1"/>
  <c r="J333" i="1"/>
  <c r="I334" i="1"/>
  <c r="J334" i="1"/>
  <c r="R294" i="1"/>
  <c r="S294" i="1"/>
  <c r="R295" i="1"/>
  <c r="S295" i="1"/>
  <c r="R296" i="1"/>
  <c r="S296" i="1"/>
  <c r="R297" i="1"/>
  <c r="S297" i="1"/>
  <c r="R298" i="1"/>
  <c r="S298" i="1"/>
  <c r="R299" i="1"/>
  <c r="S299" i="1"/>
  <c r="R300" i="1"/>
  <c r="S300" i="1"/>
  <c r="R301" i="1"/>
  <c r="S301" i="1"/>
  <c r="R302" i="1"/>
  <c r="S302" i="1"/>
  <c r="O294" i="1"/>
  <c r="O295" i="1"/>
  <c r="O296" i="1"/>
  <c r="O297" i="1"/>
  <c r="O298" i="1"/>
  <c r="O299" i="1"/>
  <c r="O300" i="1"/>
  <c r="O301" i="1"/>
  <c r="O302" i="1"/>
  <c r="I294" i="1"/>
  <c r="J294" i="1"/>
  <c r="I295" i="1"/>
  <c r="J295" i="1"/>
  <c r="I296" i="1"/>
  <c r="J296" i="1"/>
  <c r="I297" i="1"/>
  <c r="J297" i="1"/>
  <c r="I298" i="1"/>
  <c r="J298" i="1"/>
  <c r="I299" i="1"/>
  <c r="J299" i="1"/>
  <c r="I300" i="1"/>
  <c r="J300" i="1"/>
  <c r="I301" i="1"/>
  <c r="J301" i="1"/>
  <c r="I302" i="1"/>
  <c r="J302" i="1"/>
  <c r="H334" i="1" l="1"/>
  <c r="H332" i="1"/>
  <c r="H330" i="1"/>
  <c r="H328" i="1"/>
  <c r="H326" i="1"/>
  <c r="H333" i="1"/>
  <c r="H331" i="1"/>
  <c r="H329" i="1"/>
  <c r="H327" i="1"/>
  <c r="H301" i="1"/>
  <c r="H299" i="1"/>
  <c r="H297" i="1"/>
  <c r="H295" i="1"/>
  <c r="H302" i="1"/>
  <c r="H300" i="1"/>
  <c r="H298" i="1"/>
  <c r="H296" i="1"/>
  <c r="H294" i="1"/>
  <c r="I150" i="1"/>
  <c r="J150" i="1"/>
  <c r="I151" i="1"/>
  <c r="J151" i="1"/>
  <c r="I152" i="1"/>
  <c r="J152" i="1"/>
  <c r="I153" i="1"/>
  <c r="J153" i="1"/>
  <c r="I154" i="1"/>
  <c r="J154" i="1"/>
  <c r="I155" i="1"/>
  <c r="J155" i="1"/>
  <c r="I156" i="1"/>
  <c r="J156" i="1"/>
  <c r="I157" i="1"/>
  <c r="J157" i="1"/>
  <c r="I158" i="1"/>
  <c r="J158" i="1"/>
  <c r="R182" i="1"/>
  <c r="S182" i="1"/>
  <c r="R183" i="1"/>
  <c r="S183" i="1"/>
  <c r="R184" i="1"/>
  <c r="S184" i="1"/>
  <c r="R185" i="1"/>
  <c r="S185" i="1"/>
  <c r="R186" i="1"/>
  <c r="S186" i="1"/>
  <c r="R187" i="1"/>
  <c r="S187" i="1"/>
  <c r="R188" i="1"/>
  <c r="S188" i="1"/>
  <c r="R189" i="1"/>
  <c r="S189" i="1"/>
  <c r="R190" i="1"/>
  <c r="S190" i="1"/>
  <c r="O182" i="1"/>
  <c r="O183" i="1"/>
  <c r="O184" i="1"/>
  <c r="O185" i="1"/>
  <c r="O186" i="1"/>
  <c r="O187" i="1"/>
  <c r="O188" i="1"/>
  <c r="O189" i="1"/>
  <c r="O190" i="1"/>
  <c r="I182" i="1"/>
  <c r="J182" i="1"/>
  <c r="I183" i="1"/>
  <c r="J183" i="1"/>
  <c r="I184" i="1"/>
  <c r="J184" i="1"/>
  <c r="I185" i="1"/>
  <c r="J185" i="1"/>
  <c r="I186" i="1"/>
  <c r="J186" i="1"/>
  <c r="I187" i="1"/>
  <c r="J187" i="1"/>
  <c r="I188" i="1"/>
  <c r="J188" i="1"/>
  <c r="I189" i="1"/>
  <c r="J189" i="1"/>
  <c r="I190" i="1"/>
  <c r="J190" i="1"/>
  <c r="I106" i="1"/>
  <c r="J106" i="1"/>
  <c r="I107" i="1"/>
  <c r="J107" i="1"/>
  <c r="I108" i="1"/>
  <c r="J108" i="1"/>
  <c r="I109" i="1"/>
  <c r="J109" i="1"/>
  <c r="I110" i="1"/>
  <c r="J110" i="1"/>
  <c r="I111" i="1"/>
  <c r="J111" i="1"/>
  <c r="I112" i="1"/>
  <c r="J112" i="1"/>
  <c r="I113" i="1"/>
  <c r="J113" i="1"/>
  <c r="I114" i="1"/>
  <c r="J114" i="1"/>
  <c r="I115" i="1"/>
  <c r="J115" i="1"/>
  <c r="I116" i="1"/>
  <c r="J116" i="1"/>
  <c r="I117" i="1"/>
  <c r="J117" i="1"/>
  <c r="I118" i="1"/>
  <c r="J118" i="1"/>
  <c r="I119" i="1"/>
  <c r="J119" i="1"/>
  <c r="I120" i="1"/>
  <c r="J120" i="1"/>
  <c r="I121" i="1"/>
  <c r="J121" i="1"/>
  <c r="I122" i="1"/>
  <c r="J122" i="1"/>
  <c r="I123" i="1"/>
  <c r="J123" i="1"/>
  <c r="I124" i="1"/>
  <c r="J124" i="1"/>
  <c r="I125" i="1"/>
  <c r="J125" i="1"/>
  <c r="I126" i="1"/>
  <c r="J126" i="1"/>
  <c r="I127" i="1"/>
  <c r="J12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O126" i="1"/>
  <c r="R126" i="1"/>
  <c r="S126" i="1"/>
  <c r="O127" i="1"/>
  <c r="R127" i="1"/>
  <c r="S127" i="1"/>
  <c r="B128" i="1"/>
  <c r="M128" i="1"/>
  <c r="N128" i="1"/>
  <c r="P128" i="1"/>
  <c r="Q128" i="1"/>
  <c r="R79" i="1"/>
  <c r="R80" i="1"/>
  <c r="R81" i="1"/>
  <c r="R82" i="1"/>
  <c r="R83" i="1"/>
  <c r="R84" i="1"/>
  <c r="R85" i="1"/>
  <c r="R86" i="1"/>
  <c r="R87" i="1"/>
  <c r="R88" i="1"/>
  <c r="R89" i="1"/>
  <c r="S90" i="1"/>
  <c r="J90" i="1"/>
  <c r="H90" i="1" s="1"/>
  <c r="I79" i="1"/>
  <c r="J79" i="1"/>
  <c r="O79" i="1" s="1"/>
  <c r="S79" i="1" s="1"/>
  <c r="I80" i="1"/>
  <c r="J80" i="1"/>
  <c r="O80" i="1" s="1"/>
  <c r="S80" i="1" s="1"/>
  <c r="I81" i="1"/>
  <c r="J81" i="1"/>
  <c r="O81" i="1" s="1"/>
  <c r="S81" i="1" s="1"/>
  <c r="I82" i="1"/>
  <c r="J82" i="1"/>
  <c r="O82" i="1" s="1"/>
  <c r="S82" i="1" s="1"/>
  <c r="I83" i="1"/>
  <c r="J83" i="1"/>
  <c r="O83" i="1" s="1"/>
  <c r="S83" i="1" s="1"/>
  <c r="I84" i="1"/>
  <c r="J84" i="1"/>
  <c r="O84" i="1" s="1"/>
  <c r="S84" i="1" s="1"/>
  <c r="I85" i="1"/>
  <c r="J85" i="1"/>
  <c r="O85" i="1" s="1"/>
  <c r="S85" i="1" s="1"/>
  <c r="I86" i="1"/>
  <c r="J86" i="1"/>
  <c r="O86" i="1" s="1"/>
  <c r="S86" i="1" s="1"/>
  <c r="I87" i="1"/>
  <c r="J87" i="1"/>
  <c r="O87" i="1" s="1"/>
  <c r="S87" i="1" s="1"/>
  <c r="I88" i="1"/>
  <c r="J88" i="1"/>
  <c r="O88" i="1" s="1"/>
  <c r="S88" i="1" s="1"/>
  <c r="I89" i="1"/>
  <c r="J89" i="1"/>
  <c r="O89" i="1" s="1"/>
  <c r="S89" i="1" s="1"/>
  <c r="R63" i="1"/>
  <c r="R64" i="1"/>
  <c r="R65" i="1"/>
  <c r="R66" i="1"/>
  <c r="R67" i="1"/>
  <c r="R68" i="1"/>
  <c r="R69" i="1"/>
  <c r="R70" i="1"/>
  <c r="R71" i="1"/>
  <c r="I63" i="1"/>
  <c r="J63" i="1"/>
  <c r="O63" i="1" s="1"/>
  <c r="S63" i="1" s="1"/>
  <c r="I64" i="1"/>
  <c r="J64" i="1"/>
  <c r="O64" i="1" s="1"/>
  <c r="S64" i="1" s="1"/>
  <c r="I65" i="1"/>
  <c r="J65" i="1"/>
  <c r="O65" i="1" s="1"/>
  <c r="S65" i="1" s="1"/>
  <c r="I66" i="1"/>
  <c r="J66" i="1"/>
  <c r="O66" i="1" s="1"/>
  <c r="S66" i="1" s="1"/>
  <c r="I67" i="1"/>
  <c r="J67" i="1"/>
  <c r="O67" i="1" s="1"/>
  <c r="S67" i="1" s="1"/>
  <c r="I68" i="1"/>
  <c r="J68" i="1"/>
  <c r="O68" i="1" s="1"/>
  <c r="S68" i="1" s="1"/>
  <c r="I69" i="1"/>
  <c r="J69" i="1"/>
  <c r="O69" i="1" s="1"/>
  <c r="S69" i="1" s="1"/>
  <c r="I70" i="1"/>
  <c r="J70" i="1"/>
  <c r="O70" i="1" s="1"/>
  <c r="S70" i="1" s="1"/>
  <c r="I71" i="1"/>
  <c r="J71" i="1"/>
  <c r="O71" i="1" s="1"/>
  <c r="S71" i="1" s="1"/>
  <c r="H157" i="1" l="1"/>
  <c r="H155" i="1"/>
  <c r="H153" i="1"/>
  <c r="H151" i="1"/>
  <c r="H158" i="1"/>
  <c r="H156" i="1"/>
  <c r="H154" i="1"/>
  <c r="H152" i="1"/>
  <c r="H150" i="1"/>
  <c r="H189" i="1"/>
  <c r="H187" i="1"/>
  <c r="H185" i="1"/>
  <c r="H183" i="1"/>
  <c r="H190" i="1"/>
  <c r="H188" i="1"/>
  <c r="H186" i="1"/>
  <c r="H184" i="1"/>
  <c r="H182" i="1"/>
  <c r="O90" i="1"/>
  <c r="R90" i="1" s="1"/>
  <c r="H88" i="1"/>
  <c r="H86" i="1"/>
  <c r="H84" i="1"/>
  <c r="H82" i="1"/>
  <c r="H80" i="1"/>
  <c r="H89" i="1"/>
  <c r="H87" i="1"/>
  <c r="H85" i="1"/>
  <c r="H83" i="1"/>
  <c r="H81" i="1"/>
  <c r="H79" i="1"/>
  <c r="H70" i="1"/>
  <c r="H68" i="1"/>
  <c r="H66" i="1"/>
  <c r="H64" i="1"/>
  <c r="H71" i="1"/>
  <c r="H69" i="1"/>
  <c r="H67" i="1"/>
  <c r="H65" i="1"/>
  <c r="H63" i="1"/>
  <c r="Q496" i="1" l="1"/>
  <c r="P496" i="1"/>
  <c r="N496" i="1"/>
  <c r="M496" i="1"/>
  <c r="D496" i="1"/>
  <c r="C496" i="1"/>
  <c r="B496" i="1"/>
  <c r="R495" i="1"/>
  <c r="J495" i="1"/>
  <c r="O495" i="1" s="1"/>
  <c r="S495" i="1" s="1"/>
  <c r="I495" i="1"/>
  <c r="H495" i="1"/>
  <c r="R494" i="1"/>
  <c r="J494" i="1"/>
  <c r="O494" i="1" s="1"/>
  <c r="S494" i="1" s="1"/>
  <c r="I494" i="1"/>
  <c r="H494" i="1"/>
  <c r="R493" i="1"/>
  <c r="J493" i="1"/>
  <c r="O493" i="1" s="1"/>
  <c r="S493" i="1" s="1"/>
  <c r="I493" i="1"/>
  <c r="H493" i="1"/>
  <c r="R492" i="1"/>
  <c r="J492" i="1"/>
  <c r="O492" i="1" s="1"/>
  <c r="S492" i="1" s="1"/>
  <c r="I492" i="1"/>
  <c r="H492" i="1"/>
  <c r="R491" i="1"/>
  <c r="J491" i="1"/>
  <c r="O491" i="1" s="1"/>
  <c r="S491" i="1" s="1"/>
  <c r="I491" i="1"/>
  <c r="H491" i="1"/>
  <c r="R490" i="1"/>
  <c r="J490" i="1"/>
  <c r="O490" i="1" s="1"/>
  <c r="S490" i="1" s="1"/>
  <c r="I490" i="1"/>
  <c r="H490" i="1"/>
  <c r="R489" i="1"/>
  <c r="J489" i="1"/>
  <c r="O489" i="1" s="1"/>
  <c r="S489" i="1" s="1"/>
  <c r="I489" i="1"/>
  <c r="H489" i="1"/>
  <c r="R488" i="1"/>
  <c r="J488" i="1"/>
  <c r="O488" i="1" s="1"/>
  <c r="S488" i="1" s="1"/>
  <c r="I488" i="1"/>
  <c r="H488" i="1"/>
  <c r="R487" i="1"/>
  <c r="J487" i="1"/>
  <c r="O487" i="1" s="1"/>
  <c r="S487" i="1" s="1"/>
  <c r="I487" i="1"/>
  <c r="H487" i="1"/>
  <c r="R486" i="1"/>
  <c r="R496" i="1" s="1"/>
  <c r="J486" i="1"/>
  <c r="J496" i="1" s="1"/>
  <c r="I486" i="1"/>
  <c r="I496" i="1" s="1"/>
  <c r="H486" i="1"/>
  <c r="H496" i="1" s="1"/>
  <c r="Q480" i="1"/>
  <c r="P480" i="1"/>
  <c r="N480" i="1"/>
  <c r="M480" i="1"/>
  <c r="D480" i="1"/>
  <c r="C480" i="1"/>
  <c r="B480" i="1"/>
  <c r="R479" i="1"/>
  <c r="J479" i="1"/>
  <c r="O479" i="1" s="1"/>
  <c r="S479" i="1" s="1"/>
  <c r="I479" i="1"/>
  <c r="R478" i="1"/>
  <c r="J478" i="1"/>
  <c r="O478" i="1" s="1"/>
  <c r="S478" i="1" s="1"/>
  <c r="I478" i="1"/>
  <c r="R477" i="1"/>
  <c r="J477" i="1"/>
  <c r="O477" i="1" s="1"/>
  <c r="S477" i="1" s="1"/>
  <c r="I477" i="1"/>
  <c r="R476" i="1"/>
  <c r="J476" i="1"/>
  <c r="O476" i="1" s="1"/>
  <c r="S476" i="1" s="1"/>
  <c r="I476" i="1"/>
  <c r="R475" i="1"/>
  <c r="J475" i="1"/>
  <c r="O475" i="1" s="1"/>
  <c r="S475" i="1" s="1"/>
  <c r="I475" i="1"/>
  <c r="R474" i="1"/>
  <c r="J474" i="1"/>
  <c r="O474" i="1" s="1"/>
  <c r="S474" i="1" s="1"/>
  <c r="I474" i="1"/>
  <c r="R473" i="1"/>
  <c r="J473" i="1"/>
  <c r="O473" i="1" s="1"/>
  <c r="S473" i="1" s="1"/>
  <c r="I473" i="1"/>
  <c r="R472" i="1"/>
  <c r="J472" i="1"/>
  <c r="O472" i="1" s="1"/>
  <c r="S472" i="1" s="1"/>
  <c r="I472" i="1"/>
  <c r="R471" i="1"/>
  <c r="J471" i="1"/>
  <c r="O471" i="1" s="1"/>
  <c r="S471" i="1" s="1"/>
  <c r="I471" i="1"/>
  <c r="R470" i="1"/>
  <c r="R480" i="1" s="1"/>
  <c r="J470" i="1"/>
  <c r="J480" i="1" s="1"/>
  <c r="I470" i="1"/>
  <c r="Q464" i="1"/>
  <c r="P464" i="1"/>
  <c r="N464" i="1"/>
  <c r="M464" i="1"/>
  <c r="D464" i="1"/>
  <c r="C464" i="1"/>
  <c r="B464" i="1"/>
  <c r="R463" i="1"/>
  <c r="J463" i="1"/>
  <c r="O463" i="1" s="1"/>
  <c r="S463" i="1" s="1"/>
  <c r="I463" i="1"/>
  <c r="H463" i="1"/>
  <c r="R462" i="1"/>
  <c r="J462" i="1"/>
  <c r="O462" i="1" s="1"/>
  <c r="S462" i="1" s="1"/>
  <c r="I462" i="1"/>
  <c r="H462" i="1"/>
  <c r="R461" i="1"/>
  <c r="J461" i="1"/>
  <c r="O461" i="1" s="1"/>
  <c r="S461" i="1" s="1"/>
  <c r="I461" i="1"/>
  <c r="H461" i="1"/>
  <c r="R460" i="1"/>
  <c r="J460" i="1"/>
  <c r="O460" i="1" s="1"/>
  <c r="S460" i="1" s="1"/>
  <c r="I460" i="1"/>
  <c r="H460" i="1"/>
  <c r="R459" i="1"/>
  <c r="J459" i="1"/>
  <c r="O459" i="1" s="1"/>
  <c r="S459" i="1" s="1"/>
  <c r="I459" i="1"/>
  <c r="H459" i="1"/>
  <c r="R458" i="1"/>
  <c r="J458" i="1"/>
  <c r="O458" i="1" s="1"/>
  <c r="S458" i="1" s="1"/>
  <c r="I458" i="1"/>
  <c r="H458" i="1"/>
  <c r="R457" i="1"/>
  <c r="J457" i="1"/>
  <c r="O457" i="1" s="1"/>
  <c r="S457" i="1" s="1"/>
  <c r="I457" i="1"/>
  <c r="H457" i="1"/>
  <c r="R456" i="1"/>
  <c r="J456" i="1"/>
  <c r="O456" i="1" s="1"/>
  <c r="S456" i="1" s="1"/>
  <c r="I456" i="1"/>
  <c r="H456" i="1"/>
  <c r="R455" i="1"/>
  <c r="J455" i="1"/>
  <c r="O455" i="1" s="1"/>
  <c r="S455" i="1" s="1"/>
  <c r="I455" i="1"/>
  <c r="H455" i="1"/>
  <c r="R454" i="1"/>
  <c r="R464" i="1" s="1"/>
  <c r="J454" i="1"/>
  <c r="J464" i="1" s="1"/>
  <c r="F463" i="1" s="1"/>
  <c r="I454" i="1"/>
  <c r="I464" i="1" s="1"/>
  <c r="H454" i="1"/>
  <c r="H464" i="1" s="1"/>
  <c r="Q448" i="1"/>
  <c r="P448" i="1"/>
  <c r="N448" i="1"/>
  <c r="M448" i="1"/>
  <c r="D448" i="1"/>
  <c r="C448" i="1"/>
  <c r="B448" i="1"/>
  <c r="R447" i="1"/>
  <c r="J447" i="1"/>
  <c r="O447" i="1" s="1"/>
  <c r="S447" i="1" s="1"/>
  <c r="I447" i="1"/>
  <c r="R446" i="1"/>
  <c r="J446" i="1"/>
  <c r="O446" i="1" s="1"/>
  <c r="S446" i="1" s="1"/>
  <c r="I446" i="1"/>
  <c r="R445" i="1"/>
  <c r="J445" i="1"/>
  <c r="O445" i="1" s="1"/>
  <c r="S445" i="1" s="1"/>
  <c r="I445" i="1"/>
  <c r="R444" i="1"/>
  <c r="J444" i="1"/>
  <c r="O444" i="1" s="1"/>
  <c r="S444" i="1" s="1"/>
  <c r="I444" i="1"/>
  <c r="R443" i="1"/>
  <c r="J443" i="1"/>
  <c r="O443" i="1" s="1"/>
  <c r="S443" i="1" s="1"/>
  <c r="I443" i="1"/>
  <c r="R442" i="1"/>
  <c r="J442" i="1"/>
  <c r="O442" i="1" s="1"/>
  <c r="S442" i="1" s="1"/>
  <c r="I442" i="1"/>
  <c r="R441" i="1"/>
  <c r="J441" i="1"/>
  <c r="O441" i="1" s="1"/>
  <c r="S441" i="1" s="1"/>
  <c r="I441" i="1"/>
  <c r="R440" i="1"/>
  <c r="J440" i="1"/>
  <c r="O440" i="1" s="1"/>
  <c r="S440" i="1" s="1"/>
  <c r="I440" i="1"/>
  <c r="R439" i="1"/>
  <c r="J439" i="1"/>
  <c r="O439" i="1" s="1"/>
  <c r="S439" i="1" s="1"/>
  <c r="I439" i="1"/>
  <c r="R438" i="1"/>
  <c r="R448" i="1" s="1"/>
  <c r="J438" i="1"/>
  <c r="J448" i="1" s="1"/>
  <c r="I438" i="1"/>
  <c r="I448" i="1" s="1"/>
  <c r="Q432" i="1"/>
  <c r="P432" i="1"/>
  <c r="N432" i="1"/>
  <c r="M432" i="1"/>
  <c r="D432" i="1"/>
  <c r="C432" i="1"/>
  <c r="B432" i="1"/>
  <c r="R431" i="1"/>
  <c r="J431" i="1"/>
  <c r="O431" i="1" s="1"/>
  <c r="S431" i="1" s="1"/>
  <c r="I431" i="1"/>
  <c r="R430" i="1"/>
  <c r="J430" i="1"/>
  <c r="O430" i="1" s="1"/>
  <c r="S430" i="1" s="1"/>
  <c r="I430" i="1"/>
  <c r="H430" i="1" s="1"/>
  <c r="R429" i="1"/>
  <c r="J429" i="1"/>
  <c r="O429" i="1" s="1"/>
  <c r="S429" i="1" s="1"/>
  <c r="I429" i="1"/>
  <c r="R428" i="1"/>
  <c r="J428" i="1"/>
  <c r="O428" i="1" s="1"/>
  <c r="S428" i="1" s="1"/>
  <c r="I428" i="1"/>
  <c r="H428" i="1" s="1"/>
  <c r="R427" i="1"/>
  <c r="J427" i="1"/>
  <c r="I427" i="1"/>
  <c r="R426" i="1"/>
  <c r="J426" i="1"/>
  <c r="I426" i="1"/>
  <c r="H426" i="1" s="1"/>
  <c r="R425" i="1"/>
  <c r="J425" i="1"/>
  <c r="I425" i="1"/>
  <c r="R424" i="1"/>
  <c r="J424" i="1"/>
  <c r="I424" i="1"/>
  <c r="H424" i="1" s="1"/>
  <c r="R423" i="1"/>
  <c r="J423" i="1"/>
  <c r="I423" i="1"/>
  <c r="R422" i="1"/>
  <c r="R432" i="1" s="1"/>
  <c r="J422" i="1"/>
  <c r="I422" i="1"/>
  <c r="I432" i="1" s="1"/>
  <c r="Q416" i="1"/>
  <c r="P416" i="1"/>
  <c r="N416" i="1"/>
  <c r="M416" i="1"/>
  <c r="D416" i="1"/>
  <c r="C416" i="1"/>
  <c r="B416" i="1"/>
  <c r="R415" i="1"/>
  <c r="J415" i="1"/>
  <c r="O415" i="1" s="1"/>
  <c r="S415" i="1" s="1"/>
  <c r="I415" i="1"/>
  <c r="H415" i="1" s="1"/>
  <c r="R414" i="1"/>
  <c r="J414" i="1"/>
  <c r="O414" i="1" s="1"/>
  <c r="S414" i="1" s="1"/>
  <c r="I414" i="1"/>
  <c r="H414" i="1" s="1"/>
  <c r="R413" i="1"/>
  <c r="J413" i="1"/>
  <c r="O413" i="1" s="1"/>
  <c r="S413" i="1" s="1"/>
  <c r="I413" i="1"/>
  <c r="H413" i="1" s="1"/>
  <c r="R412" i="1"/>
  <c r="J412" i="1"/>
  <c r="O412" i="1" s="1"/>
  <c r="S412" i="1" s="1"/>
  <c r="I412" i="1"/>
  <c r="H412" i="1" s="1"/>
  <c r="R411" i="1"/>
  <c r="J411" i="1"/>
  <c r="O411" i="1" s="1"/>
  <c r="S411" i="1" s="1"/>
  <c r="I411" i="1"/>
  <c r="H411" i="1" s="1"/>
  <c r="R410" i="1"/>
  <c r="J410" i="1"/>
  <c r="O410" i="1" s="1"/>
  <c r="S410" i="1" s="1"/>
  <c r="I410" i="1"/>
  <c r="H410" i="1" s="1"/>
  <c r="R409" i="1"/>
  <c r="J409" i="1"/>
  <c r="O409" i="1" s="1"/>
  <c r="S409" i="1" s="1"/>
  <c r="I409" i="1"/>
  <c r="H409" i="1" s="1"/>
  <c r="R408" i="1"/>
  <c r="J408" i="1"/>
  <c r="O408" i="1" s="1"/>
  <c r="S408" i="1" s="1"/>
  <c r="I408" i="1"/>
  <c r="H408" i="1" s="1"/>
  <c r="R407" i="1"/>
  <c r="J407" i="1"/>
  <c r="O407" i="1" s="1"/>
  <c r="S407" i="1" s="1"/>
  <c r="I407" i="1"/>
  <c r="H407" i="1" s="1"/>
  <c r="R406" i="1"/>
  <c r="R416" i="1" s="1"/>
  <c r="J406" i="1"/>
  <c r="J416" i="1" s="1"/>
  <c r="I406" i="1"/>
  <c r="I416" i="1" s="1"/>
  <c r="Q400" i="1"/>
  <c r="P400" i="1"/>
  <c r="N400" i="1"/>
  <c r="M400" i="1"/>
  <c r="D400" i="1"/>
  <c r="C400" i="1"/>
  <c r="B400" i="1"/>
  <c r="R399" i="1"/>
  <c r="J399" i="1"/>
  <c r="O399" i="1" s="1"/>
  <c r="S399" i="1" s="1"/>
  <c r="I399" i="1"/>
  <c r="R398" i="1"/>
  <c r="J398" i="1"/>
  <c r="O398" i="1" s="1"/>
  <c r="S398" i="1" s="1"/>
  <c r="I398" i="1"/>
  <c r="R397" i="1"/>
  <c r="J397" i="1"/>
  <c r="O397" i="1" s="1"/>
  <c r="S397" i="1" s="1"/>
  <c r="I397" i="1"/>
  <c r="R396" i="1"/>
  <c r="J396" i="1"/>
  <c r="O396" i="1" s="1"/>
  <c r="S396" i="1" s="1"/>
  <c r="I396" i="1"/>
  <c r="R395" i="1"/>
  <c r="J395" i="1"/>
  <c r="O395" i="1" s="1"/>
  <c r="S395" i="1" s="1"/>
  <c r="I395" i="1"/>
  <c r="R394" i="1"/>
  <c r="J394" i="1"/>
  <c r="O394" i="1" s="1"/>
  <c r="S394" i="1" s="1"/>
  <c r="I394" i="1"/>
  <c r="R393" i="1"/>
  <c r="J393" i="1"/>
  <c r="O393" i="1" s="1"/>
  <c r="S393" i="1" s="1"/>
  <c r="I393" i="1"/>
  <c r="R392" i="1"/>
  <c r="J392" i="1"/>
  <c r="O392" i="1" s="1"/>
  <c r="S392" i="1" s="1"/>
  <c r="I392" i="1"/>
  <c r="R391" i="1"/>
  <c r="J391" i="1"/>
  <c r="O391" i="1" s="1"/>
  <c r="S391" i="1" s="1"/>
  <c r="I391" i="1"/>
  <c r="R390" i="1"/>
  <c r="R400" i="1" s="1"/>
  <c r="J390" i="1"/>
  <c r="I390" i="1"/>
  <c r="I400" i="1" s="1"/>
  <c r="Q384" i="1"/>
  <c r="P384" i="1"/>
  <c r="N384" i="1"/>
  <c r="M384" i="1"/>
  <c r="D384" i="1"/>
  <c r="C384" i="1"/>
  <c r="B384" i="1"/>
  <c r="R383" i="1"/>
  <c r="J383" i="1"/>
  <c r="O383" i="1" s="1"/>
  <c r="S383" i="1" s="1"/>
  <c r="I383" i="1"/>
  <c r="H383" i="1" s="1"/>
  <c r="R382" i="1"/>
  <c r="J382" i="1"/>
  <c r="O382" i="1" s="1"/>
  <c r="S382" i="1" s="1"/>
  <c r="I382" i="1"/>
  <c r="H382" i="1"/>
  <c r="R381" i="1"/>
  <c r="J381" i="1"/>
  <c r="O381" i="1" s="1"/>
  <c r="S381" i="1" s="1"/>
  <c r="I381" i="1"/>
  <c r="H381" i="1"/>
  <c r="R380" i="1"/>
  <c r="J380" i="1"/>
  <c r="O380" i="1" s="1"/>
  <c r="S380" i="1" s="1"/>
  <c r="I380" i="1"/>
  <c r="H380" i="1"/>
  <c r="R379" i="1"/>
  <c r="J379" i="1"/>
  <c r="O379" i="1" s="1"/>
  <c r="S379" i="1" s="1"/>
  <c r="I379" i="1"/>
  <c r="H379" i="1"/>
  <c r="R378" i="1"/>
  <c r="J378" i="1"/>
  <c r="O378" i="1" s="1"/>
  <c r="S378" i="1" s="1"/>
  <c r="I378" i="1"/>
  <c r="H378" i="1"/>
  <c r="R377" i="1"/>
  <c r="J377" i="1"/>
  <c r="O377" i="1" s="1"/>
  <c r="S377" i="1" s="1"/>
  <c r="I377" i="1"/>
  <c r="H377" i="1"/>
  <c r="R376" i="1"/>
  <c r="J376" i="1"/>
  <c r="O376" i="1" s="1"/>
  <c r="S376" i="1" s="1"/>
  <c r="I376" i="1"/>
  <c r="H376" i="1"/>
  <c r="R375" i="1"/>
  <c r="J375" i="1"/>
  <c r="O375" i="1" s="1"/>
  <c r="S375" i="1" s="1"/>
  <c r="I375" i="1"/>
  <c r="H375" i="1"/>
  <c r="R374" i="1"/>
  <c r="R384" i="1" s="1"/>
  <c r="J374" i="1"/>
  <c r="J384" i="1" s="1"/>
  <c r="I374" i="1"/>
  <c r="I384" i="1" s="1"/>
  <c r="H374" i="1"/>
  <c r="Q368" i="1"/>
  <c r="P368" i="1"/>
  <c r="N368" i="1"/>
  <c r="M368" i="1"/>
  <c r="D368" i="1"/>
  <c r="C368" i="1"/>
  <c r="B368" i="1"/>
  <c r="R367" i="1"/>
  <c r="J367" i="1"/>
  <c r="O367" i="1" s="1"/>
  <c r="S367" i="1" s="1"/>
  <c r="I367" i="1"/>
  <c r="R366" i="1"/>
  <c r="J366" i="1"/>
  <c r="O366" i="1" s="1"/>
  <c r="S366" i="1" s="1"/>
  <c r="I366" i="1"/>
  <c r="R365" i="1"/>
  <c r="J365" i="1"/>
  <c r="O365" i="1" s="1"/>
  <c r="S365" i="1" s="1"/>
  <c r="I365" i="1"/>
  <c r="R364" i="1"/>
  <c r="J364" i="1"/>
  <c r="O364" i="1" s="1"/>
  <c r="S364" i="1" s="1"/>
  <c r="I364" i="1"/>
  <c r="R363" i="1"/>
  <c r="J363" i="1"/>
  <c r="O363" i="1" s="1"/>
  <c r="S363" i="1" s="1"/>
  <c r="I363" i="1"/>
  <c r="R362" i="1"/>
  <c r="J362" i="1"/>
  <c r="O362" i="1" s="1"/>
  <c r="S362" i="1" s="1"/>
  <c r="I362" i="1"/>
  <c r="R361" i="1"/>
  <c r="J361" i="1"/>
  <c r="O361" i="1" s="1"/>
  <c r="S361" i="1" s="1"/>
  <c r="I361" i="1"/>
  <c r="R360" i="1"/>
  <c r="J360" i="1"/>
  <c r="O360" i="1" s="1"/>
  <c r="S360" i="1" s="1"/>
  <c r="I360" i="1"/>
  <c r="R359" i="1"/>
  <c r="J359" i="1"/>
  <c r="O359" i="1" s="1"/>
  <c r="S359" i="1" s="1"/>
  <c r="I359" i="1"/>
  <c r="R358" i="1"/>
  <c r="R368" i="1" s="1"/>
  <c r="J358" i="1"/>
  <c r="I358" i="1"/>
  <c r="Q352" i="1"/>
  <c r="P352" i="1"/>
  <c r="N352" i="1"/>
  <c r="M352" i="1"/>
  <c r="D352" i="1"/>
  <c r="C352" i="1"/>
  <c r="B352" i="1"/>
  <c r="R351" i="1"/>
  <c r="J351" i="1"/>
  <c r="I351" i="1"/>
  <c r="H351" i="1"/>
  <c r="R350" i="1"/>
  <c r="O350" i="1"/>
  <c r="S350" i="1" s="1"/>
  <c r="J350" i="1"/>
  <c r="I350" i="1"/>
  <c r="H350" i="1" s="1"/>
  <c r="R349" i="1"/>
  <c r="O349" i="1"/>
  <c r="S349" i="1" s="1"/>
  <c r="J349" i="1"/>
  <c r="I349" i="1"/>
  <c r="H349" i="1" s="1"/>
  <c r="R348" i="1"/>
  <c r="O348" i="1"/>
  <c r="S348" i="1" s="1"/>
  <c r="J348" i="1"/>
  <c r="I348" i="1"/>
  <c r="H348" i="1" s="1"/>
  <c r="R347" i="1"/>
  <c r="O347" i="1"/>
  <c r="S347" i="1" s="1"/>
  <c r="J347" i="1"/>
  <c r="I347" i="1"/>
  <c r="H347" i="1" s="1"/>
  <c r="R346" i="1"/>
  <c r="O346" i="1"/>
  <c r="S346" i="1" s="1"/>
  <c r="J346" i="1"/>
  <c r="I346" i="1"/>
  <c r="H346" i="1" s="1"/>
  <c r="R345" i="1"/>
  <c r="O345" i="1"/>
  <c r="S345" i="1" s="1"/>
  <c r="J345" i="1"/>
  <c r="I345" i="1"/>
  <c r="H345" i="1" s="1"/>
  <c r="R344" i="1"/>
  <c r="O344" i="1"/>
  <c r="S344" i="1" s="1"/>
  <c r="J344" i="1"/>
  <c r="I344" i="1"/>
  <c r="H344" i="1" s="1"/>
  <c r="R343" i="1"/>
  <c r="O343" i="1"/>
  <c r="S343" i="1" s="1"/>
  <c r="J343" i="1"/>
  <c r="I343" i="1"/>
  <c r="H343" i="1" s="1"/>
  <c r="R342" i="1"/>
  <c r="R352" i="1" s="1"/>
  <c r="O342" i="1"/>
  <c r="J342" i="1"/>
  <c r="I342" i="1"/>
  <c r="H342" i="1" s="1"/>
  <c r="H352" i="1" s="1"/>
  <c r="Q336" i="1"/>
  <c r="Q45" i="1" s="1"/>
  <c r="P336" i="1"/>
  <c r="N336" i="1"/>
  <c r="N45" i="1" s="1"/>
  <c r="M336" i="1"/>
  <c r="D336" i="1"/>
  <c r="C336" i="1"/>
  <c r="B336" i="1"/>
  <c r="R335" i="1"/>
  <c r="J335" i="1"/>
  <c r="O335" i="1" s="1"/>
  <c r="S335" i="1" s="1"/>
  <c r="I335" i="1"/>
  <c r="H335" i="1"/>
  <c r="R336" i="1"/>
  <c r="J336" i="1"/>
  <c r="I336" i="1"/>
  <c r="H336" i="1"/>
  <c r="H45" i="1" s="1"/>
  <c r="Q320" i="1"/>
  <c r="P320" i="1"/>
  <c r="N320" i="1"/>
  <c r="M320" i="1"/>
  <c r="D320" i="1"/>
  <c r="C320" i="1"/>
  <c r="B320" i="1"/>
  <c r="R319" i="1"/>
  <c r="J319" i="1"/>
  <c r="O319" i="1" s="1"/>
  <c r="S319" i="1" s="1"/>
  <c r="I319" i="1"/>
  <c r="R318" i="1"/>
  <c r="J318" i="1"/>
  <c r="O318" i="1" s="1"/>
  <c r="S318" i="1" s="1"/>
  <c r="I318" i="1"/>
  <c r="R317" i="1"/>
  <c r="J317" i="1"/>
  <c r="O317" i="1" s="1"/>
  <c r="S317" i="1" s="1"/>
  <c r="I317" i="1"/>
  <c r="R316" i="1"/>
  <c r="J316" i="1"/>
  <c r="O316" i="1" s="1"/>
  <c r="S316" i="1" s="1"/>
  <c r="I316" i="1"/>
  <c r="R315" i="1"/>
  <c r="J315" i="1"/>
  <c r="O315" i="1" s="1"/>
  <c r="S315" i="1" s="1"/>
  <c r="I315" i="1"/>
  <c r="R314" i="1"/>
  <c r="J314" i="1"/>
  <c r="O314" i="1" s="1"/>
  <c r="S314" i="1" s="1"/>
  <c r="I314" i="1"/>
  <c r="R313" i="1"/>
  <c r="J313" i="1"/>
  <c r="O313" i="1" s="1"/>
  <c r="S313" i="1" s="1"/>
  <c r="I313" i="1"/>
  <c r="R312" i="1"/>
  <c r="J312" i="1"/>
  <c r="O312" i="1" s="1"/>
  <c r="S312" i="1" s="1"/>
  <c r="I312" i="1"/>
  <c r="R311" i="1"/>
  <c r="J311" i="1"/>
  <c r="O311" i="1" s="1"/>
  <c r="S311" i="1" s="1"/>
  <c r="I311" i="1"/>
  <c r="R310" i="1"/>
  <c r="R320" i="1" s="1"/>
  <c r="J310" i="1"/>
  <c r="I310" i="1"/>
  <c r="I320" i="1" s="1"/>
  <c r="Q304" i="1"/>
  <c r="P304" i="1"/>
  <c r="N304" i="1"/>
  <c r="M304" i="1"/>
  <c r="D304" i="1"/>
  <c r="C304" i="1"/>
  <c r="B304" i="1"/>
  <c r="R303" i="1"/>
  <c r="J303" i="1"/>
  <c r="O303" i="1" s="1"/>
  <c r="S303" i="1" s="1"/>
  <c r="I303" i="1"/>
  <c r="H303" i="1"/>
  <c r="R304" i="1"/>
  <c r="R43" i="1" s="1"/>
  <c r="I304" i="1"/>
  <c r="I43" i="1" s="1"/>
  <c r="Q288" i="1"/>
  <c r="P288" i="1"/>
  <c r="N288" i="1"/>
  <c r="M288" i="1"/>
  <c r="D288" i="1"/>
  <c r="C288" i="1"/>
  <c r="B288" i="1"/>
  <c r="R287" i="1"/>
  <c r="J287" i="1"/>
  <c r="O287" i="1" s="1"/>
  <c r="S287" i="1" s="1"/>
  <c r="I287" i="1"/>
  <c r="R286" i="1"/>
  <c r="J286" i="1"/>
  <c r="O286" i="1" s="1"/>
  <c r="S286" i="1" s="1"/>
  <c r="I286" i="1"/>
  <c r="H286" i="1" s="1"/>
  <c r="R285" i="1"/>
  <c r="J285" i="1"/>
  <c r="O285" i="1" s="1"/>
  <c r="S285" i="1" s="1"/>
  <c r="I285" i="1"/>
  <c r="R284" i="1"/>
  <c r="J284" i="1"/>
  <c r="O284" i="1" s="1"/>
  <c r="S284" i="1" s="1"/>
  <c r="I284" i="1"/>
  <c r="H284" i="1" s="1"/>
  <c r="R283" i="1"/>
  <c r="J283" i="1"/>
  <c r="O283" i="1" s="1"/>
  <c r="S283" i="1" s="1"/>
  <c r="I283" i="1"/>
  <c r="R282" i="1"/>
  <c r="J282" i="1"/>
  <c r="O282" i="1" s="1"/>
  <c r="S282" i="1" s="1"/>
  <c r="I282" i="1"/>
  <c r="H282" i="1" s="1"/>
  <c r="R281" i="1"/>
  <c r="J281" i="1"/>
  <c r="O281" i="1" s="1"/>
  <c r="S281" i="1" s="1"/>
  <c r="I281" i="1"/>
  <c r="R280" i="1"/>
  <c r="J280" i="1"/>
  <c r="O280" i="1" s="1"/>
  <c r="S280" i="1" s="1"/>
  <c r="I280" i="1"/>
  <c r="H280" i="1" s="1"/>
  <c r="R279" i="1"/>
  <c r="J279" i="1"/>
  <c r="O279" i="1" s="1"/>
  <c r="S279" i="1" s="1"/>
  <c r="I279" i="1"/>
  <c r="R278" i="1"/>
  <c r="R288" i="1" s="1"/>
  <c r="J278" i="1"/>
  <c r="I278" i="1"/>
  <c r="I288" i="1" s="1"/>
  <c r="Q272" i="1"/>
  <c r="P272" i="1"/>
  <c r="N272" i="1"/>
  <c r="M272" i="1"/>
  <c r="D272" i="1"/>
  <c r="C272" i="1"/>
  <c r="B272" i="1"/>
  <c r="R271" i="1"/>
  <c r="J271" i="1"/>
  <c r="O271" i="1" s="1"/>
  <c r="S271" i="1" s="1"/>
  <c r="I271" i="1"/>
  <c r="R270" i="1"/>
  <c r="J270" i="1"/>
  <c r="O270" i="1" s="1"/>
  <c r="S270" i="1" s="1"/>
  <c r="I270" i="1"/>
  <c r="R269" i="1"/>
  <c r="J269" i="1"/>
  <c r="O269" i="1" s="1"/>
  <c r="S269" i="1" s="1"/>
  <c r="I269" i="1"/>
  <c r="R268" i="1"/>
  <c r="J268" i="1"/>
  <c r="O268" i="1" s="1"/>
  <c r="S268" i="1" s="1"/>
  <c r="I268" i="1"/>
  <c r="R267" i="1"/>
  <c r="J267" i="1"/>
  <c r="O267" i="1" s="1"/>
  <c r="S267" i="1" s="1"/>
  <c r="I267" i="1"/>
  <c r="R266" i="1"/>
  <c r="J266" i="1"/>
  <c r="O266" i="1" s="1"/>
  <c r="S266" i="1" s="1"/>
  <c r="I266" i="1"/>
  <c r="R265" i="1"/>
  <c r="J265" i="1"/>
  <c r="O265" i="1" s="1"/>
  <c r="S265" i="1" s="1"/>
  <c r="I265" i="1"/>
  <c r="R264" i="1"/>
  <c r="J264" i="1"/>
  <c r="O264" i="1" s="1"/>
  <c r="S264" i="1" s="1"/>
  <c r="I264" i="1"/>
  <c r="R263" i="1"/>
  <c r="J263" i="1"/>
  <c r="O263" i="1" s="1"/>
  <c r="S263" i="1" s="1"/>
  <c r="I263" i="1"/>
  <c r="R262" i="1"/>
  <c r="R272" i="1" s="1"/>
  <c r="J262" i="1"/>
  <c r="J272" i="1" s="1"/>
  <c r="I262" i="1"/>
  <c r="I272" i="1" s="1"/>
  <c r="Q256" i="1"/>
  <c r="P256" i="1"/>
  <c r="N256" i="1"/>
  <c r="M256" i="1"/>
  <c r="D256" i="1"/>
  <c r="C256" i="1"/>
  <c r="B256" i="1"/>
  <c r="R255" i="1"/>
  <c r="J255" i="1"/>
  <c r="O255" i="1" s="1"/>
  <c r="S255" i="1" s="1"/>
  <c r="I255" i="1"/>
  <c r="R254" i="1"/>
  <c r="J254" i="1"/>
  <c r="O254" i="1" s="1"/>
  <c r="S254" i="1" s="1"/>
  <c r="I254" i="1"/>
  <c r="H254" i="1" s="1"/>
  <c r="R253" i="1"/>
  <c r="J253" i="1"/>
  <c r="O253" i="1" s="1"/>
  <c r="S253" i="1" s="1"/>
  <c r="I253" i="1"/>
  <c r="R252" i="1"/>
  <c r="J252" i="1"/>
  <c r="O252" i="1" s="1"/>
  <c r="S252" i="1" s="1"/>
  <c r="I252" i="1"/>
  <c r="H252" i="1" s="1"/>
  <c r="R251" i="1"/>
  <c r="J251" i="1"/>
  <c r="O251" i="1" s="1"/>
  <c r="S251" i="1" s="1"/>
  <c r="I251" i="1"/>
  <c r="R250" i="1"/>
  <c r="J250" i="1"/>
  <c r="O250" i="1" s="1"/>
  <c r="S250" i="1" s="1"/>
  <c r="I250" i="1"/>
  <c r="H250" i="1" s="1"/>
  <c r="R249" i="1"/>
  <c r="J249" i="1"/>
  <c r="O249" i="1" s="1"/>
  <c r="S249" i="1" s="1"/>
  <c r="I249" i="1"/>
  <c r="R248" i="1"/>
  <c r="J248" i="1"/>
  <c r="O248" i="1" s="1"/>
  <c r="S248" i="1" s="1"/>
  <c r="I248" i="1"/>
  <c r="H248" i="1" s="1"/>
  <c r="R247" i="1"/>
  <c r="J247" i="1"/>
  <c r="O247" i="1" s="1"/>
  <c r="S247" i="1" s="1"/>
  <c r="I247" i="1"/>
  <c r="R246" i="1"/>
  <c r="R256" i="1" s="1"/>
  <c r="J246" i="1"/>
  <c r="I246" i="1"/>
  <c r="I256" i="1" s="1"/>
  <c r="Q240" i="1"/>
  <c r="P240" i="1"/>
  <c r="N240" i="1"/>
  <c r="M240" i="1"/>
  <c r="D240" i="1"/>
  <c r="C240" i="1"/>
  <c r="B240" i="1"/>
  <c r="R239" i="1"/>
  <c r="J239" i="1"/>
  <c r="O239" i="1" s="1"/>
  <c r="S239" i="1" s="1"/>
  <c r="I239" i="1"/>
  <c r="R238" i="1"/>
  <c r="J238" i="1"/>
  <c r="O238" i="1" s="1"/>
  <c r="S238" i="1" s="1"/>
  <c r="I238" i="1"/>
  <c r="R237" i="1"/>
  <c r="J237" i="1"/>
  <c r="O237" i="1" s="1"/>
  <c r="S237" i="1" s="1"/>
  <c r="I237" i="1"/>
  <c r="R236" i="1"/>
  <c r="J236" i="1"/>
  <c r="O236" i="1" s="1"/>
  <c r="S236" i="1" s="1"/>
  <c r="I236" i="1"/>
  <c r="R235" i="1"/>
  <c r="J235" i="1"/>
  <c r="O235" i="1" s="1"/>
  <c r="S235" i="1" s="1"/>
  <c r="I235" i="1"/>
  <c r="R234" i="1"/>
  <c r="J234" i="1"/>
  <c r="O234" i="1" s="1"/>
  <c r="S234" i="1" s="1"/>
  <c r="I234" i="1"/>
  <c r="R233" i="1"/>
  <c r="J233" i="1"/>
  <c r="O233" i="1" s="1"/>
  <c r="S233" i="1" s="1"/>
  <c r="I233" i="1"/>
  <c r="R232" i="1"/>
  <c r="J232" i="1"/>
  <c r="O232" i="1" s="1"/>
  <c r="S232" i="1" s="1"/>
  <c r="I232" i="1"/>
  <c r="R231" i="1"/>
  <c r="J231" i="1"/>
  <c r="O231" i="1" s="1"/>
  <c r="S231" i="1" s="1"/>
  <c r="I231" i="1"/>
  <c r="R230" i="1"/>
  <c r="R240" i="1" s="1"/>
  <c r="J230" i="1"/>
  <c r="J240" i="1" s="1"/>
  <c r="I230" i="1"/>
  <c r="I240" i="1" s="1"/>
  <c r="Q224" i="1"/>
  <c r="P224" i="1"/>
  <c r="N224" i="1"/>
  <c r="M224" i="1"/>
  <c r="D224" i="1"/>
  <c r="C224" i="1"/>
  <c r="B224" i="1"/>
  <c r="R223" i="1"/>
  <c r="J223" i="1"/>
  <c r="O223" i="1" s="1"/>
  <c r="S223" i="1" s="1"/>
  <c r="I223" i="1"/>
  <c r="R222" i="1"/>
  <c r="J222" i="1"/>
  <c r="O222" i="1" s="1"/>
  <c r="S222" i="1" s="1"/>
  <c r="I222" i="1"/>
  <c r="H222" i="1" s="1"/>
  <c r="R221" i="1"/>
  <c r="J221" i="1"/>
  <c r="O221" i="1" s="1"/>
  <c r="S221" i="1" s="1"/>
  <c r="I221" i="1"/>
  <c r="R220" i="1"/>
  <c r="J220" i="1"/>
  <c r="O220" i="1" s="1"/>
  <c r="S220" i="1" s="1"/>
  <c r="I220" i="1"/>
  <c r="H220" i="1" s="1"/>
  <c r="R219" i="1"/>
  <c r="J219" i="1"/>
  <c r="O219" i="1" s="1"/>
  <c r="S219" i="1" s="1"/>
  <c r="I219" i="1"/>
  <c r="R218" i="1"/>
  <c r="J218" i="1"/>
  <c r="O218" i="1" s="1"/>
  <c r="S218" i="1" s="1"/>
  <c r="I218" i="1"/>
  <c r="H218" i="1" s="1"/>
  <c r="R217" i="1"/>
  <c r="J217" i="1"/>
  <c r="O217" i="1" s="1"/>
  <c r="S217" i="1" s="1"/>
  <c r="I217" i="1"/>
  <c r="R216" i="1"/>
  <c r="J216" i="1"/>
  <c r="O216" i="1" s="1"/>
  <c r="S216" i="1" s="1"/>
  <c r="I216" i="1"/>
  <c r="H216" i="1" s="1"/>
  <c r="R215" i="1"/>
  <c r="J215" i="1"/>
  <c r="O215" i="1" s="1"/>
  <c r="S215" i="1" s="1"/>
  <c r="I215" i="1"/>
  <c r="R214" i="1"/>
  <c r="R224" i="1" s="1"/>
  <c r="J214" i="1"/>
  <c r="I214" i="1"/>
  <c r="I224" i="1" s="1"/>
  <c r="Q208" i="1"/>
  <c r="P208" i="1"/>
  <c r="N208" i="1"/>
  <c r="M208" i="1"/>
  <c r="D208" i="1"/>
  <c r="C208" i="1"/>
  <c r="B208" i="1"/>
  <c r="B37" i="1" s="1"/>
  <c r="R207" i="1"/>
  <c r="J207" i="1"/>
  <c r="O207" i="1" s="1"/>
  <c r="S207" i="1" s="1"/>
  <c r="I207" i="1"/>
  <c r="R206" i="1"/>
  <c r="J206" i="1"/>
  <c r="O206" i="1" s="1"/>
  <c r="S206" i="1" s="1"/>
  <c r="I206" i="1"/>
  <c r="R205" i="1"/>
  <c r="J205" i="1"/>
  <c r="O205" i="1" s="1"/>
  <c r="S205" i="1" s="1"/>
  <c r="I205" i="1"/>
  <c r="R204" i="1"/>
  <c r="J204" i="1"/>
  <c r="O204" i="1" s="1"/>
  <c r="S204" i="1" s="1"/>
  <c r="I204" i="1"/>
  <c r="R203" i="1"/>
  <c r="J203" i="1"/>
  <c r="O203" i="1" s="1"/>
  <c r="S203" i="1" s="1"/>
  <c r="I203" i="1"/>
  <c r="R202" i="1"/>
  <c r="J202" i="1"/>
  <c r="O202" i="1" s="1"/>
  <c r="S202" i="1" s="1"/>
  <c r="I202" i="1"/>
  <c r="R201" i="1"/>
  <c r="J201" i="1"/>
  <c r="O201" i="1" s="1"/>
  <c r="S201" i="1" s="1"/>
  <c r="I201" i="1"/>
  <c r="R200" i="1"/>
  <c r="J200" i="1"/>
  <c r="O200" i="1" s="1"/>
  <c r="S200" i="1" s="1"/>
  <c r="I200" i="1"/>
  <c r="R199" i="1"/>
  <c r="J199" i="1"/>
  <c r="O199" i="1" s="1"/>
  <c r="S199" i="1" s="1"/>
  <c r="I199" i="1"/>
  <c r="R198" i="1"/>
  <c r="R208" i="1" s="1"/>
  <c r="J198" i="1"/>
  <c r="J208" i="1" s="1"/>
  <c r="I198" i="1"/>
  <c r="I208" i="1" s="1"/>
  <c r="Q192" i="1"/>
  <c r="P192" i="1"/>
  <c r="N192" i="1"/>
  <c r="M192" i="1"/>
  <c r="D192" i="1"/>
  <c r="C192" i="1"/>
  <c r="B192" i="1"/>
  <c r="B36" i="1" s="1"/>
  <c r="R191" i="1"/>
  <c r="J191" i="1"/>
  <c r="O191" i="1" s="1"/>
  <c r="S191" i="1" s="1"/>
  <c r="I191" i="1"/>
  <c r="R192" i="1"/>
  <c r="Q176" i="1"/>
  <c r="P176" i="1"/>
  <c r="N176" i="1"/>
  <c r="M176" i="1"/>
  <c r="D176" i="1"/>
  <c r="C176" i="1"/>
  <c r="B176" i="1"/>
  <c r="R175" i="1"/>
  <c r="J175" i="1"/>
  <c r="O175" i="1" s="1"/>
  <c r="S175" i="1" s="1"/>
  <c r="I175" i="1"/>
  <c r="R174" i="1"/>
  <c r="O174" i="1"/>
  <c r="S174" i="1" s="1"/>
  <c r="J174" i="1"/>
  <c r="I174" i="1"/>
  <c r="H174" i="1" s="1"/>
  <c r="R173" i="1"/>
  <c r="O173" i="1"/>
  <c r="S173" i="1" s="1"/>
  <c r="J173" i="1"/>
  <c r="I173" i="1"/>
  <c r="H173" i="1" s="1"/>
  <c r="R172" i="1"/>
  <c r="O172" i="1"/>
  <c r="S172" i="1" s="1"/>
  <c r="J172" i="1"/>
  <c r="I172" i="1"/>
  <c r="H172" i="1" s="1"/>
  <c r="R171" i="1"/>
  <c r="O171" i="1"/>
  <c r="S171" i="1" s="1"/>
  <c r="J171" i="1"/>
  <c r="I171" i="1"/>
  <c r="H171" i="1" s="1"/>
  <c r="R170" i="1"/>
  <c r="O170" i="1"/>
  <c r="S170" i="1" s="1"/>
  <c r="J170" i="1"/>
  <c r="I170" i="1"/>
  <c r="H170" i="1" s="1"/>
  <c r="R169" i="1"/>
  <c r="O169" i="1"/>
  <c r="S169" i="1" s="1"/>
  <c r="J169" i="1"/>
  <c r="I169" i="1"/>
  <c r="H169" i="1" s="1"/>
  <c r="R168" i="1"/>
  <c r="O168" i="1"/>
  <c r="S168" i="1" s="1"/>
  <c r="J168" i="1"/>
  <c r="I168" i="1"/>
  <c r="H168" i="1" s="1"/>
  <c r="R167" i="1"/>
  <c r="O167" i="1"/>
  <c r="S167" i="1" s="1"/>
  <c r="J167" i="1"/>
  <c r="I167" i="1"/>
  <c r="H167" i="1" s="1"/>
  <c r="R166" i="1"/>
  <c r="R176" i="1" s="1"/>
  <c r="O166" i="1"/>
  <c r="J166" i="1"/>
  <c r="J176" i="1" s="1"/>
  <c r="I166" i="1"/>
  <c r="Q160" i="1"/>
  <c r="P160" i="1"/>
  <c r="N160" i="1"/>
  <c r="M160" i="1"/>
  <c r="D160" i="1"/>
  <c r="C160" i="1"/>
  <c r="B160" i="1"/>
  <c r="B34" i="1" s="1"/>
  <c r="R159" i="1"/>
  <c r="J159" i="1"/>
  <c r="I159" i="1"/>
  <c r="R158" i="1"/>
  <c r="R157" i="1"/>
  <c r="O157" i="1"/>
  <c r="S157" i="1" s="1"/>
  <c r="R156" i="1"/>
  <c r="O156" i="1"/>
  <c r="S156" i="1" s="1"/>
  <c r="R155" i="1"/>
  <c r="O155" i="1"/>
  <c r="S155" i="1" s="1"/>
  <c r="R154" i="1"/>
  <c r="O154" i="1"/>
  <c r="S154" i="1" s="1"/>
  <c r="R153" i="1"/>
  <c r="O153" i="1"/>
  <c r="S153" i="1" s="1"/>
  <c r="R152" i="1"/>
  <c r="O152" i="1"/>
  <c r="S152" i="1" s="1"/>
  <c r="R151" i="1"/>
  <c r="O151" i="1"/>
  <c r="S151" i="1" s="1"/>
  <c r="R160" i="1"/>
  <c r="I160" i="1"/>
  <c r="I34" i="1" s="1"/>
  <c r="Q144" i="1"/>
  <c r="P144" i="1"/>
  <c r="N144" i="1"/>
  <c r="M144" i="1"/>
  <c r="D144" i="1"/>
  <c r="D33" i="1" s="1"/>
  <c r="C144" i="1"/>
  <c r="B144" i="1"/>
  <c r="B33" i="1" s="1"/>
  <c r="R143" i="1"/>
  <c r="J143" i="1"/>
  <c r="O143" i="1" s="1"/>
  <c r="S143" i="1" s="1"/>
  <c r="I143" i="1"/>
  <c r="H143" i="1"/>
  <c r="R142" i="1"/>
  <c r="J142" i="1"/>
  <c r="O142" i="1" s="1"/>
  <c r="S142" i="1" s="1"/>
  <c r="I142" i="1"/>
  <c r="H142" i="1"/>
  <c r="R141" i="1"/>
  <c r="J141" i="1"/>
  <c r="O141" i="1" s="1"/>
  <c r="S141" i="1" s="1"/>
  <c r="I141" i="1"/>
  <c r="H141" i="1"/>
  <c r="R140" i="1"/>
  <c r="J140" i="1"/>
  <c r="O140" i="1" s="1"/>
  <c r="S140" i="1" s="1"/>
  <c r="I140" i="1"/>
  <c r="H140" i="1"/>
  <c r="R139" i="1"/>
  <c r="J139" i="1"/>
  <c r="O139" i="1" s="1"/>
  <c r="S139" i="1" s="1"/>
  <c r="I139" i="1"/>
  <c r="H139" i="1"/>
  <c r="R138" i="1"/>
  <c r="J138" i="1"/>
  <c r="O138" i="1" s="1"/>
  <c r="S138" i="1" s="1"/>
  <c r="I138" i="1"/>
  <c r="H138" i="1"/>
  <c r="R137" i="1"/>
  <c r="J137" i="1"/>
  <c r="O137" i="1" s="1"/>
  <c r="S137" i="1" s="1"/>
  <c r="I137" i="1"/>
  <c r="H137" i="1"/>
  <c r="R136" i="1"/>
  <c r="J136" i="1"/>
  <c r="O136" i="1" s="1"/>
  <c r="S136" i="1" s="1"/>
  <c r="I136" i="1"/>
  <c r="H136" i="1"/>
  <c r="R135" i="1"/>
  <c r="J135" i="1"/>
  <c r="O135" i="1" s="1"/>
  <c r="S135" i="1" s="1"/>
  <c r="I135" i="1"/>
  <c r="H135" i="1"/>
  <c r="R134" i="1"/>
  <c r="R144" i="1" s="1"/>
  <c r="R33" i="1" s="1"/>
  <c r="J134" i="1"/>
  <c r="J144" i="1" s="1"/>
  <c r="I134" i="1"/>
  <c r="I144" i="1" s="1"/>
  <c r="I33" i="1" s="1"/>
  <c r="H134" i="1"/>
  <c r="H144" i="1" s="1"/>
  <c r="H33" i="1" s="1"/>
  <c r="D128" i="1"/>
  <c r="C128" i="1"/>
  <c r="J128" i="1"/>
  <c r="Q92" i="1"/>
  <c r="P92" i="1"/>
  <c r="N92" i="1"/>
  <c r="M92" i="1"/>
  <c r="D92" i="1"/>
  <c r="C92" i="1"/>
  <c r="B92" i="1"/>
  <c r="B31" i="1" s="1"/>
  <c r="R91" i="1"/>
  <c r="R92" i="1" s="1"/>
  <c r="R31" i="1" s="1"/>
  <c r="J91" i="1"/>
  <c r="O91" i="1" s="1"/>
  <c r="S91" i="1" s="1"/>
  <c r="I91" i="1"/>
  <c r="I92" i="1" s="1"/>
  <c r="I31" i="1" s="1"/>
  <c r="Q73" i="1"/>
  <c r="P73" i="1"/>
  <c r="N73" i="1"/>
  <c r="M73" i="1"/>
  <c r="D73" i="1"/>
  <c r="C73" i="1"/>
  <c r="B73" i="1"/>
  <c r="R72" i="1"/>
  <c r="R73" i="1" s="1"/>
  <c r="R30" i="1" s="1"/>
  <c r="J72" i="1"/>
  <c r="O72" i="1" s="1"/>
  <c r="S72" i="1" s="1"/>
  <c r="I72" i="1"/>
  <c r="J73" i="1"/>
  <c r="F57" i="1"/>
  <c r="E57" i="1"/>
  <c r="R53" i="1"/>
  <c r="Q53" i="1"/>
  <c r="P53" i="1"/>
  <c r="N53" i="1"/>
  <c r="M53" i="1"/>
  <c r="J53" i="1"/>
  <c r="I53" i="1"/>
  <c r="H53" i="1"/>
  <c r="D53" i="1"/>
  <c r="C53" i="1"/>
  <c r="B53" i="1"/>
  <c r="R52" i="1"/>
  <c r="Q52" i="1"/>
  <c r="P52" i="1"/>
  <c r="N52" i="1"/>
  <c r="M52" i="1"/>
  <c r="J52" i="1"/>
  <c r="I52" i="1"/>
  <c r="D52" i="1"/>
  <c r="C52" i="1"/>
  <c r="B52" i="1"/>
  <c r="R51" i="1"/>
  <c r="Q51" i="1"/>
  <c r="P51" i="1"/>
  <c r="N51" i="1"/>
  <c r="M51" i="1"/>
  <c r="I51" i="1"/>
  <c r="D51" i="1"/>
  <c r="C51" i="1"/>
  <c r="B51" i="1"/>
  <c r="R50" i="1"/>
  <c r="Q50" i="1"/>
  <c r="P50" i="1"/>
  <c r="N50" i="1"/>
  <c r="M50" i="1"/>
  <c r="J50" i="1"/>
  <c r="I50" i="1"/>
  <c r="D50" i="1"/>
  <c r="C50" i="1"/>
  <c r="B50" i="1"/>
  <c r="R49" i="1"/>
  <c r="Q49" i="1"/>
  <c r="P49" i="1"/>
  <c r="N49" i="1"/>
  <c r="M49" i="1"/>
  <c r="I49" i="1"/>
  <c r="D49" i="1"/>
  <c r="C49" i="1"/>
  <c r="B49" i="1"/>
  <c r="R48" i="1"/>
  <c r="Q48" i="1"/>
  <c r="P48" i="1"/>
  <c r="N48" i="1"/>
  <c r="M48" i="1"/>
  <c r="J48" i="1"/>
  <c r="I48" i="1"/>
  <c r="D48" i="1"/>
  <c r="C48" i="1"/>
  <c r="B48" i="1"/>
  <c r="R47" i="1"/>
  <c r="Q47" i="1"/>
  <c r="P47" i="1"/>
  <c r="N47" i="1"/>
  <c r="M47" i="1"/>
  <c r="D47" i="1"/>
  <c r="C47" i="1"/>
  <c r="B47" i="1"/>
  <c r="R46" i="1"/>
  <c r="Q46" i="1"/>
  <c r="P46" i="1"/>
  <c r="N46" i="1"/>
  <c r="M46" i="1"/>
  <c r="H46" i="1"/>
  <c r="D46" i="1"/>
  <c r="C46" i="1"/>
  <c r="B46" i="1"/>
  <c r="R45" i="1"/>
  <c r="P45" i="1"/>
  <c r="M45" i="1"/>
  <c r="I45" i="1"/>
  <c r="D45" i="1"/>
  <c r="C45" i="1"/>
  <c r="B45" i="1"/>
  <c r="R44" i="1"/>
  <c r="Q44" i="1"/>
  <c r="P44" i="1"/>
  <c r="N44" i="1"/>
  <c r="M44" i="1"/>
  <c r="I44" i="1"/>
  <c r="D44" i="1"/>
  <c r="C44" i="1"/>
  <c r="B44" i="1"/>
  <c r="Q43" i="1"/>
  <c r="P43" i="1"/>
  <c r="N43" i="1"/>
  <c r="M43" i="1"/>
  <c r="D43" i="1"/>
  <c r="C43" i="1"/>
  <c r="B43" i="1"/>
  <c r="R42" i="1"/>
  <c r="Q42" i="1"/>
  <c r="P42" i="1"/>
  <c r="N42" i="1"/>
  <c r="M42" i="1"/>
  <c r="I42" i="1"/>
  <c r="D42" i="1"/>
  <c r="C42" i="1"/>
  <c r="B42" i="1"/>
  <c r="R41" i="1"/>
  <c r="Q41" i="1"/>
  <c r="P41" i="1"/>
  <c r="N41" i="1"/>
  <c r="M41" i="1"/>
  <c r="J41" i="1"/>
  <c r="I41" i="1"/>
  <c r="D41" i="1"/>
  <c r="C41" i="1"/>
  <c r="B41" i="1"/>
  <c r="R40" i="1"/>
  <c r="Q40" i="1"/>
  <c r="P40" i="1"/>
  <c r="N40" i="1"/>
  <c r="M40" i="1"/>
  <c r="I40" i="1"/>
  <c r="D40" i="1"/>
  <c r="C40" i="1"/>
  <c r="B40" i="1"/>
  <c r="R39" i="1"/>
  <c r="Q39" i="1"/>
  <c r="P39" i="1"/>
  <c r="N39" i="1"/>
  <c r="M39" i="1"/>
  <c r="J39" i="1"/>
  <c r="I39" i="1"/>
  <c r="D39" i="1"/>
  <c r="C39" i="1"/>
  <c r="B39" i="1"/>
  <c r="R38" i="1"/>
  <c r="Q38" i="1"/>
  <c r="P38" i="1"/>
  <c r="N38" i="1"/>
  <c r="M38" i="1"/>
  <c r="I38" i="1"/>
  <c r="D38" i="1"/>
  <c r="C38" i="1"/>
  <c r="B38" i="1"/>
  <c r="R37" i="1"/>
  <c r="Q37" i="1"/>
  <c r="P37" i="1"/>
  <c r="N37" i="1"/>
  <c r="M37" i="1"/>
  <c r="J37" i="1"/>
  <c r="I37" i="1"/>
  <c r="D37" i="1"/>
  <c r="C37" i="1"/>
  <c r="R36" i="1"/>
  <c r="Q36" i="1"/>
  <c r="P36" i="1"/>
  <c r="N36" i="1"/>
  <c r="M36" i="1"/>
  <c r="D36" i="1"/>
  <c r="C36" i="1"/>
  <c r="R35" i="1"/>
  <c r="Q35" i="1"/>
  <c r="P35" i="1"/>
  <c r="N35" i="1"/>
  <c r="M35" i="1"/>
  <c r="J35" i="1"/>
  <c r="D35" i="1"/>
  <c r="C35" i="1"/>
  <c r="B35" i="1"/>
  <c r="R34" i="1"/>
  <c r="Q34" i="1"/>
  <c r="P34" i="1"/>
  <c r="N34" i="1"/>
  <c r="M34" i="1"/>
  <c r="D34" i="1"/>
  <c r="C34" i="1"/>
  <c r="Q33" i="1"/>
  <c r="P33" i="1"/>
  <c r="N33" i="1"/>
  <c r="M33" i="1"/>
  <c r="C33" i="1"/>
  <c r="Q32" i="1"/>
  <c r="P32" i="1"/>
  <c r="N32" i="1"/>
  <c r="M32" i="1"/>
  <c r="D32" i="1"/>
  <c r="C32" i="1"/>
  <c r="B32" i="1"/>
  <c r="Q31" i="1"/>
  <c r="P31" i="1"/>
  <c r="N31" i="1"/>
  <c r="M31" i="1"/>
  <c r="D31" i="1"/>
  <c r="C31" i="1"/>
  <c r="Q30" i="1"/>
  <c r="P30" i="1"/>
  <c r="N30" i="1"/>
  <c r="M30" i="1"/>
  <c r="D30" i="1"/>
  <c r="C30" i="1"/>
  <c r="B30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C29" i="1"/>
  <c r="B29" i="1"/>
  <c r="D23" i="1"/>
  <c r="D29" i="1" s="1"/>
  <c r="C23" i="1"/>
  <c r="R22" i="1"/>
  <c r="J22" i="1"/>
  <c r="O22" i="1" s="1"/>
  <c r="S22" i="1" s="1"/>
  <c r="I22" i="1"/>
  <c r="R21" i="1"/>
  <c r="J21" i="1"/>
  <c r="O21" i="1" s="1"/>
  <c r="S21" i="1" s="1"/>
  <c r="I21" i="1"/>
  <c r="R20" i="1"/>
  <c r="J20" i="1"/>
  <c r="O20" i="1" s="1"/>
  <c r="S20" i="1" s="1"/>
  <c r="I20" i="1"/>
  <c r="R19" i="1"/>
  <c r="J19" i="1"/>
  <c r="O19" i="1" s="1"/>
  <c r="S19" i="1" s="1"/>
  <c r="I19" i="1"/>
  <c r="R18" i="1"/>
  <c r="J18" i="1"/>
  <c r="O18" i="1" s="1"/>
  <c r="S18" i="1" s="1"/>
  <c r="I18" i="1"/>
  <c r="R17" i="1"/>
  <c r="J17" i="1"/>
  <c r="O17" i="1" s="1"/>
  <c r="S17" i="1" s="1"/>
  <c r="I17" i="1"/>
  <c r="R16" i="1"/>
  <c r="J16" i="1"/>
  <c r="O16" i="1" s="1"/>
  <c r="S16" i="1" s="1"/>
  <c r="I16" i="1"/>
  <c r="R15" i="1"/>
  <c r="J15" i="1"/>
  <c r="O15" i="1" s="1"/>
  <c r="S15" i="1" s="1"/>
  <c r="I15" i="1"/>
  <c r="R14" i="1"/>
  <c r="J14" i="1"/>
  <c r="O14" i="1" s="1"/>
  <c r="S14" i="1" s="1"/>
  <c r="I14" i="1"/>
  <c r="R13" i="1"/>
  <c r="J13" i="1"/>
  <c r="O13" i="1" s="1"/>
  <c r="S13" i="1" s="1"/>
  <c r="I13" i="1"/>
  <c r="J45" i="1" l="1"/>
  <c r="F333" i="1"/>
  <c r="F331" i="1"/>
  <c r="F329" i="1"/>
  <c r="F334" i="1"/>
  <c r="F332" i="1"/>
  <c r="F330" i="1"/>
  <c r="F328" i="1"/>
  <c r="F326" i="1"/>
  <c r="F327" i="1"/>
  <c r="P57" i="1"/>
  <c r="I192" i="1"/>
  <c r="I36" i="1" s="1"/>
  <c r="J160" i="1"/>
  <c r="H159" i="1"/>
  <c r="J368" i="1"/>
  <c r="J47" i="1" s="1"/>
  <c r="H384" i="1"/>
  <c r="H48" i="1" s="1"/>
  <c r="J400" i="1"/>
  <c r="J49" i="1" s="1"/>
  <c r="H406" i="1"/>
  <c r="H416" i="1" s="1"/>
  <c r="H50" i="1" s="1"/>
  <c r="H423" i="1"/>
  <c r="H425" i="1"/>
  <c r="H427" i="1"/>
  <c r="H429" i="1"/>
  <c r="H431" i="1"/>
  <c r="O438" i="1"/>
  <c r="S438" i="1" s="1"/>
  <c r="S448" i="1" s="1"/>
  <c r="S52" i="1" s="1"/>
  <c r="H439" i="1"/>
  <c r="H440" i="1"/>
  <c r="H441" i="1"/>
  <c r="H442" i="1"/>
  <c r="H443" i="1"/>
  <c r="H444" i="1"/>
  <c r="H445" i="1"/>
  <c r="H446" i="1"/>
  <c r="H447" i="1"/>
  <c r="H175" i="1"/>
  <c r="J192" i="1"/>
  <c r="H191" i="1"/>
  <c r="O198" i="1"/>
  <c r="S198" i="1" s="1"/>
  <c r="S208" i="1" s="1"/>
  <c r="S37" i="1" s="1"/>
  <c r="H199" i="1"/>
  <c r="H200" i="1"/>
  <c r="H201" i="1"/>
  <c r="H202" i="1"/>
  <c r="H203" i="1"/>
  <c r="H204" i="1"/>
  <c r="H205" i="1"/>
  <c r="H206" i="1"/>
  <c r="H207" i="1"/>
  <c r="J224" i="1"/>
  <c r="J38" i="1" s="1"/>
  <c r="H215" i="1"/>
  <c r="H217" i="1"/>
  <c r="H219" i="1"/>
  <c r="H221" i="1"/>
  <c r="H223" i="1"/>
  <c r="O230" i="1"/>
  <c r="S230" i="1" s="1"/>
  <c r="S240" i="1" s="1"/>
  <c r="S39" i="1" s="1"/>
  <c r="H231" i="1"/>
  <c r="H232" i="1"/>
  <c r="H233" i="1"/>
  <c r="H234" i="1"/>
  <c r="H235" i="1"/>
  <c r="H236" i="1"/>
  <c r="H237" i="1"/>
  <c r="H238" i="1"/>
  <c r="H239" i="1"/>
  <c r="J256" i="1"/>
  <c r="J40" i="1" s="1"/>
  <c r="H247" i="1"/>
  <c r="H249" i="1"/>
  <c r="H251" i="1"/>
  <c r="H253" i="1"/>
  <c r="H255" i="1"/>
  <c r="O262" i="1"/>
  <c r="S262" i="1" s="1"/>
  <c r="S272" i="1" s="1"/>
  <c r="S41" i="1" s="1"/>
  <c r="H263" i="1"/>
  <c r="H264" i="1"/>
  <c r="H265" i="1"/>
  <c r="H266" i="1"/>
  <c r="H267" i="1"/>
  <c r="H268" i="1"/>
  <c r="H269" i="1"/>
  <c r="H270" i="1"/>
  <c r="H271" i="1"/>
  <c r="J288" i="1"/>
  <c r="J42" i="1" s="1"/>
  <c r="H279" i="1"/>
  <c r="H281" i="1"/>
  <c r="H283" i="1"/>
  <c r="H285" i="1"/>
  <c r="H287" i="1"/>
  <c r="H304" i="1"/>
  <c r="H43" i="1" s="1"/>
  <c r="J320" i="1"/>
  <c r="J44" i="1" s="1"/>
  <c r="F98" i="1"/>
  <c r="F100" i="1"/>
  <c r="F102" i="1"/>
  <c r="F104" i="1"/>
  <c r="F106" i="1"/>
  <c r="F108" i="1"/>
  <c r="F110" i="1"/>
  <c r="F112" i="1"/>
  <c r="F114" i="1"/>
  <c r="F116" i="1"/>
  <c r="F118" i="1"/>
  <c r="F120" i="1"/>
  <c r="F122" i="1"/>
  <c r="F124" i="1"/>
  <c r="F126" i="1"/>
  <c r="F99" i="1"/>
  <c r="F101" i="1"/>
  <c r="F103" i="1"/>
  <c r="F105" i="1"/>
  <c r="F107" i="1"/>
  <c r="F109" i="1"/>
  <c r="F111" i="1"/>
  <c r="F113" i="1"/>
  <c r="F115" i="1"/>
  <c r="F117" i="1"/>
  <c r="F119" i="1"/>
  <c r="F121" i="1"/>
  <c r="F123" i="1"/>
  <c r="F125" i="1"/>
  <c r="F127" i="1"/>
  <c r="H72" i="1"/>
  <c r="H73" i="1" s="1"/>
  <c r="H30" i="1" s="1"/>
  <c r="H22" i="1"/>
  <c r="M57" i="1"/>
  <c r="J92" i="1"/>
  <c r="F81" i="1" s="1"/>
  <c r="H91" i="1"/>
  <c r="H92" i="1" s="1"/>
  <c r="H31" i="1" s="1"/>
  <c r="H128" i="1"/>
  <c r="H32" i="1" s="1"/>
  <c r="H160" i="1"/>
  <c r="H34" i="1" s="1"/>
  <c r="H192" i="1"/>
  <c r="H36" i="1" s="1"/>
  <c r="H214" i="1"/>
  <c r="H224" i="1" s="1"/>
  <c r="H38" i="1" s="1"/>
  <c r="H246" i="1"/>
  <c r="H256" i="1" s="1"/>
  <c r="H40" i="1" s="1"/>
  <c r="H278" i="1"/>
  <c r="H288" i="1" s="1"/>
  <c r="H42" i="1" s="1"/>
  <c r="O310" i="1"/>
  <c r="O320" i="1" s="1"/>
  <c r="O44" i="1" s="1"/>
  <c r="H311" i="1"/>
  <c r="H312" i="1"/>
  <c r="I128" i="1"/>
  <c r="I32" i="1" s="1"/>
  <c r="R128" i="1"/>
  <c r="R32" i="1" s="1"/>
  <c r="R57" i="1" s="1"/>
  <c r="H313" i="1"/>
  <c r="H314" i="1"/>
  <c r="H315" i="1"/>
  <c r="H316" i="1"/>
  <c r="H317" i="1"/>
  <c r="H318" i="1"/>
  <c r="H319" i="1"/>
  <c r="J352" i="1"/>
  <c r="O358" i="1"/>
  <c r="H359" i="1"/>
  <c r="H360" i="1"/>
  <c r="H361" i="1"/>
  <c r="H362" i="1"/>
  <c r="H363" i="1"/>
  <c r="H364" i="1"/>
  <c r="H365" i="1"/>
  <c r="H366" i="1"/>
  <c r="H367" i="1"/>
  <c r="O390" i="1"/>
  <c r="S390" i="1" s="1"/>
  <c r="S400" i="1" s="1"/>
  <c r="S49" i="1" s="1"/>
  <c r="H391" i="1"/>
  <c r="H392" i="1"/>
  <c r="H393" i="1"/>
  <c r="H394" i="1"/>
  <c r="H395" i="1"/>
  <c r="H396" i="1"/>
  <c r="H397" i="1"/>
  <c r="H398" i="1"/>
  <c r="H399" i="1"/>
  <c r="H422" i="1"/>
  <c r="H432" i="1" s="1"/>
  <c r="H51" i="1" s="1"/>
  <c r="F454" i="1"/>
  <c r="F464" i="1" s="1"/>
  <c r="O470" i="1"/>
  <c r="O480" i="1" s="1"/>
  <c r="H471" i="1"/>
  <c r="H472" i="1"/>
  <c r="H473" i="1"/>
  <c r="H474" i="1"/>
  <c r="H475" i="1"/>
  <c r="H476" i="1"/>
  <c r="H477" i="1"/>
  <c r="H478" i="1"/>
  <c r="H479" i="1"/>
  <c r="H13" i="1"/>
  <c r="H14" i="1"/>
  <c r="H15" i="1"/>
  <c r="H16" i="1"/>
  <c r="H17" i="1"/>
  <c r="H18" i="1"/>
  <c r="H19" i="1"/>
  <c r="H20" i="1"/>
  <c r="H21" i="1"/>
  <c r="F83" i="1"/>
  <c r="F89" i="1"/>
  <c r="F88" i="1"/>
  <c r="F80" i="1"/>
  <c r="F87" i="1"/>
  <c r="F86" i="1"/>
  <c r="N57" i="1"/>
  <c r="I73" i="1"/>
  <c r="I30" i="1" s="1"/>
  <c r="D57" i="1"/>
  <c r="F71" i="1"/>
  <c r="F69" i="1"/>
  <c r="F63" i="1"/>
  <c r="F68" i="1"/>
  <c r="F64" i="1"/>
  <c r="F67" i="1"/>
  <c r="F65" i="1"/>
  <c r="F70" i="1"/>
  <c r="F66" i="1"/>
  <c r="B57" i="1"/>
  <c r="Q57" i="1"/>
  <c r="J31" i="1"/>
  <c r="J33" i="1"/>
  <c r="F143" i="1"/>
  <c r="F142" i="1"/>
  <c r="F141" i="1"/>
  <c r="F140" i="1"/>
  <c r="F139" i="1"/>
  <c r="F138" i="1"/>
  <c r="F137" i="1"/>
  <c r="F136" i="1"/>
  <c r="F135" i="1"/>
  <c r="F134" i="1"/>
  <c r="F144" i="1" s="1"/>
  <c r="F72" i="1"/>
  <c r="J30" i="1"/>
  <c r="F22" i="1"/>
  <c r="F21" i="1"/>
  <c r="F20" i="1"/>
  <c r="F19" i="1"/>
  <c r="F18" i="1"/>
  <c r="F17" i="1"/>
  <c r="F16" i="1"/>
  <c r="F15" i="1"/>
  <c r="F14" i="1"/>
  <c r="F13" i="1"/>
  <c r="F128" i="1"/>
  <c r="J32" i="1"/>
  <c r="O128" i="1"/>
  <c r="O158" i="1"/>
  <c r="S158" i="1" s="1"/>
  <c r="O159" i="1"/>
  <c r="S159" i="1" s="1"/>
  <c r="I176" i="1"/>
  <c r="I35" i="1" s="1"/>
  <c r="H166" i="1"/>
  <c r="H176" i="1" s="1"/>
  <c r="H35" i="1" s="1"/>
  <c r="F191" i="1"/>
  <c r="F207" i="1"/>
  <c r="F206" i="1"/>
  <c r="F205" i="1"/>
  <c r="F204" i="1"/>
  <c r="F203" i="1"/>
  <c r="F202" i="1"/>
  <c r="F201" i="1"/>
  <c r="F200" i="1"/>
  <c r="F199" i="1"/>
  <c r="F198" i="1"/>
  <c r="F208" i="1" s="1"/>
  <c r="F223" i="1"/>
  <c r="F222" i="1"/>
  <c r="F221" i="1"/>
  <c r="F220" i="1"/>
  <c r="F219" i="1"/>
  <c r="F218" i="1"/>
  <c r="F217" i="1"/>
  <c r="F216" i="1"/>
  <c r="F215" i="1"/>
  <c r="F214" i="1"/>
  <c r="F224" i="1" s="1"/>
  <c r="F239" i="1"/>
  <c r="F238" i="1"/>
  <c r="F237" i="1"/>
  <c r="F236" i="1"/>
  <c r="F235" i="1"/>
  <c r="F234" i="1"/>
  <c r="F233" i="1"/>
  <c r="F232" i="1"/>
  <c r="F231" i="1"/>
  <c r="F230" i="1"/>
  <c r="F240" i="1" s="1"/>
  <c r="F255" i="1"/>
  <c r="F254" i="1"/>
  <c r="F253" i="1"/>
  <c r="F252" i="1"/>
  <c r="F251" i="1"/>
  <c r="F250" i="1"/>
  <c r="F249" i="1"/>
  <c r="F248" i="1"/>
  <c r="F247" i="1"/>
  <c r="F246" i="1"/>
  <c r="F256" i="1" s="1"/>
  <c r="F271" i="1"/>
  <c r="F270" i="1"/>
  <c r="F269" i="1"/>
  <c r="F268" i="1"/>
  <c r="F267" i="1"/>
  <c r="F266" i="1"/>
  <c r="F265" i="1"/>
  <c r="F264" i="1"/>
  <c r="F263" i="1"/>
  <c r="F262" i="1"/>
  <c r="F272" i="1" s="1"/>
  <c r="F287" i="1"/>
  <c r="F286" i="1"/>
  <c r="F285" i="1"/>
  <c r="F284" i="1"/>
  <c r="F283" i="1"/>
  <c r="F282" i="1"/>
  <c r="F281" i="1"/>
  <c r="F280" i="1"/>
  <c r="F279" i="1"/>
  <c r="F278" i="1"/>
  <c r="F288" i="1" s="1"/>
  <c r="O134" i="1"/>
  <c r="F175" i="1"/>
  <c r="F174" i="1"/>
  <c r="F173" i="1"/>
  <c r="F172" i="1"/>
  <c r="F171" i="1"/>
  <c r="F170" i="1"/>
  <c r="F169" i="1"/>
  <c r="F168" i="1"/>
  <c r="F167" i="1"/>
  <c r="F166" i="1"/>
  <c r="F176" i="1" s="1"/>
  <c r="O176" i="1"/>
  <c r="O35" i="1" s="1"/>
  <c r="S166" i="1"/>
  <c r="S176" i="1" s="1"/>
  <c r="S35" i="1" s="1"/>
  <c r="H198" i="1"/>
  <c r="H208" i="1" s="1"/>
  <c r="H37" i="1" s="1"/>
  <c r="O208" i="1"/>
  <c r="O37" i="1" s="1"/>
  <c r="O214" i="1"/>
  <c r="H230" i="1"/>
  <c r="H240" i="1" s="1"/>
  <c r="H39" i="1" s="1"/>
  <c r="O240" i="1"/>
  <c r="O39" i="1" s="1"/>
  <c r="O246" i="1"/>
  <c r="H262" i="1"/>
  <c r="H272" i="1" s="1"/>
  <c r="H41" i="1" s="1"/>
  <c r="O272" i="1"/>
  <c r="O41" i="1" s="1"/>
  <c r="O278" i="1"/>
  <c r="J304" i="1"/>
  <c r="F319" i="1"/>
  <c r="F318" i="1"/>
  <c r="F317" i="1"/>
  <c r="F316" i="1"/>
  <c r="F315" i="1"/>
  <c r="F314" i="1"/>
  <c r="F313" i="1"/>
  <c r="F312" i="1"/>
  <c r="F311" i="1"/>
  <c r="F310" i="1"/>
  <c r="F320" i="1" s="1"/>
  <c r="F335" i="1"/>
  <c r="F336" i="1"/>
  <c r="S310" i="1"/>
  <c r="S320" i="1" s="1"/>
  <c r="S44" i="1" s="1"/>
  <c r="S342" i="1"/>
  <c r="F351" i="1"/>
  <c r="I352" i="1"/>
  <c r="I46" i="1" s="1"/>
  <c r="F367" i="1"/>
  <c r="F366" i="1"/>
  <c r="F365" i="1"/>
  <c r="F364" i="1"/>
  <c r="F363" i="1"/>
  <c r="F362" i="1"/>
  <c r="F361" i="1"/>
  <c r="F360" i="1"/>
  <c r="F359" i="1"/>
  <c r="F358" i="1"/>
  <c r="F368" i="1" s="1"/>
  <c r="O368" i="1"/>
  <c r="O47" i="1" s="1"/>
  <c r="S358" i="1"/>
  <c r="S368" i="1" s="1"/>
  <c r="S47" i="1" s="1"/>
  <c r="H310" i="1"/>
  <c r="H320" i="1" s="1"/>
  <c r="H44" i="1" s="1"/>
  <c r="F343" i="1"/>
  <c r="F344" i="1"/>
  <c r="F345" i="1"/>
  <c r="F346" i="1"/>
  <c r="F347" i="1"/>
  <c r="F348" i="1"/>
  <c r="F349" i="1"/>
  <c r="O351" i="1"/>
  <c r="S351" i="1" s="1"/>
  <c r="I368" i="1"/>
  <c r="I47" i="1" s="1"/>
  <c r="H358" i="1"/>
  <c r="H368" i="1" s="1"/>
  <c r="H47" i="1" s="1"/>
  <c r="F383" i="1"/>
  <c r="F382" i="1"/>
  <c r="F381" i="1"/>
  <c r="F380" i="1"/>
  <c r="F379" i="1"/>
  <c r="F378" i="1"/>
  <c r="F377" i="1"/>
  <c r="F376" i="1"/>
  <c r="F375" i="1"/>
  <c r="F374" i="1"/>
  <c r="F384" i="1" s="1"/>
  <c r="F399" i="1"/>
  <c r="F398" i="1"/>
  <c r="F397" i="1"/>
  <c r="F396" i="1"/>
  <c r="F395" i="1"/>
  <c r="F394" i="1"/>
  <c r="F393" i="1"/>
  <c r="F392" i="1"/>
  <c r="F391" i="1"/>
  <c r="F390" i="1"/>
  <c r="F400" i="1" s="1"/>
  <c r="F415" i="1"/>
  <c r="F414" i="1"/>
  <c r="F413" i="1"/>
  <c r="F412" i="1"/>
  <c r="F411" i="1"/>
  <c r="F410" i="1"/>
  <c r="F409" i="1"/>
  <c r="F408" i="1"/>
  <c r="F407" i="1"/>
  <c r="F406" i="1"/>
  <c r="F416" i="1" s="1"/>
  <c r="O374" i="1"/>
  <c r="H390" i="1"/>
  <c r="H400" i="1" s="1"/>
  <c r="H49" i="1" s="1"/>
  <c r="O400" i="1"/>
  <c r="O49" i="1" s="1"/>
  <c r="O406" i="1"/>
  <c r="J432" i="1"/>
  <c r="O422" i="1"/>
  <c r="O423" i="1"/>
  <c r="S423" i="1" s="1"/>
  <c r="O424" i="1"/>
  <c r="S424" i="1" s="1"/>
  <c r="O425" i="1"/>
  <c r="S425" i="1" s="1"/>
  <c r="O426" i="1"/>
  <c r="S426" i="1" s="1"/>
  <c r="O427" i="1"/>
  <c r="S427" i="1" s="1"/>
  <c r="F447" i="1"/>
  <c r="F446" i="1"/>
  <c r="F445" i="1"/>
  <c r="F444" i="1"/>
  <c r="F443" i="1"/>
  <c r="F442" i="1"/>
  <c r="F441" i="1"/>
  <c r="F440" i="1"/>
  <c r="F439" i="1"/>
  <c r="F438" i="1"/>
  <c r="F448" i="1" s="1"/>
  <c r="H438" i="1"/>
  <c r="H448" i="1" s="1"/>
  <c r="H52" i="1" s="1"/>
  <c r="O448" i="1"/>
  <c r="O52" i="1" s="1"/>
  <c r="O454" i="1"/>
  <c r="I480" i="1"/>
  <c r="H470" i="1"/>
  <c r="H480" i="1" s="1"/>
  <c r="F455" i="1"/>
  <c r="F456" i="1"/>
  <c r="F457" i="1"/>
  <c r="F458" i="1"/>
  <c r="F459" i="1"/>
  <c r="F460" i="1"/>
  <c r="F461" i="1"/>
  <c r="F462" i="1"/>
  <c r="F479" i="1"/>
  <c r="F478" i="1"/>
  <c r="F477" i="1"/>
  <c r="F476" i="1"/>
  <c r="F475" i="1"/>
  <c r="F474" i="1"/>
  <c r="F473" i="1"/>
  <c r="F472" i="1"/>
  <c r="F471" i="1"/>
  <c r="F470" i="1"/>
  <c r="F480" i="1" s="1"/>
  <c r="S470" i="1"/>
  <c r="S480" i="1" s="1"/>
  <c r="F495" i="1"/>
  <c r="F494" i="1"/>
  <c r="F493" i="1"/>
  <c r="F492" i="1"/>
  <c r="F491" i="1"/>
  <c r="F490" i="1"/>
  <c r="F489" i="1"/>
  <c r="F488" i="1"/>
  <c r="F487" i="1"/>
  <c r="F486" i="1"/>
  <c r="F496" i="1" s="1"/>
  <c r="O486" i="1"/>
  <c r="F300" i="1" l="1"/>
  <c r="F302" i="1"/>
  <c r="F294" i="1"/>
  <c r="F299" i="1"/>
  <c r="F295" i="1"/>
  <c r="F296" i="1"/>
  <c r="F298" i="1"/>
  <c r="F301" i="1"/>
  <c r="F297" i="1"/>
  <c r="F158" i="1"/>
  <c r="F156" i="1"/>
  <c r="F154" i="1"/>
  <c r="F152" i="1"/>
  <c r="F150" i="1"/>
  <c r="F155" i="1"/>
  <c r="F151" i="1"/>
  <c r="F157" i="1"/>
  <c r="F153" i="1"/>
  <c r="J36" i="1"/>
  <c r="F190" i="1"/>
  <c r="F188" i="1"/>
  <c r="F186" i="1"/>
  <c r="F184" i="1"/>
  <c r="F182" i="1"/>
  <c r="F189" i="1"/>
  <c r="F187" i="1"/>
  <c r="F185" i="1"/>
  <c r="F183" i="1"/>
  <c r="F159" i="1"/>
  <c r="J34" i="1"/>
  <c r="F160" i="1"/>
  <c r="F91" i="1"/>
  <c r="F82" i="1"/>
  <c r="F90" i="1"/>
  <c r="F79" i="1"/>
  <c r="F84" i="1"/>
  <c r="F85" i="1"/>
  <c r="F92" i="1"/>
  <c r="F73" i="1"/>
  <c r="I57" i="1"/>
  <c r="H57" i="1"/>
  <c r="F350" i="1"/>
  <c r="F342" i="1"/>
  <c r="F352" i="1" s="1"/>
  <c r="J46" i="1"/>
  <c r="O496" i="1"/>
  <c r="S486" i="1"/>
  <c r="S496" i="1" s="1"/>
  <c r="O464" i="1"/>
  <c r="O53" i="1" s="1"/>
  <c r="S454" i="1"/>
  <c r="S464" i="1" s="1"/>
  <c r="S53" i="1" s="1"/>
  <c r="F431" i="1"/>
  <c r="F430" i="1"/>
  <c r="F429" i="1"/>
  <c r="F428" i="1"/>
  <c r="F427" i="1"/>
  <c r="F426" i="1"/>
  <c r="F425" i="1"/>
  <c r="F424" i="1"/>
  <c r="F423" i="1"/>
  <c r="F422" i="1"/>
  <c r="F432" i="1" s="1"/>
  <c r="J51" i="1"/>
  <c r="O416" i="1"/>
  <c r="O50" i="1" s="1"/>
  <c r="S406" i="1"/>
  <c r="S416" i="1" s="1"/>
  <c r="S50" i="1" s="1"/>
  <c r="S352" i="1"/>
  <c r="S46" i="1" s="1"/>
  <c r="O352" i="1"/>
  <c r="O46" i="1" s="1"/>
  <c r="S304" i="1"/>
  <c r="S43" i="1" s="1"/>
  <c r="O304" i="1"/>
  <c r="O43" i="1" s="1"/>
  <c r="O256" i="1"/>
  <c r="O40" i="1" s="1"/>
  <c r="S246" i="1"/>
  <c r="S256" i="1" s="1"/>
  <c r="S40" i="1" s="1"/>
  <c r="O192" i="1"/>
  <c r="O36" i="1" s="1"/>
  <c r="S192" i="1"/>
  <c r="S36" i="1" s="1"/>
  <c r="S134" i="1"/>
  <c r="S144" i="1" s="1"/>
  <c r="S33" i="1" s="1"/>
  <c r="O144" i="1"/>
  <c r="O33" i="1" s="1"/>
  <c r="O160" i="1"/>
  <c r="O34" i="1" s="1"/>
  <c r="S160" i="1"/>
  <c r="S34" i="1" s="1"/>
  <c r="O73" i="1"/>
  <c r="O30" i="1" s="1"/>
  <c r="S73" i="1"/>
  <c r="S30" i="1" s="1"/>
  <c r="O432" i="1"/>
  <c r="O51" i="1" s="1"/>
  <c r="S422" i="1"/>
  <c r="S432" i="1" s="1"/>
  <c r="S51" i="1" s="1"/>
  <c r="O384" i="1"/>
  <c r="O48" i="1" s="1"/>
  <c r="S374" i="1"/>
  <c r="S384" i="1" s="1"/>
  <c r="S48" i="1" s="1"/>
  <c r="S336" i="1"/>
  <c r="S45" i="1" s="1"/>
  <c r="O336" i="1"/>
  <c r="O45" i="1" s="1"/>
  <c r="F303" i="1"/>
  <c r="J43" i="1"/>
  <c r="J57" i="1" s="1"/>
  <c r="O288" i="1"/>
  <c r="O42" i="1" s="1"/>
  <c r="S278" i="1"/>
  <c r="S288" i="1" s="1"/>
  <c r="S42" i="1" s="1"/>
  <c r="O224" i="1"/>
  <c r="O38" i="1" s="1"/>
  <c r="S214" i="1"/>
  <c r="S224" i="1" s="1"/>
  <c r="S38" i="1" s="1"/>
  <c r="F304" i="1"/>
  <c r="S92" i="1"/>
  <c r="S31" i="1" s="1"/>
  <c r="O92" i="1"/>
  <c r="O31" i="1" s="1"/>
  <c r="O32" i="1"/>
  <c r="G327" i="1" l="1"/>
  <c r="G329" i="1"/>
  <c r="G331" i="1"/>
  <c r="G333" i="1"/>
  <c r="G328" i="1"/>
  <c r="G326" i="1"/>
  <c r="G332" i="1"/>
  <c r="G330" i="1"/>
  <c r="G334" i="1"/>
  <c r="G299" i="1"/>
  <c r="G297" i="1"/>
  <c r="G300" i="1"/>
  <c r="G296" i="1"/>
  <c r="G301" i="1"/>
  <c r="G295" i="1"/>
  <c r="G302" i="1"/>
  <c r="G298" i="1"/>
  <c r="G294" i="1"/>
  <c r="G156" i="1"/>
  <c r="G152" i="1"/>
  <c r="G157" i="1"/>
  <c r="G155" i="1"/>
  <c r="G153" i="1"/>
  <c r="G151" i="1"/>
  <c r="G158" i="1"/>
  <c r="G154" i="1"/>
  <c r="G150" i="1"/>
  <c r="G184" i="1"/>
  <c r="G186" i="1"/>
  <c r="G188" i="1"/>
  <c r="G190" i="1"/>
  <c r="G189" i="1"/>
  <c r="G187" i="1"/>
  <c r="G185" i="1"/>
  <c r="G183" i="1"/>
  <c r="G182" i="1"/>
  <c r="F192" i="1"/>
  <c r="G99" i="1"/>
  <c r="G101" i="1"/>
  <c r="G103" i="1"/>
  <c r="G105" i="1"/>
  <c r="G107" i="1"/>
  <c r="G109" i="1"/>
  <c r="G111" i="1"/>
  <c r="G113" i="1"/>
  <c r="G115" i="1"/>
  <c r="G117" i="1"/>
  <c r="G119" i="1"/>
  <c r="G121" i="1"/>
  <c r="G123" i="1"/>
  <c r="G125" i="1"/>
  <c r="G127" i="1"/>
  <c r="G98" i="1"/>
  <c r="G100" i="1"/>
  <c r="G102" i="1"/>
  <c r="G104" i="1"/>
  <c r="G106" i="1"/>
  <c r="G108" i="1"/>
  <c r="G110" i="1"/>
  <c r="G112" i="1"/>
  <c r="G114" i="1"/>
  <c r="G116" i="1"/>
  <c r="G118" i="1"/>
  <c r="G120" i="1"/>
  <c r="G122" i="1"/>
  <c r="G124" i="1"/>
  <c r="G126" i="1"/>
  <c r="S128" i="1"/>
  <c r="S32" i="1" s="1"/>
  <c r="S57" i="1" s="1"/>
  <c r="G90" i="1"/>
  <c r="G86" i="1"/>
  <c r="G89" i="1"/>
  <c r="G85" i="1"/>
  <c r="G81" i="1"/>
  <c r="G88" i="1"/>
  <c r="G84" i="1"/>
  <c r="G82" i="1"/>
  <c r="G80" i="1"/>
  <c r="G87" i="1"/>
  <c r="G83" i="1"/>
  <c r="G79" i="1"/>
  <c r="G64" i="1"/>
  <c r="G66" i="1"/>
  <c r="G69" i="1"/>
  <c r="G65" i="1"/>
  <c r="G68" i="1"/>
  <c r="G70" i="1"/>
  <c r="G71" i="1"/>
  <c r="G67" i="1"/>
  <c r="G63" i="1"/>
  <c r="G479" i="1"/>
  <c r="G478" i="1"/>
  <c r="G476" i="1"/>
  <c r="G474" i="1"/>
  <c r="G472" i="1"/>
  <c r="G470" i="1"/>
  <c r="G447" i="1"/>
  <c r="G446" i="1"/>
  <c r="G445" i="1"/>
  <c r="G444" i="1"/>
  <c r="G443" i="1"/>
  <c r="G442" i="1"/>
  <c r="G441" i="1"/>
  <c r="G440" i="1"/>
  <c r="G439" i="1"/>
  <c r="G438" i="1"/>
  <c r="G477" i="1"/>
  <c r="G475" i="1"/>
  <c r="G473" i="1"/>
  <c r="G471" i="1"/>
  <c r="G399" i="1"/>
  <c r="G398" i="1"/>
  <c r="G397" i="1"/>
  <c r="G396" i="1"/>
  <c r="G395" i="1"/>
  <c r="G394" i="1"/>
  <c r="G393" i="1"/>
  <c r="G392" i="1"/>
  <c r="G391" i="1"/>
  <c r="G390" i="1"/>
  <c r="G367" i="1"/>
  <c r="G366" i="1"/>
  <c r="G365" i="1"/>
  <c r="G364" i="1"/>
  <c r="G363" i="1"/>
  <c r="G361" i="1"/>
  <c r="G359" i="1"/>
  <c r="G362" i="1"/>
  <c r="G360" i="1"/>
  <c r="G358" i="1"/>
  <c r="G350" i="1"/>
  <c r="G349" i="1"/>
  <c r="G348" i="1"/>
  <c r="G347" i="1"/>
  <c r="G346" i="1"/>
  <c r="G345" i="1"/>
  <c r="G344" i="1"/>
  <c r="G343" i="1"/>
  <c r="G342" i="1"/>
  <c r="G319" i="1"/>
  <c r="G318" i="1"/>
  <c r="G317" i="1"/>
  <c r="G316" i="1"/>
  <c r="G315" i="1"/>
  <c r="G314" i="1"/>
  <c r="G313" i="1"/>
  <c r="G312" i="1"/>
  <c r="G311" i="1"/>
  <c r="G310" i="1"/>
  <c r="G271" i="1"/>
  <c r="G270" i="1"/>
  <c r="G269" i="1"/>
  <c r="G268" i="1"/>
  <c r="G267" i="1"/>
  <c r="G266" i="1"/>
  <c r="G265" i="1"/>
  <c r="G264" i="1"/>
  <c r="G263" i="1"/>
  <c r="G262" i="1"/>
  <c r="G239" i="1"/>
  <c r="G238" i="1"/>
  <c r="G237" i="1"/>
  <c r="G236" i="1"/>
  <c r="G235" i="1"/>
  <c r="G234" i="1"/>
  <c r="G233" i="1"/>
  <c r="G232" i="1"/>
  <c r="G231" i="1"/>
  <c r="G230" i="1"/>
  <c r="G207" i="1"/>
  <c r="G206" i="1"/>
  <c r="G205" i="1"/>
  <c r="G204" i="1"/>
  <c r="G203" i="1"/>
  <c r="G202" i="1"/>
  <c r="G201" i="1"/>
  <c r="G200" i="1"/>
  <c r="G199" i="1"/>
  <c r="G198" i="1"/>
  <c r="G175" i="1"/>
  <c r="G174" i="1"/>
  <c r="G173" i="1"/>
  <c r="G172" i="1"/>
  <c r="G171" i="1"/>
  <c r="G170" i="1"/>
  <c r="G169" i="1"/>
  <c r="G168" i="1"/>
  <c r="G166" i="1"/>
  <c r="G143" i="1"/>
  <c r="G15" i="1"/>
  <c r="G167" i="1"/>
  <c r="G22" i="1"/>
  <c r="G21" i="1"/>
  <c r="G20" i="1"/>
  <c r="G19" i="1"/>
  <c r="G18" i="1"/>
  <c r="G17" i="1"/>
  <c r="G16" i="1"/>
  <c r="G14" i="1"/>
  <c r="G13" i="1"/>
  <c r="G72" i="1"/>
  <c r="G159" i="1"/>
  <c r="G134" i="1"/>
  <c r="G135" i="1"/>
  <c r="G137" i="1"/>
  <c r="G139" i="1"/>
  <c r="G141" i="1"/>
  <c r="G191" i="1"/>
  <c r="G216" i="1"/>
  <c r="G218" i="1"/>
  <c r="G220" i="1"/>
  <c r="G222" i="1"/>
  <c r="G246" i="1"/>
  <c r="G247" i="1"/>
  <c r="G249" i="1"/>
  <c r="G251" i="1"/>
  <c r="G253" i="1"/>
  <c r="G255" i="1"/>
  <c r="G280" i="1"/>
  <c r="G282" i="1"/>
  <c r="G284" i="1"/>
  <c r="G286" i="1"/>
  <c r="G351" i="1"/>
  <c r="G376" i="1"/>
  <c r="G378" i="1"/>
  <c r="G380" i="1"/>
  <c r="G382" i="1"/>
  <c r="G406" i="1"/>
  <c r="G407" i="1"/>
  <c r="G409" i="1"/>
  <c r="G411" i="1"/>
  <c r="G413" i="1"/>
  <c r="G415" i="1"/>
  <c r="G428" i="1"/>
  <c r="G430" i="1"/>
  <c r="G454" i="1"/>
  <c r="G455" i="1"/>
  <c r="G457" i="1"/>
  <c r="G459" i="1"/>
  <c r="G461" i="1"/>
  <c r="G463" i="1"/>
  <c r="G486" i="1"/>
  <c r="G487" i="1"/>
  <c r="G489" i="1"/>
  <c r="G491" i="1"/>
  <c r="G493" i="1"/>
  <c r="G495" i="1"/>
  <c r="G91" i="1"/>
  <c r="G136" i="1"/>
  <c r="G138" i="1"/>
  <c r="G140" i="1"/>
  <c r="G142" i="1"/>
  <c r="G214" i="1"/>
  <c r="G215" i="1"/>
  <c r="G217" i="1"/>
  <c r="G219" i="1"/>
  <c r="G221" i="1"/>
  <c r="G223" i="1"/>
  <c r="G248" i="1"/>
  <c r="G250" i="1"/>
  <c r="G252" i="1"/>
  <c r="G254" i="1"/>
  <c r="G278" i="1"/>
  <c r="G279" i="1"/>
  <c r="G281" i="1"/>
  <c r="G283" i="1"/>
  <c r="G285" i="1"/>
  <c r="G287" i="1"/>
  <c r="G303" i="1"/>
  <c r="G335" i="1"/>
  <c r="G374" i="1"/>
  <c r="G375" i="1"/>
  <c r="G377" i="1"/>
  <c r="G379" i="1"/>
  <c r="G381" i="1"/>
  <c r="G383" i="1"/>
  <c r="G408" i="1"/>
  <c r="G410" i="1"/>
  <c r="G412" i="1"/>
  <c r="G414" i="1"/>
  <c r="G422" i="1"/>
  <c r="G423" i="1"/>
  <c r="G424" i="1"/>
  <c r="G425" i="1"/>
  <c r="G426" i="1"/>
  <c r="G427" i="1"/>
  <c r="G429" i="1"/>
  <c r="G431" i="1"/>
  <c r="G456" i="1"/>
  <c r="G458" i="1"/>
  <c r="G460" i="1"/>
  <c r="G462" i="1"/>
  <c r="G488" i="1"/>
  <c r="G490" i="1"/>
  <c r="G492" i="1"/>
  <c r="G494" i="1"/>
  <c r="O57" i="1"/>
  <c r="G73" i="1" l="1"/>
  <c r="G30" i="1" s="1"/>
  <c r="G128" i="1"/>
  <c r="G32" i="1" s="1"/>
  <c r="G208" i="1"/>
  <c r="G37" i="1" s="1"/>
  <c r="G384" i="1"/>
  <c r="G48" i="1" s="1"/>
  <c r="G368" i="1"/>
  <c r="G47" i="1" s="1"/>
  <c r="G400" i="1"/>
  <c r="G49" i="1" s="1"/>
  <c r="G448" i="1"/>
  <c r="G52" i="1" s="1"/>
  <c r="G432" i="1"/>
  <c r="G51" i="1" s="1"/>
  <c r="G496" i="1"/>
  <c r="G464" i="1"/>
  <c r="G53" i="1" s="1"/>
  <c r="G416" i="1"/>
  <c r="G50" i="1" s="1"/>
  <c r="G144" i="1"/>
  <c r="G33" i="1" s="1"/>
  <c r="G176" i="1"/>
  <c r="G35" i="1" s="1"/>
  <c r="G480" i="1"/>
  <c r="G336" i="1"/>
  <c r="G45" i="1" s="1"/>
  <c r="G288" i="1"/>
  <c r="G42" i="1" s="1"/>
  <c r="G224" i="1"/>
  <c r="G38" i="1" s="1"/>
  <c r="G92" i="1"/>
  <c r="G31" i="1" s="1"/>
  <c r="G304" i="1"/>
  <c r="G43" i="1" s="1"/>
  <c r="G256" i="1"/>
  <c r="G40" i="1" s="1"/>
  <c r="G192" i="1"/>
  <c r="G36" i="1" s="1"/>
  <c r="G160" i="1"/>
  <c r="G34" i="1" s="1"/>
  <c r="G240" i="1"/>
  <c r="G39" i="1" s="1"/>
  <c r="G272" i="1"/>
  <c r="G41" i="1" s="1"/>
  <c r="G320" i="1"/>
  <c r="G44" i="1" s="1"/>
  <c r="G352" i="1"/>
  <c r="G46" i="1" s="1"/>
  <c r="G57" i="1" l="1"/>
  <c r="L184" i="1" l="1"/>
  <c r="K184" i="1"/>
  <c r="L185" i="1"/>
  <c r="K185" i="1"/>
  <c r="L186" i="1"/>
  <c r="K186" i="1"/>
  <c r="L187" i="1"/>
  <c r="K187" i="1"/>
  <c r="L188" i="1"/>
  <c r="K188" i="1"/>
  <c r="L189" i="1"/>
  <c r="K189" i="1"/>
  <c r="L190" i="1"/>
  <c r="K190" i="1"/>
  <c r="K127" i="1"/>
  <c r="L127" i="1"/>
  <c r="K64" i="1"/>
  <c r="L64" i="1"/>
  <c r="L65" i="1"/>
  <c r="K65" i="1"/>
  <c r="K66" i="1"/>
  <c r="L66" i="1"/>
  <c r="L67" i="1"/>
  <c r="K67" i="1"/>
  <c r="K68" i="1"/>
  <c r="L68" i="1"/>
  <c r="L69" i="1"/>
  <c r="K69" i="1"/>
  <c r="K70" i="1"/>
  <c r="L70" i="1"/>
  <c r="L71" i="1"/>
  <c r="K71" i="1"/>
  <c r="K495" i="1"/>
  <c r="L495" i="1"/>
  <c r="K494" i="1"/>
  <c r="L494" i="1"/>
  <c r="K493" i="1"/>
  <c r="L493" i="1"/>
  <c r="K492" i="1"/>
  <c r="L492" i="1"/>
  <c r="K491" i="1"/>
  <c r="L491" i="1"/>
  <c r="L490" i="1"/>
  <c r="K490" i="1"/>
  <c r="L489" i="1"/>
  <c r="K489" i="1"/>
  <c r="L488" i="1"/>
  <c r="K488" i="1"/>
  <c r="L487" i="1"/>
  <c r="K487" i="1"/>
  <c r="L479" i="1"/>
  <c r="K479" i="1"/>
  <c r="L478" i="1"/>
  <c r="K478" i="1"/>
  <c r="L477" i="1"/>
  <c r="K477" i="1"/>
  <c r="L476" i="1"/>
  <c r="K476" i="1"/>
  <c r="L475" i="1"/>
  <c r="K475" i="1"/>
  <c r="L474" i="1"/>
  <c r="K474" i="1"/>
  <c r="L473" i="1"/>
  <c r="K473" i="1"/>
  <c r="L472" i="1"/>
  <c r="K472" i="1"/>
  <c r="L471" i="1"/>
  <c r="K471" i="1"/>
  <c r="L463" i="1"/>
  <c r="K463" i="1"/>
  <c r="L462" i="1"/>
  <c r="K462" i="1"/>
  <c r="L461" i="1"/>
  <c r="K461" i="1"/>
  <c r="L460" i="1"/>
  <c r="K460" i="1"/>
  <c r="L459" i="1"/>
  <c r="K459" i="1"/>
  <c r="L458" i="1"/>
  <c r="K458" i="1"/>
  <c r="L457" i="1"/>
  <c r="K457" i="1"/>
  <c r="L456" i="1"/>
  <c r="K456" i="1"/>
  <c r="L455" i="1"/>
  <c r="K455" i="1"/>
  <c r="K447" i="1"/>
  <c r="L447" i="1"/>
  <c r="K446" i="1"/>
  <c r="L446" i="1"/>
  <c r="K445" i="1"/>
  <c r="L445" i="1"/>
  <c r="K444" i="1"/>
  <c r="L444" i="1"/>
  <c r="K443" i="1"/>
  <c r="L443" i="1"/>
  <c r="K442" i="1"/>
  <c r="L442" i="1"/>
  <c r="K441" i="1"/>
  <c r="L441" i="1"/>
  <c r="K440" i="1"/>
  <c r="L440" i="1"/>
  <c r="K439" i="1"/>
  <c r="L439" i="1"/>
  <c r="K431" i="1"/>
  <c r="L431" i="1"/>
  <c r="K430" i="1"/>
  <c r="L430" i="1"/>
  <c r="K429" i="1"/>
  <c r="L429" i="1"/>
  <c r="K428" i="1"/>
  <c r="L428" i="1"/>
  <c r="K427" i="1"/>
  <c r="L427" i="1"/>
  <c r="K426" i="1"/>
  <c r="L426" i="1"/>
  <c r="L425" i="1"/>
  <c r="K425" i="1"/>
  <c r="L424" i="1"/>
  <c r="K424" i="1"/>
  <c r="L423" i="1"/>
  <c r="K423" i="1"/>
  <c r="K415" i="1"/>
  <c r="L415" i="1"/>
  <c r="K414" i="1"/>
  <c r="L414" i="1"/>
  <c r="L413" i="1"/>
  <c r="K413" i="1"/>
  <c r="L412" i="1"/>
  <c r="K412" i="1"/>
  <c r="K411" i="1"/>
  <c r="L411" i="1"/>
  <c r="K410" i="1"/>
  <c r="L410" i="1"/>
  <c r="L409" i="1"/>
  <c r="K409" i="1"/>
  <c r="L408" i="1"/>
  <c r="K408" i="1"/>
  <c r="L407" i="1"/>
  <c r="K407" i="1"/>
  <c r="L399" i="1"/>
  <c r="K399" i="1"/>
  <c r="K398" i="1"/>
  <c r="L398" i="1"/>
  <c r="L397" i="1"/>
  <c r="K397" i="1"/>
  <c r="K396" i="1"/>
  <c r="L396" i="1"/>
  <c r="K395" i="1"/>
  <c r="L395" i="1"/>
  <c r="L394" i="1"/>
  <c r="K394" i="1"/>
  <c r="L393" i="1"/>
  <c r="K393" i="1"/>
  <c r="L392" i="1"/>
  <c r="K392" i="1"/>
  <c r="L391" i="1"/>
  <c r="K391" i="1"/>
  <c r="L383" i="1"/>
  <c r="K383" i="1"/>
  <c r="L382" i="1"/>
  <c r="K382" i="1"/>
  <c r="L381" i="1"/>
  <c r="K381" i="1"/>
  <c r="L380" i="1"/>
  <c r="K380" i="1"/>
  <c r="L379" i="1"/>
  <c r="K379" i="1"/>
  <c r="K378" i="1"/>
  <c r="L378" i="1"/>
  <c r="L377" i="1"/>
  <c r="K377" i="1"/>
  <c r="L376" i="1"/>
  <c r="K376" i="1"/>
  <c r="L375" i="1"/>
  <c r="K375" i="1"/>
  <c r="K367" i="1"/>
  <c r="L367" i="1"/>
  <c r="L366" i="1"/>
  <c r="K366" i="1"/>
  <c r="K365" i="1"/>
  <c r="L365" i="1"/>
  <c r="K364" i="1"/>
  <c r="L364" i="1"/>
  <c r="L363" i="1"/>
  <c r="K363" i="1"/>
  <c r="K362" i="1"/>
  <c r="L362" i="1"/>
  <c r="K361" i="1"/>
  <c r="L361" i="1"/>
  <c r="K360" i="1"/>
  <c r="L360" i="1"/>
  <c r="K359" i="1"/>
  <c r="L359" i="1"/>
  <c r="L351" i="1"/>
  <c r="K351" i="1"/>
  <c r="K350" i="1"/>
  <c r="L350" i="1"/>
  <c r="K349" i="1"/>
  <c r="L349" i="1"/>
  <c r="K348" i="1"/>
  <c r="L348" i="1"/>
  <c r="L347" i="1"/>
  <c r="K347" i="1"/>
  <c r="L346" i="1"/>
  <c r="K346" i="1"/>
  <c r="L345" i="1"/>
  <c r="K345" i="1"/>
  <c r="L344" i="1"/>
  <c r="K344" i="1"/>
  <c r="L343" i="1"/>
  <c r="K343" i="1"/>
  <c r="K335" i="1"/>
  <c r="L335" i="1"/>
  <c r="K334" i="1"/>
  <c r="L334" i="1"/>
  <c r="K333" i="1"/>
  <c r="L333" i="1"/>
  <c r="K332" i="1"/>
  <c r="L332" i="1"/>
  <c r="K331" i="1"/>
  <c r="L331" i="1"/>
  <c r="K330" i="1"/>
  <c r="L330" i="1"/>
  <c r="K329" i="1"/>
  <c r="L329" i="1"/>
  <c r="K328" i="1"/>
  <c r="L328" i="1"/>
  <c r="K319" i="1"/>
  <c r="L319" i="1"/>
  <c r="K318" i="1"/>
  <c r="L318" i="1"/>
  <c r="K317" i="1"/>
  <c r="L317" i="1"/>
  <c r="K316" i="1"/>
  <c r="L316" i="1"/>
  <c r="K315" i="1"/>
  <c r="L315" i="1"/>
  <c r="L314" i="1"/>
  <c r="K314" i="1"/>
  <c r="L313" i="1"/>
  <c r="K313" i="1"/>
  <c r="L312" i="1"/>
  <c r="K312" i="1"/>
  <c r="L311" i="1"/>
  <c r="K311" i="1"/>
  <c r="K303" i="1"/>
  <c r="L303" i="1"/>
  <c r="K302" i="1"/>
  <c r="L302" i="1"/>
  <c r="K301" i="1"/>
  <c r="L301" i="1"/>
  <c r="L300" i="1"/>
  <c r="K300" i="1"/>
  <c r="K287" i="1"/>
  <c r="L287" i="1"/>
  <c r="K286" i="1"/>
  <c r="L286" i="1"/>
  <c r="K285" i="1"/>
  <c r="L285" i="1"/>
  <c r="L284" i="1"/>
  <c r="K284" i="1"/>
  <c r="L283" i="1"/>
  <c r="K283" i="1"/>
  <c r="K282" i="1"/>
  <c r="L282" i="1"/>
  <c r="K281" i="1"/>
  <c r="L281" i="1"/>
  <c r="K280" i="1"/>
  <c r="L280" i="1"/>
  <c r="L279" i="1"/>
  <c r="K279" i="1"/>
  <c r="L271" i="1"/>
  <c r="K271" i="1"/>
  <c r="K270" i="1"/>
  <c r="L270" i="1"/>
  <c r="L269" i="1"/>
  <c r="K269" i="1"/>
  <c r="L268" i="1"/>
  <c r="K268" i="1"/>
  <c r="K267" i="1"/>
  <c r="L267" i="1"/>
  <c r="L266" i="1"/>
  <c r="K266" i="1"/>
  <c r="L265" i="1"/>
  <c r="K265" i="1"/>
  <c r="K264" i="1"/>
  <c r="L264" i="1"/>
  <c r="K263" i="1"/>
  <c r="L263" i="1"/>
  <c r="K255" i="1"/>
  <c r="L255" i="1"/>
  <c r="L254" i="1"/>
  <c r="K254" i="1"/>
  <c r="L253" i="1"/>
  <c r="K253" i="1"/>
  <c r="L252" i="1"/>
  <c r="K252" i="1"/>
  <c r="L251" i="1"/>
  <c r="K251" i="1"/>
  <c r="K250" i="1"/>
  <c r="L250" i="1"/>
  <c r="K249" i="1"/>
  <c r="L249" i="1"/>
  <c r="K248" i="1"/>
  <c r="L248" i="1"/>
  <c r="L247" i="1"/>
  <c r="K247" i="1"/>
  <c r="K239" i="1"/>
  <c r="L239" i="1"/>
  <c r="K238" i="1"/>
  <c r="L238" i="1"/>
  <c r="L237" i="1"/>
  <c r="K237" i="1"/>
  <c r="L236" i="1"/>
  <c r="K236" i="1"/>
  <c r="L235" i="1"/>
  <c r="K235" i="1"/>
  <c r="K234" i="1"/>
  <c r="L234" i="1"/>
  <c r="K233" i="1"/>
  <c r="L233" i="1"/>
  <c r="L232" i="1"/>
  <c r="K232" i="1"/>
  <c r="K231" i="1"/>
  <c r="L231" i="1"/>
  <c r="K223" i="1"/>
  <c r="L223" i="1"/>
  <c r="K222" i="1"/>
  <c r="L222" i="1"/>
  <c r="K221" i="1"/>
  <c r="L221" i="1"/>
  <c r="L220" i="1"/>
  <c r="K220" i="1"/>
  <c r="K219" i="1"/>
  <c r="L219" i="1"/>
  <c r="K218" i="1"/>
  <c r="L218" i="1"/>
  <c r="K217" i="1"/>
  <c r="L217" i="1"/>
  <c r="L216" i="1"/>
  <c r="K216" i="1"/>
  <c r="L215" i="1"/>
  <c r="K215" i="1"/>
  <c r="L207" i="1"/>
  <c r="K207" i="1"/>
  <c r="K206" i="1"/>
  <c r="L206" i="1"/>
  <c r="L205" i="1"/>
  <c r="K205" i="1"/>
  <c r="K204" i="1"/>
  <c r="L204" i="1"/>
  <c r="L203" i="1"/>
  <c r="K203" i="1"/>
  <c r="K202" i="1"/>
  <c r="L202" i="1"/>
  <c r="L201" i="1"/>
  <c r="K201" i="1"/>
  <c r="L200" i="1"/>
  <c r="K200" i="1"/>
  <c r="K199" i="1"/>
  <c r="L199" i="1"/>
  <c r="L191" i="1"/>
  <c r="K191" i="1"/>
  <c r="K175" i="1"/>
  <c r="L175" i="1"/>
  <c r="L174" i="1"/>
  <c r="K174" i="1"/>
  <c r="L173" i="1"/>
  <c r="K173" i="1"/>
  <c r="K172" i="1"/>
  <c r="L172" i="1"/>
  <c r="K171" i="1"/>
  <c r="L171" i="1"/>
  <c r="K170" i="1"/>
  <c r="L170" i="1"/>
  <c r="K169" i="1"/>
  <c r="L169" i="1"/>
  <c r="L168" i="1"/>
  <c r="K168" i="1"/>
  <c r="L167" i="1"/>
  <c r="K167" i="1"/>
  <c r="K159" i="1"/>
  <c r="L159" i="1"/>
  <c r="K158" i="1"/>
  <c r="L158" i="1"/>
  <c r="L157" i="1"/>
  <c r="K157" i="1"/>
  <c r="L156" i="1"/>
  <c r="K156" i="1"/>
  <c r="L155" i="1"/>
  <c r="K155" i="1"/>
  <c r="K154" i="1"/>
  <c r="L154" i="1"/>
  <c r="K153" i="1"/>
  <c r="L153" i="1"/>
  <c r="K152" i="1"/>
  <c r="L152" i="1"/>
  <c r="L143" i="1"/>
  <c r="K143" i="1"/>
  <c r="L142" i="1"/>
  <c r="K142" i="1"/>
  <c r="L141" i="1"/>
  <c r="K141" i="1"/>
  <c r="L140" i="1"/>
  <c r="K140" i="1"/>
  <c r="L139" i="1"/>
  <c r="K139" i="1"/>
  <c r="L138" i="1"/>
  <c r="K138" i="1"/>
  <c r="K137" i="1"/>
  <c r="L137" i="1"/>
  <c r="L136" i="1"/>
  <c r="K136" i="1"/>
  <c r="L135" i="1"/>
  <c r="K135" i="1"/>
  <c r="L22" i="1"/>
  <c r="K22" i="1"/>
  <c r="L21" i="1"/>
  <c r="K21" i="1"/>
  <c r="L20" i="1"/>
  <c r="K20" i="1"/>
  <c r="K19" i="1"/>
  <c r="L19" i="1"/>
  <c r="K18" i="1"/>
  <c r="L18" i="1"/>
  <c r="K17" i="1"/>
  <c r="L17" i="1"/>
  <c r="K16" i="1"/>
  <c r="L16" i="1"/>
  <c r="K15" i="1"/>
  <c r="L15" i="1"/>
  <c r="K14" i="1"/>
  <c r="L14" i="1"/>
  <c r="K13" i="1"/>
  <c r="L13" i="1"/>
  <c r="L72" i="1"/>
  <c r="K72" i="1"/>
  <c r="K480" i="1"/>
  <c r="K43" i="1"/>
  <c r="K34" i="1"/>
  <c r="L48" i="1"/>
  <c r="L37" i="1"/>
  <c r="L42" i="1"/>
  <c r="L36" i="1"/>
  <c r="K45" i="1"/>
  <c r="K304" i="1"/>
  <c r="L43" i="1"/>
  <c r="K288" i="1"/>
  <c r="K42" i="1"/>
  <c r="L40" i="1"/>
  <c r="L256" i="1"/>
  <c r="K496" i="1"/>
  <c r="L31" i="1"/>
  <c r="L198" i="1"/>
  <c r="L208" i="1"/>
  <c r="L47" i="1"/>
  <c r="K50" i="1"/>
  <c r="K336" i="1"/>
  <c r="K416" i="1"/>
  <c r="L35" i="1"/>
  <c r="L374" i="1"/>
  <c r="L384" i="1"/>
  <c r="L192" i="1"/>
  <c r="L49" i="1"/>
  <c r="L390" i="1"/>
  <c r="L400" i="1"/>
  <c r="L176" i="1"/>
  <c r="K160" i="1"/>
  <c r="K128" i="1"/>
  <c r="K32" i="1"/>
  <c r="L183" i="1"/>
  <c r="K183" i="1"/>
  <c r="K192" i="1"/>
  <c r="K36" i="1"/>
  <c r="L166" i="1"/>
  <c r="L246" i="1"/>
  <c r="K144" i="1"/>
  <c r="K33" i="1"/>
  <c r="L214" i="1"/>
  <c r="L224" i="1"/>
  <c r="L38" i="1"/>
  <c r="K470" i="1"/>
  <c r="L470" i="1"/>
  <c r="L480" i="1"/>
  <c r="K390" i="1"/>
  <c r="K400" i="1"/>
  <c r="K49" i="1"/>
  <c r="L46" i="1"/>
  <c r="K374" i="1"/>
  <c r="K384" i="1"/>
  <c r="K48" i="1"/>
  <c r="L45" i="1"/>
  <c r="L454" i="1"/>
  <c r="L464" i="1"/>
  <c r="L53" i="1"/>
  <c r="K278" i="1"/>
  <c r="L278" i="1"/>
  <c r="L288" i="1"/>
  <c r="L32" i="1"/>
  <c r="K73" i="1"/>
  <c r="K30" i="1"/>
  <c r="K57" i="1"/>
  <c r="K486" i="1"/>
  <c r="L486" i="1"/>
  <c r="L496" i="1"/>
  <c r="K134" i="1"/>
  <c r="L134" i="1"/>
  <c r="L144" i="1"/>
  <c r="L33" i="1"/>
  <c r="K214" i="1"/>
  <c r="K224" i="1"/>
  <c r="K38" i="1"/>
  <c r="K320" i="1"/>
  <c r="K44" i="1"/>
  <c r="K240" i="1"/>
  <c r="K39" i="1"/>
  <c r="L262" i="1"/>
  <c r="L272" i="1"/>
  <c r="L41" i="1"/>
  <c r="K198" i="1"/>
  <c r="K208" i="1"/>
  <c r="K37" i="1"/>
  <c r="K454" i="1"/>
  <c r="K464" i="1"/>
  <c r="K53" i="1"/>
  <c r="K151" i="1"/>
  <c r="L151" i="1"/>
  <c r="L160" i="1"/>
  <c r="L34" i="1"/>
  <c r="L30" i="1"/>
  <c r="L57" i="1"/>
  <c r="K92" i="1"/>
  <c r="K31" i="1"/>
  <c r="K126" i="1"/>
  <c r="L126" i="1"/>
  <c r="L128" i="1"/>
  <c r="K406" i="1"/>
  <c r="L406" i="1"/>
  <c r="L416" i="1"/>
  <c r="L50" i="1"/>
  <c r="L358" i="1"/>
  <c r="L368" i="1"/>
  <c r="L422" i="1"/>
  <c r="L432" i="1"/>
  <c r="L51" i="1"/>
  <c r="K63" i="1"/>
  <c r="L63" i="1"/>
  <c r="L73" i="1"/>
  <c r="K166" i="1"/>
  <c r="K176" i="1"/>
  <c r="K35" i="1"/>
  <c r="K230" i="1"/>
  <c r="L230" i="1"/>
  <c r="L240" i="1"/>
  <c r="L39" i="1"/>
  <c r="K262" i="1"/>
  <c r="K272" i="1"/>
  <c r="K41" i="1"/>
  <c r="L438" i="1"/>
  <c r="L448" i="1"/>
  <c r="L52" i="1"/>
  <c r="K438" i="1"/>
  <c r="K448" i="1"/>
  <c r="K52" i="1"/>
  <c r="K299" i="1"/>
  <c r="L299" i="1"/>
  <c r="L304" i="1"/>
  <c r="K358" i="1"/>
  <c r="K368" i="1"/>
  <c r="K47" i="1"/>
  <c r="L342" i="1"/>
  <c r="L352" i="1"/>
  <c r="K422" i="1"/>
  <c r="K432" i="1"/>
  <c r="K51" i="1"/>
  <c r="L44" i="1"/>
  <c r="K327" i="1"/>
  <c r="L327" i="1"/>
  <c r="L336" i="1"/>
  <c r="K91" i="1"/>
  <c r="L91" i="1"/>
  <c r="L92" i="1"/>
  <c r="K342" i="1"/>
  <c r="K352" i="1"/>
  <c r="K46" i="1"/>
  <c r="K246" i="1"/>
  <c r="K256" i="1"/>
  <c r="K40" i="1"/>
  <c r="K310" i="1"/>
  <c r="L310" i="1"/>
  <c r="L320" i="1"/>
</calcChain>
</file>

<file path=xl/sharedStrings.xml><?xml version="1.0" encoding="utf-8"?>
<sst xmlns="http://schemas.openxmlformats.org/spreadsheetml/2006/main" count="919" uniqueCount="112">
  <si>
    <t>Payé Par</t>
  </si>
  <si>
    <t>A Partager</t>
  </si>
  <si>
    <t>Pour</t>
  </si>
  <si>
    <t>Dût Par</t>
  </si>
  <si>
    <t>Date</t>
  </si>
  <si>
    <t>Fournisseur</t>
  </si>
  <si>
    <t>Balance Alexis/Emline</t>
  </si>
  <si>
    <t>Nature des Dépenses</t>
  </si>
  <si>
    <t>Mode de Paiment</t>
  </si>
  <si>
    <t>Total Du Poste</t>
  </si>
  <si>
    <t>Total Global</t>
  </si>
  <si>
    <t>Différence</t>
  </si>
  <si>
    <t>Coût prévu</t>
  </si>
  <si>
    <t>Coût réel</t>
  </si>
  <si>
    <t>TVA</t>
  </si>
  <si>
    <t>HT</t>
  </si>
  <si>
    <t>Alexis</t>
  </si>
  <si>
    <t>Emeline</t>
  </si>
  <si>
    <t>Pour Alexis</t>
  </si>
  <si>
    <t>Pour Emeline</t>
  </si>
  <si>
    <t>DP Alexis</t>
  </si>
  <si>
    <t>DP Emeline</t>
  </si>
  <si>
    <t>Ordre</t>
  </si>
  <si>
    <t>NB.Fournisseur</t>
  </si>
  <si>
    <t>Poste de dépense</t>
  </si>
  <si>
    <t>Nombre D'opérations</t>
  </si>
  <si>
    <t>Logement</t>
  </si>
  <si>
    <t>Energies</t>
  </si>
  <si>
    <t>Téléphonie/Internet</t>
  </si>
  <si>
    <t>Assurance</t>
  </si>
  <si>
    <t>Banques</t>
  </si>
  <si>
    <t>Impôts</t>
  </si>
  <si>
    <t>Transport</t>
  </si>
  <si>
    <t>Alimentation</t>
  </si>
  <si>
    <t>Restaurants</t>
  </si>
  <si>
    <t>Animaux</t>
  </si>
  <si>
    <t>Divertissement</t>
  </si>
  <si>
    <t>Culture / Livres / DvD ...</t>
  </si>
  <si>
    <t>Informatique/Medias Digitaux</t>
  </si>
  <si>
    <t>Voyages</t>
  </si>
  <si>
    <t>Moto</t>
  </si>
  <si>
    <t>Cadeaux</t>
  </si>
  <si>
    <t>Soins Médicaux</t>
  </si>
  <si>
    <t>Soins de la personne</t>
  </si>
  <si>
    <t>Erotisme</t>
  </si>
  <si>
    <t>Habillement</t>
  </si>
  <si>
    <t>Mobilier</t>
  </si>
  <si>
    <t>Travaux</t>
  </si>
  <si>
    <t>Matériel Régie / Outils de Travail</t>
  </si>
  <si>
    <t>Divers</t>
  </si>
  <si>
    <t>Marie Villette</t>
  </si>
  <si>
    <t>Loyer - 30 Rue Louis Blanc 93310</t>
  </si>
  <si>
    <t>Quittance 01+02+03 - Juillet/Août/Septembre 2011- Loyer 600€ + Charges 90€ *3</t>
  </si>
  <si>
    <t>Chèque</t>
  </si>
  <si>
    <t/>
  </si>
  <si>
    <t>Quittance 04 - Octobre 2011- Loyer 600€ + Charges 90€</t>
  </si>
  <si>
    <t>Virement Automatique</t>
  </si>
  <si>
    <t>Quittance 05 - Novembre 2011- Loyer 600€ + Charges 90€</t>
  </si>
  <si>
    <t>Quittance 06 - Décembre 2011- Loyer 600€ + Charges 90€</t>
  </si>
  <si>
    <t>Quittance 07 - Janvier 2012- Loyer 600€ + Charges 90€</t>
  </si>
  <si>
    <t>Quittance 08 - Février 2012- Loyer 600€ + Charges 90€</t>
  </si>
  <si>
    <t>Quittance 09 - Mars 2012- Loyer 600€ + Charges 90€</t>
  </si>
  <si>
    <t>Quittance 10 - Avril 2012- Loyer 600€ + Charges 90€</t>
  </si>
  <si>
    <t>Quittance 11- Mai 2012- Loyer 600€ + Charges 90€</t>
  </si>
  <si>
    <t>EDF</t>
  </si>
  <si>
    <t>Électricité</t>
  </si>
  <si>
    <t>EDF Bleu Ciel</t>
  </si>
  <si>
    <t>Remboursement Trop Versé 2011/2012 EDF Bleu Ciel</t>
  </si>
  <si>
    <t>Orange</t>
  </si>
  <si>
    <t>Forfait Mobile</t>
  </si>
  <si>
    <t>Recharge 25€ - Alexis</t>
  </si>
  <si>
    <t>CB</t>
  </si>
  <si>
    <t>Recharge 20€ - Alexis</t>
  </si>
  <si>
    <t>FREE</t>
  </si>
  <si>
    <t>Internet</t>
  </si>
  <si>
    <t>Freebox Revolution</t>
  </si>
  <si>
    <t>Prélèvement</t>
  </si>
  <si>
    <t>Recharge 23€ - Alexis</t>
  </si>
  <si>
    <t>B&amp;You</t>
  </si>
  <si>
    <t>Forfait Illimité 32,90€ - Alexis</t>
  </si>
  <si>
    <t>Free Mobile</t>
  </si>
  <si>
    <t>Forfait Illimité 15,99€ - Alexis</t>
  </si>
  <si>
    <t>RATP</t>
  </si>
  <si>
    <t>Metro</t>
  </si>
  <si>
    <t>Carnet 10 Tickets</t>
  </si>
  <si>
    <t>ELF</t>
  </si>
  <si>
    <t>Carburant</t>
  </si>
  <si>
    <t>Essence Ford Fiesta Emeline</t>
  </si>
  <si>
    <t>Essence HONDA Alexis</t>
  </si>
  <si>
    <t>ESSO Express</t>
  </si>
  <si>
    <t>Axa</t>
  </si>
  <si>
    <t>Habitation</t>
  </si>
  <si>
    <t>Assurance Habitation - 30 Rue Louis Blanc</t>
  </si>
  <si>
    <t>Voiture</t>
  </si>
  <si>
    <t>Axa - Club 14</t>
  </si>
  <si>
    <t>Honda CBF600N 2011-2012</t>
  </si>
  <si>
    <t>Clio III AN-434-CH 2011-2012</t>
  </si>
  <si>
    <t>Courses</t>
  </si>
  <si>
    <t>BNP Paribas</t>
  </si>
  <si>
    <t>Forfait Esprit Libre</t>
  </si>
  <si>
    <t>CB + Services - Alexis</t>
  </si>
  <si>
    <t>Taxe d'Habitation</t>
  </si>
  <si>
    <t>Impôts sur le Revenu Alexis</t>
  </si>
  <si>
    <t>ASF</t>
  </si>
  <si>
    <t>Noel Au Pays Basque 2011</t>
  </si>
  <si>
    <t>Péage</t>
  </si>
  <si>
    <t>Cofiroute</t>
  </si>
  <si>
    <t>McDonald's</t>
  </si>
  <si>
    <t>Restaurant Alexis+Archi</t>
  </si>
  <si>
    <t>Norauto</t>
  </si>
  <si>
    <t>Elisabeth Linval</t>
  </si>
  <si>
    <t>Couvre Volant pour Break Maman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</si>
</sst>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Calibri"/>
      <family val="1"/>
    </font>
    <font>
      <b/>
      <sz val="10"/>
      <color rgb="FFFFFFFF"/>
      <name val="Calibri"/>
      <family val="2"/>
    </font>
    <font>
      <sz val="10"/>
      <color rgb="FFFFFFFF"/>
      <name val="Calibri"/>
      <family val="2"/>
    </font>
    <font>
      <sz val="10"/>
      <name val="Calibri"/>
      <family val="2"/>
    </font>
    <font>
      <sz val="11"/>
      <color rgb="FFFF0000"/>
      <name val="Calibri"/>
      <family val="2"/>
    </font>
    <font>
      <b/>
      <sz val="10"/>
      <name val="Calibri"/>
      <family val="2"/>
    </font>
    <font>
      <sz val="10"/>
      <name val="Calibri"/>
      <family val="1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Fill="1" applyBorder="1"/>
    <xf numFmtId="44" fontId="2" fillId="0" borderId="3" xfId="0" applyNumberFormat="1" applyFont="1" applyFill="1" applyBorder="1" applyAlignment="1">
      <alignment horizontal="center" vertical="center" wrapText="1"/>
    </xf>
    <xf numFmtId="44" fontId="3" fillId="0" borderId="0" xfId="0" applyNumberFormat="1" applyFont="1" applyFill="1" applyBorder="1" applyAlignment="1">
      <alignment horizontal="center" vertical="center"/>
    </xf>
    <xf numFmtId="44" fontId="3" fillId="0" borderId="0" xfId="0" applyNumberFormat="1" applyFont="1" applyFill="1" applyBorder="1" applyAlignment="1">
      <alignment horizontal="left" vertical="center"/>
    </xf>
    <xf numFmtId="10" fontId="3" fillId="0" borderId="0" xfId="0" applyNumberFormat="1" applyFont="1" applyFill="1" applyBorder="1" applyAlignment="1">
      <alignment horizontal="center" vertical="center"/>
    </xf>
    <xf numFmtId="44" fontId="4" fillId="0" borderId="0" xfId="0" applyNumberFormat="1" applyFont="1" applyFill="1" applyBorder="1" applyAlignment="1"/>
    <xf numFmtId="10" fontId="1" fillId="0" borderId="0" xfId="0" applyNumberFormat="1" applyFont="1" applyFill="1" applyBorder="1"/>
    <xf numFmtId="44" fontId="1" fillId="0" borderId="0" xfId="0" applyNumberFormat="1" applyFont="1" applyFill="1" applyBorder="1"/>
    <xf numFmtId="44" fontId="5" fillId="0" borderId="0" xfId="0" applyNumberFormat="1" applyFont="1" applyFill="1" applyBorder="1" applyAlignment="1">
      <alignment vertical="center" wrapText="1"/>
    </xf>
    <xf numFmtId="0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/>
    <xf numFmtId="0" fontId="6" fillId="0" borderId="0" xfId="0" applyNumberFormat="1" applyFont="1" applyFill="1" applyBorder="1" applyAlignment="1">
      <alignment vertical="top"/>
    </xf>
    <xf numFmtId="44" fontId="7" fillId="0" borderId="0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vertical="top" wrapText="1"/>
    </xf>
    <xf numFmtId="44" fontId="1" fillId="0" borderId="0" xfId="0" applyNumberFormat="1" applyFont="1" applyFill="1" applyBorder="1" applyAlignment="1">
      <alignment vertical="top"/>
    </xf>
    <xf numFmtId="4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wrapText="1"/>
    </xf>
    <xf numFmtId="44" fontId="3" fillId="0" borderId="0" xfId="0" applyNumberFormat="1" applyFont="1" applyFill="1" applyBorder="1" applyAlignment="1">
      <alignment horizontal="center" wrapText="1"/>
    </xf>
    <xf numFmtId="0" fontId="3" fillId="0" borderId="0" xfId="0" applyNumberFormat="1" applyFont="1" applyFill="1" applyBorder="1" applyAlignment="1">
      <alignment horizontal="left" vertical="top" wrapText="1"/>
    </xf>
    <xf numFmtId="14" fontId="1" fillId="0" borderId="0" xfId="0" applyNumberFormat="1" applyFont="1" applyFill="1" applyBorder="1"/>
    <xf numFmtId="14" fontId="3" fillId="0" borderId="0" xfId="0" applyNumberFormat="1" applyFont="1" applyFill="1" applyBorder="1" applyAlignment="1">
      <alignment horizontal="center" vertical="center"/>
    </xf>
    <xf numFmtId="44" fontId="8" fillId="0" borderId="0" xfId="0" applyNumberFormat="1" applyFont="1" applyFill="1" applyBorder="1" applyAlignment="1">
      <alignment vertical="center" wrapText="1"/>
    </xf>
    <xf numFmtId="44" fontId="1" fillId="0" borderId="1" xfId="0" applyNumberFormat="1" applyFont="1" applyFill="1" applyBorder="1" applyAlignment="1">
      <alignment horizontal="center"/>
    </xf>
    <xf numFmtId="44" fontId="1" fillId="0" borderId="2" xfId="0" applyNumberFormat="1" applyFont="1" applyFill="1" applyBorder="1" applyAlignment="1">
      <alignment horizontal="center"/>
    </xf>
    <xf numFmtId="44" fontId="2" fillId="0" borderId="1" xfId="0" applyNumberFormat="1" applyFont="1" applyFill="1" applyBorder="1" applyAlignment="1">
      <alignment horizontal="center" vertical="center" wrapText="1"/>
    </xf>
    <xf numFmtId="44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10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0" formatCode="General"/>
    </dxf>
    <dxf>
      <font>
        <strike val="0"/>
        <outline val="0"/>
        <shadow val="0"/>
        <u val="none"/>
        <vertAlign val="baseline"/>
        <name val="Calibri"/>
        <scheme val="none"/>
      </font>
    </dxf>
    <dxf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B8CCE4"/>
          <bgColor rgb="FFB8CCE4"/>
        </patternFill>
      </fill>
    </dxf>
    <dxf>
      <fill>
        <patternFill patternType="solid">
          <fgColor rgb="FFB8CCE4"/>
          <bgColor rgb="FFB8CCE4"/>
        </patternFill>
      </fill>
    </dxf>
    <dxf>
      <font>
        <b/>
        <color rgb="FFFFFFFF"/>
      </font>
      <fill>
        <patternFill patternType="solid">
          <fgColor rgb="FF4F81BD"/>
          <bgColor rgb="FF4F81BD"/>
        </patternFill>
      </fill>
    </dxf>
    <dxf>
      <font>
        <b/>
        <color rgb="FFFFFFFF"/>
      </font>
      <fill>
        <patternFill patternType="solid">
          <fgColor rgb="FF4F81BD"/>
          <bgColor rgb="FF4F81BD"/>
        </patternFill>
      </fill>
    </dxf>
    <dxf>
      <font>
        <b/>
        <color rgb="FFFFFFFF"/>
      </font>
      <fill>
        <patternFill patternType="solid">
          <fgColor rgb="FF4F81BD"/>
          <bgColor rgb="FF4F81BD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4F81BD"/>
          <bgColor rgb="FF4F81BD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CE6F1"/>
          <bgColor rgb="FFDCE6F1"/>
        </patternFill>
      </fill>
      <border>
        <vertical style="thin">
          <color rgb="FFFFFFFF"/>
        </vertical>
        <horizontal style="thin">
          <color rgb="FFFFFFFF"/>
        </horizontal>
      </border>
    </dxf>
  </dxfs>
  <tableStyles count="1" defaultTableStyle="TableStyleMedium2" defaultPivotStyle="PivotStyleLight16">
    <tableStyle name="TableStyleMedium9 2" pivot="0" count="7">
      <tableStyleElement type="wholeTable" dxfId="1105"/>
      <tableStyleElement type="headerRow" dxfId="1104"/>
      <tableStyleElement type="totalRow" dxfId="1103"/>
      <tableStyleElement type="firstColumn" dxfId="1102"/>
      <tableStyleElement type="lastColumn" dxfId="1101"/>
      <tableStyleElement type="firstRowStripe" dxfId="1100"/>
      <tableStyleElement type="firstColumnStripe" dxfId="109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8:S57" totalsRowCount="1" headerRowDxfId="1049" dataDxfId="1048" totalsRowDxfId="1047">
  <autoFilter ref="A28:S56"/>
  <tableColumns count="19">
    <tableColumn id="1" name="Ordre" dataDxfId="1046" totalsRowDxfId="1045"/>
    <tableColumn id="2" name="NB.Fournisseur" totalsRowFunction="custom" dataDxfId="1044">
      <totalsRowFormula>SUM(B29:B56)</totalsRowFormula>
    </tableColumn>
    <tableColumn id="3" name="Poste de dépense" dataDxfId="1043" totalsRowDxfId="1042"/>
    <tableColumn id="4" name="Nombre D'opérations" totalsRowFunction="custom" dataDxfId="1041">
      <totalsRowFormula>SUM(D29:D56)</totalsRowFormula>
    </tableColumn>
    <tableColumn id="5" name="Mode de Paiment" totalsRowFunction="custom" dataDxfId="1040">
      <totalsRowFormula>SUM(E29:E56)</totalsRowFormula>
    </tableColumn>
    <tableColumn id="6" name="Total Du Poste" totalsRowFunction="custom" dataDxfId="1039" totalsRowDxfId="1038">
      <totalsRowFormula>SUM(F29:F56)</totalsRowFormula>
    </tableColumn>
    <tableColumn id="7" name="Total Global" totalsRowFunction="custom" dataDxfId="1037" totalsRowDxfId="1036">
      <calculatedColumnFormula>$J29/J$57</calculatedColumnFormula>
      <totalsRowFormula>SUM(G29:G56)</totalsRowFormula>
    </tableColumn>
    <tableColumn id="8" name="Différence" totalsRowFunction="custom" dataDxfId="1035" totalsRowDxfId="1034">
      <calculatedColumnFormula>H73</calculatedColumnFormula>
      <totalsRowFormula>SUM(H29:H56)</totalsRowFormula>
    </tableColumn>
    <tableColumn id="9" name="Coût prévu" totalsRowFunction="custom" dataDxfId="1033" totalsRowDxfId="1032">
      <calculatedColumnFormula>$M29+$N29</calculatedColumnFormula>
      <totalsRowFormula>SUM(I29:I56)</totalsRowFormula>
    </tableColumn>
    <tableColumn id="10" name="Coût réel" totalsRowFunction="custom" dataDxfId="1031" totalsRowDxfId="1030">
      <calculatedColumnFormula>$M29+$N29</calculatedColumnFormula>
      <totalsRowFormula>SUM(J29:J56)</totalsRowFormula>
    </tableColumn>
    <tableColumn id="11" name="TVA" totalsRowFunction="custom" dataDxfId="1029" totalsRowDxfId="1028">
      <calculatedColumnFormula>IF(($K29)&gt;=$N29+$M29,"",($L29-$M29-$N29))</calculatedColumnFormula>
      <totalsRowFormula>SUM(K29:K56)</totalsRowFormula>
    </tableColumn>
    <tableColumn id="12" name="HT" totalsRowFunction="custom" dataDxfId="1027" totalsRowDxfId="1026">
      <calculatedColumnFormula>M29+N29-K29</calculatedColumnFormula>
      <totalsRowFormula>SUM(L29:L56)</totalsRowFormula>
    </tableColumn>
    <tableColumn id="13" name="Alexis" totalsRowFunction="custom" dataDxfId="1025" totalsRowDxfId="1024">
      <totalsRowFormula>SUM(M29:M56)</totalsRowFormula>
    </tableColumn>
    <tableColumn id="14" name="Emeline" totalsRowFunction="custom" dataDxfId="1023" totalsRowDxfId="1022">
      <totalsRowFormula>SUM(N29:N56)</totalsRowFormula>
    </tableColumn>
    <tableColumn id="15" name="A Partager" totalsRowFunction="custom" dataDxfId="1021" totalsRowDxfId="1020">
      <calculatedColumnFormula>$J29-($P29+$Q29)</calculatedColumnFormula>
      <totalsRowFormula>SUM(O29:O56)</totalsRowFormula>
    </tableColumn>
    <tableColumn id="16" name="Pour Alexis" totalsRowFunction="custom" dataDxfId="1019" totalsRowDxfId="1018">
      <totalsRowFormula>SUM(P29:P56)</totalsRowFormula>
    </tableColumn>
    <tableColumn id="17" name="Pour Emeline" totalsRowFunction="custom" dataDxfId="1017" totalsRowDxfId="1016">
      <totalsRowFormula>SUM(Q29:Q56)</totalsRowFormula>
    </tableColumn>
    <tableColumn id="18" name="DP Alexis" totalsRowFunction="custom" dataDxfId="1015" totalsRowDxfId="1014">
      <calculatedColumnFormula>IF(($M29+$P29)&gt;=$N29+$Q29,"",($O29/2)+$P29-$M29)</calculatedColumnFormula>
      <totalsRowFormula>SUM(R29:R56)</totalsRowFormula>
    </tableColumn>
    <tableColumn id="19" name="DP Emeline" totalsRowFunction="custom" dataDxfId="1013" totalsRowDxfId="1012">
      <calculatedColumnFormula>IF(($M29+$P29)&gt;=$N29+$Q29,($O29/2)+$Q29-$N29,"")</calculatedColumnFormula>
      <totalsRowFormula>SUM(S29:S56)</totalsRowFormula>
    </tableColumn>
  </tableColumns>
  <tableStyleInfo name="TableStyleMedium9 2" showFirstColumn="0" showLastColumn="0" showRowStripes="1" showColumnStripes="0"/>
</table>
</file>

<file path=xl/tables/table2.xml><?xml version="1.0" encoding="utf-8"?>
<table xmlns="http://schemas.openxmlformats.org/spreadsheetml/2006/main" id="2" name="Tableau15" displayName="Tableau15" ref="A62:S73" totalsRowCount="1" headerRowDxfId="1011" dataDxfId="1010">
  <autoFilter ref="A62:S72"/>
  <tableColumns count="19">
    <tableColumn id="1" name="Date" dataDxfId="1009" totalsRowDxfId="1008"/>
    <tableColumn id="2" name="Fournisseur" totalsRowFunction="custom" dataDxfId="1007" totalsRowDxfId="1006">
      <totalsRowFormula>SUMPRODUCT((B63:B72&lt;&gt;"")/COUNTIF(B63:B72,B63:B72&amp;""))</totalsRowFormula>
    </tableColumn>
    <tableColumn id="3" name="Logement" totalsRowFunction="custom" dataDxfId="1005" totalsRowDxfId="1004">
      <totalsRowFormula>COUNTA(Tableau15[Logement])</totalsRowFormula>
    </tableColumn>
    <tableColumn id="4" name="Nature des Dépenses" totalsRowFunction="custom" dataDxfId="1003" totalsRowDxfId="1002">
      <totalsRowFormula>COUNTA(Tableau15[Nature des Dépenses])</totalsRowFormula>
    </tableColumn>
    <tableColumn id="5" name="Mode de Paiment" dataDxfId="1001" totalsRowDxfId="1000"/>
    <tableColumn id="6" name="Total Du Poste" totalsRowFunction="custom" dataDxfId="999" totalsRowDxfId="998">
      <calculatedColumnFormula>$J63/J$73</calculatedColumnFormula>
      <totalsRowFormula>SUM(F63:F72)</totalsRowFormula>
    </tableColumn>
    <tableColumn id="7" name="Total Global" totalsRowFunction="custom" dataDxfId="997" totalsRowDxfId="996">
      <calculatedColumnFormula>$J63/J$57</calculatedColumnFormula>
      <totalsRowFormula>SUM(G63:G72)</totalsRowFormula>
    </tableColumn>
    <tableColumn id="8" name="Différence" totalsRowFunction="custom" dataDxfId="995" totalsRowDxfId="994">
      <calculatedColumnFormula>$J63-$I63</calculatedColumnFormula>
      <totalsRowFormula>SUM(H63:H72)</totalsRowFormula>
    </tableColumn>
    <tableColumn id="9" name="Coût prévu" totalsRowFunction="custom" dataDxfId="993" totalsRowDxfId="992">
      <calculatedColumnFormula>$M63+$N63</calculatedColumnFormula>
      <totalsRowFormula>SUM(I63:I72)</totalsRowFormula>
    </tableColumn>
    <tableColumn id="10" name="Coût réel" totalsRowFunction="custom" dataDxfId="991" totalsRowDxfId="990">
      <calculatedColumnFormula>$M63+$N63</calculatedColumnFormula>
      <totalsRowFormula>SUM(J63:J72)</totalsRowFormula>
    </tableColumn>
    <tableColumn id="11" name="TVA" totalsRowFunction="custom" dataDxfId="989" totalsRowDxfId="988">
      <calculatedColumnFormula>IF(($K63)&gt;=$N63+$M63,"",($L63-$M63-$N63))</calculatedColumnFormula>
      <totalsRowFormula>SUM(K63:K72)</totalsRowFormula>
    </tableColumn>
    <tableColumn id="12" name="HT" totalsRowFunction="custom" dataDxfId="987" totalsRowDxfId="986">
      <calculatedColumnFormula>M63+N63-K63</calculatedColumnFormula>
      <totalsRowFormula>SUM(L63:L72)</totalsRowFormula>
    </tableColumn>
    <tableColumn id="13" name="Alexis" totalsRowFunction="custom" dataDxfId="985" totalsRowDxfId="984">
      <totalsRowFormula>SUM(M63:M72)</totalsRowFormula>
    </tableColumn>
    <tableColumn id="14" name="Emeline" totalsRowFunction="custom" dataDxfId="983" totalsRowDxfId="982">
      <totalsRowFormula>SUM(N63:N72)</totalsRowFormula>
    </tableColumn>
    <tableColumn id="15" name="A Partager" totalsRowFunction="custom" dataDxfId="981" totalsRowDxfId="980">
      <calculatedColumnFormula>$J63-($P63+$Q63)</calculatedColumnFormula>
      <totalsRowFormula>SUM(O63:O72)</totalsRowFormula>
    </tableColumn>
    <tableColumn id="16" name="Pour Alexis" totalsRowFunction="custom" dataDxfId="979" totalsRowDxfId="978">
      <totalsRowFormula>SUM(P63:P72)</totalsRowFormula>
    </tableColumn>
    <tableColumn id="17" name="Pour Emeline" totalsRowFunction="custom" dataDxfId="977" totalsRowDxfId="976">
      <totalsRowFormula>SUM(Q63:Q72)</totalsRowFormula>
    </tableColumn>
    <tableColumn id="18" name="DP Alexis" totalsRowFunction="custom" dataDxfId="975" totalsRowDxfId="974">
      <calculatedColumnFormula>IF(($M63+$P63)&gt;=$N63+$Q63,"",($O63/2)+$P63-$M63)</calculatedColumnFormula>
      <totalsRowFormula>SUM(R63:R72)</totalsRowFormula>
    </tableColumn>
    <tableColumn id="19" name="DP Emeline" totalsRowFunction="custom" dataDxfId="973" totalsRowDxfId="972">
      <calculatedColumnFormula>IF(($M63+$P63)&gt;=$N63+$Q63,($O63/2)+$Q63-$N63,"")</calculatedColumnFormula>
      <totalsRowFormula>SUM(S63:S72)</totalsRowFormula>
    </tableColumn>
  </tableColumns>
  <tableStyleInfo name="TableStyleMedium9 2" showFirstColumn="0" showLastColumn="0" showRowStripes="1" showColumnStripes="0"/>
</table>
</file>

<file path=xl/tables/table3.xml><?xml version="1.0" encoding="utf-8"?>
<table xmlns="http://schemas.openxmlformats.org/spreadsheetml/2006/main" id="3" name="Tableau157" displayName="Tableau157" ref="A12:S23" totalsRowCount="1" headerRowDxfId="971" dataDxfId="970">
  <autoFilter ref="A12:S22"/>
  <tableColumns count="19">
    <tableColumn id="1" name="Date" dataDxfId="969" totalsRowDxfId="968"/>
    <tableColumn id="2" name="Fournisseur" dataDxfId="967"/>
    <tableColumn id="3" name="Balance Alexis/Emline" totalsRowFunction="custom" dataDxfId="966">
      <totalsRowFormula>COUNTA(Tableau157[Balance Alexis/Emline])</totalsRowFormula>
    </tableColumn>
    <tableColumn id="4" name="Nature des Dépenses" totalsRowFunction="custom" dataDxfId="965">
      <totalsRowFormula>COUNTA(Tableau157[Nature des Dépenses])</totalsRowFormula>
    </tableColumn>
    <tableColumn id="5" name="Mode de Paiment" dataDxfId="964"/>
    <tableColumn id="6" name="Total Du Poste" dataDxfId="963" totalsRowDxfId="962">
      <calculatedColumnFormula>$J13/J$73</calculatedColumnFormula>
    </tableColumn>
    <tableColumn id="7" name="Total Global" dataDxfId="961" totalsRowDxfId="960">
      <calculatedColumnFormula>$J13/J$57</calculatedColumnFormula>
    </tableColumn>
    <tableColumn id="8" name="Différence" dataDxfId="959" totalsRowDxfId="958">
      <calculatedColumnFormula>$J13-$I13</calculatedColumnFormula>
    </tableColumn>
    <tableColumn id="9" name="Coût prévu" dataDxfId="957" totalsRowDxfId="956">
      <calculatedColumnFormula>$M13+$N13</calculatedColumnFormula>
    </tableColumn>
    <tableColumn id="10" name="Coût réel" dataDxfId="955" totalsRowDxfId="954">
      <calculatedColumnFormula>$M13+$N13</calculatedColumnFormula>
    </tableColumn>
    <tableColumn id="11" name="TVA" dataDxfId="953" totalsRowDxfId="952">
      <calculatedColumnFormula>IF(($K13)&gt;=$N13+$M13,"",($L13-$M13-$N13))</calculatedColumnFormula>
    </tableColumn>
    <tableColumn id="12" name="HT" dataDxfId="951" totalsRowDxfId="950">
      <calculatedColumnFormula>M13+N13-K13</calculatedColumnFormula>
    </tableColumn>
    <tableColumn id="13" name="Alexis" dataDxfId="949" totalsRowDxfId="948"/>
    <tableColumn id="14" name="Emeline" dataDxfId="947" totalsRowDxfId="946"/>
    <tableColumn id="15" name="A Partager" dataDxfId="945" totalsRowDxfId="944">
      <calculatedColumnFormula>$J13-($P13+$Q13)</calculatedColumnFormula>
    </tableColumn>
    <tableColumn id="16" name="Pour Alexis" dataDxfId="943" totalsRowDxfId="942"/>
    <tableColumn id="17" name="Pour Emeline" dataDxfId="941" totalsRowDxfId="940"/>
    <tableColumn id="18" name="DP Alexis" dataDxfId="939" totalsRowDxfId="938">
      <calculatedColumnFormula>IF(($M13+$P13)&gt;=$N13+$Q13,"",($O13/2)+$P13-$M13)</calculatedColumnFormula>
    </tableColumn>
    <tableColumn id="19" name="DP Emeline" dataDxfId="937" totalsRowDxfId="936">
      <calculatedColumnFormula>IF(($M13+$P13)&gt;=$N13+$Q13,($O13/2)+$Q13-$N13,"")</calculatedColumnFormula>
    </tableColumn>
  </tableColumns>
  <tableStyleInfo name="TableStyleMedium9 2" showFirstColumn="0" showLastColumn="0" showRowStripes="1" showColumnStripes="0"/>
</table>
</file>

<file path=xl/tables/table4.xml><?xml version="1.0" encoding="utf-8"?>
<table xmlns="http://schemas.openxmlformats.org/spreadsheetml/2006/main" id="4" name="Tableau159" displayName="Tableau159" ref="A78:S92" totalsRowCount="1" headerRowDxfId="935" dataDxfId="934">
  <autoFilter ref="A78:S91"/>
  <tableColumns count="19">
    <tableColumn id="1" name="Date" dataDxfId="933" totalsRowDxfId="932"/>
    <tableColumn id="2" name="Fournisseur" totalsRowFunction="custom" dataDxfId="931" totalsRowDxfId="930">
      <totalsRowFormula>SUMPRODUCT((B79:B91&lt;&gt;"")/COUNTIF(B79:B91,B79:B91&amp;""))</totalsRowFormula>
    </tableColumn>
    <tableColumn id="3" name="Energies" totalsRowFunction="custom" dataDxfId="929" totalsRowDxfId="928">
      <totalsRowFormula>COUNTA(Tableau159[Energies])</totalsRowFormula>
    </tableColumn>
    <tableColumn id="4" name="Nature des Dépenses" totalsRowFunction="custom" dataDxfId="927" totalsRowDxfId="926">
      <totalsRowFormula>COUNTA(Tableau159[Nature des Dépenses])</totalsRowFormula>
    </tableColumn>
    <tableColumn id="5" name="Mode de Paiment" dataDxfId="925" totalsRowDxfId="924"/>
    <tableColumn id="6" name="Total Du Poste" totalsRowFunction="custom" dataDxfId="923" totalsRowDxfId="922">
      <calculatedColumnFormula>$J79/J$92</calculatedColumnFormula>
      <totalsRowFormula>SUM(F79:F91)</totalsRowFormula>
    </tableColumn>
    <tableColumn id="7" name="Total Global" totalsRowFunction="custom" dataDxfId="921" totalsRowDxfId="920">
      <calculatedColumnFormula>$J79/J$57</calculatedColumnFormula>
      <totalsRowFormula>SUM(G79:G91)</totalsRowFormula>
    </tableColumn>
    <tableColumn id="8" name="Différence" totalsRowFunction="custom" dataDxfId="919" totalsRowDxfId="918">
      <calculatedColumnFormula>$J79-$I79</calculatedColumnFormula>
      <totalsRowFormula>SUM(H79:H91)</totalsRowFormula>
    </tableColumn>
    <tableColumn id="9" name="Coût prévu" totalsRowFunction="custom" dataDxfId="917" totalsRowDxfId="916">
      <calculatedColumnFormula>$M79+$N79</calculatedColumnFormula>
      <totalsRowFormula>SUM(I79:I91)</totalsRowFormula>
    </tableColumn>
    <tableColumn id="10" name="Coût réel" totalsRowFunction="custom" dataDxfId="915" totalsRowDxfId="914">
      <calculatedColumnFormula>$M79+$N79</calculatedColumnFormula>
      <totalsRowFormula>SUM(J79:J91)</totalsRowFormula>
    </tableColumn>
    <tableColumn id="11" name="TVA" totalsRowFunction="custom" dataDxfId="913" totalsRowDxfId="912">
      <calculatedColumnFormula>IF(($K79)&gt;=$N79+$M79,"",($L79-$M79-$N79))</calculatedColumnFormula>
      <totalsRowFormula>SUM(K79:K91)</totalsRowFormula>
    </tableColumn>
    <tableColumn id="12" name="HT" totalsRowFunction="custom" dataDxfId="911" totalsRowDxfId="910">
      <calculatedColumnFormula>M79+N79-K79</calculatedColumnFormula>
      <totalsRowFormula>SUM(L79:L91)</totalsRowFormula>
    </tableColumn>
    <tableColumn id="13" name="Alexis" totalsRowFunction="custom" dataDxfId="909" totalsRowDxfId="908">
      <totalsRowFormula>SUM(M79:M91)</totalsRowFormula>
    </tableColumn>
    <tableColumn id="14" name="Emeline" totalsRowFunction="custom" dataDxfId="907" totalsRowDxfId="906">
      <totalsRowFormula>SUM(N79:N91)</totalsRowFormula>
    </tableColumn>
    <tableColumn id="15" name="A Partager" totalsRowFunction="custom" dataDxfId="905" totalsRowDxfId="904">
      <calculatedColumnFormula>$J79-($P79+$Q79)</calculatedColumnFormula>
      <totalsRowFormula>SUM(O79:O91)</totalsRowFormula>
    </tableColumn>
    <tableColumn id="16" name="Pour Alexis" totalsRowFunction="custom" dataDxfId="903" totalsRowDxfId="902">
      <totalsRowFormula>SUM(P79:P91)</totalsRowFormula>
    </tableColumn>
    <tableColumn id="17" name="Pour Emeline" totalsRowFunction="custom" dataDxfId="901" totalsRowDxfId="900">
      <totalsRowFormula>SUM(Q79:Q91)</totalsRowFormula>
    </tableColumn>
    <tableColumn id="18" name="DP Alexis" totalsRowFunction="custom" dataDxfId="899" totalsRowDxfId="898">
      <calculatedColumnFormula>IF(($M79+$P79)&gt;=$N79+$Q79,"",($O79/2)+$P79-$M79)</calculatedColumnFormula>
      <totalsRowFormula>SUM(R79:R91)</totalsRowFormula>
    </tableColumn>
    <tableColumn id="19" name="DP Emeline" totalsRowFunction="custom" dataDxfId="897" totalsRowDxfId="896">
      <calculatedColumnFormula>IF(($M79+$P79)&gt;=$N79+$Q79,($O79/2)+$Q79-$N79,"")</calculatedColumnFormula>
      <totalsRowFormula>SUM(S79:S91)</totalsRowFormula>
    </tableColumn>
  </tableColumns>
  <tableStyleInfo name="TableStyleMedium9 2" showFirstColumn="0" showLastColumn="0" showRowStripes="1" showColumnStripes="0"/>
</table>
</file>

<file path=xl/tables/table5.xml><?xml version="1.0" encoding="utf-8"?>
<table xmlns="http://schemas.openxmlformats.org/spreadsheetml/2006/main" id="5" name="Tableau1594" displayName="Tableau1594" ref="A97:S128" totalsRowCount="1" headerRowDxfId="895" dataDxfId="894">
  <autoFilter ref="A97:S127"/>
  <tableColumns count="19">
    <tableColumn id="1" name="Date" dataDxfId="893" totalsRowDxfId="892"/>
    <tableColumn id="2" name="Fournisseur" totalsRowFunction="custom" dataDxfId="891" totalsRowDxfId="890">
      <totalsRowFormula>SUMPRODUCT((B98:B127&lt;&gt;"")/COUNTIF(B98:B127,B98:B127&amp;""))</totalsRowFormula>
    </tableColumn>
    <tableColumn id="3" name="Téléphonie/Internet" totalsRowFunction="custom" dataDxfId="889" totalsRowDxfId="888">
      <totalsRowFormula>COUNTA(Tableau1594[Téléphonie/Internet])</totalsRowFormula>
    </tableColumn>
    <tableColumn id="4" name="Nature des Dépenses" totalsRowFunction="custom" dataDxfId="887" totalsRowDxfId="886">
      <totalsRowFormula>COUNTA(Tableau1594[Nature des Dépenses])</totalsRowFormula>
    </tableColumn>
    <tableColumn id="5" name="Mode de Paiment" dataDxfId="885" totalsRowDxfId="884"/>
    <tableColumn id="6" name="Total Du Poste" totalsRowFunction="custom" dataDxfId="883" totalsRowDxfId="882">
      <calculatedColumnFormula>$J98/J$128</calculatedColumnFormula>
      <totalsRowFormula>SUM(F98:F127)</totalsRowFormula>
    </tableColumn>
    <tableColumn id="7" name="Total Global" totalsRowFunction="custom" dataDxfId="881" totalsRowDxfId="880">
      <calculatedColumnFormula>$J98/J$57</calculatedColumnFormula>
      <totalsRowFormula>SUM(G98:G127)</totalsRowFormula>
    </tableColumn>
    <tableColumn id="8" name="Différence" totalsRowFunction="custom" dataDxfId="879" totalsRowDxfId="878">
      <calculatedColumnFormula>$J98-$I98</calculatedColumnFormula>
      <totalsRowFormula>SUM(H98:H127)</totalsRowFormula>
    </tableColumn>
    <tableColumn id="9" name="Coût prévu" totalsRowFunction="custom" dataDxfId="877" totalsRowDxfId="876">
      <calculatedColumnFormula>$M98+$N98</calculatedColumnFormula>
      <totalsRowFormula>SUM(I98:I127)</totalsRowFormula>
    </tableColumn>
    <tableColumn id="10" name="Coût réel" totalsRowFunction="custom" dataDxfId="875" totalsRowDxfId="874">
      <calculatedColumnFormula>$M98+$N98</calculatedColumnFormula>
      <totalsRowFormula>SUM(J98:J127)</totalsRowFormula>
    </tableColumn>
    <tableColumn id="11" name="TVA" totalsRowFunction="custom" dataDxfId="873" totalsRowDxfId="872">
      <calculatedColumnFormula>IF(($K98)&gt;=$N98+$M98,"",($L98-$M98-$N98))</calculatedColumnFormula>
      <totalsRowFormula>SUM(K98:K127)</totalsRowFormula>
    </tableColumn>
    <tableColumn id="12" name="HT" totalsRowFunction="custom" dataDxfId="871" totalsRowDxfId="870">
      <calculatedColumnFormula>M98+N98-K98</calculatedColumnFormula>
      <totalsRowFormula>SUM(L98:L127)</totalsRowFormula>
    </tableColumn>
    <tableColumn id="13" name="Alexis" totalsRowFunction="custom" dataDxfId="869" totalsRowDxfId="868">
      <totalsRowFormula>SUM(M98:M127)</totalsRowFormula>
    </tableColumn>
    <tableColumn id="14" name="Emeline" totalsRowFunction="custom" dataDxfId="867" totalsRowDxfId="866">
      <totalsRowFormula>SUM(N98:N127)</totalsRowFormula>
    </tableColumn>
    <tableColumn id="15" name="A Partager" totalsRowFunction="custom" dataDxfId="865" totalsRowDxfId="864">
      <calculatedColumnFormula>$J98-($P98+$Q98)</calculatedColumnFormula>
      <totalsRowFormula>SUM(O98:O127)</totalsRowFormula>
    </tableColumn>
    <tableColumn id="16" name="Pour Alexis" totalsRowFunction="custom" dataDxfId="863" totalsRowDxfId="862">
      <totalsRowFormula>SUM(P98:P127)</totalsRowFormula>
    </tableColumn>
    <tableColumn id="17" name="Pour Emeline" totalsRowFunction="custom" dataDxfId="861" totalsRowDxfId="860">
      <totalsRowFormula>SUM(Q98:Q127)</totalsRowFormula>
    </tableColumn>
    <tableColumn id="18" name="DP Alexis" totalsRowFunction="custom" dataDxfId="859" totalsRowDxfId="858">
      <calculatedColumnFormula>IF(($M98+$P98)&gt;=$N98+$Q98,"",($O98/2)+$P98-$M98)</calculatedColumnFormula>
      <totalsRowFormula>SUM(R98:R127)</totalsRowFormula>
    </tableColumn>
    <tableColumn id="19" name="DP Emeline" totalsRowFunction="custom" dataDxfId="857" totalsRowDxfId="856">
      <calculatedColumnFormula>IF(($M98+$P98)&gt;=$N98+$Q98,($O98/2)+$Q98-$N98,"")</calculatedColumnFormula>
      <totalsRowFormula>SUM(S98:S127)</totalsRowFormula>
    </tableColumn>
  </tableColumns>
  <tableStyleInfo name="TableStyleMedium9 2" showFirstColumn="0" showLastColumn="0" showRowStripes="1" showColumnStripes="0"/>
</table>
</file>

<file path=xl/tables/table6.xml><?xml version="1.0" encoding="utf-8"?>
<table xmlns="http://schemas.openxmlformats.org/spreadsheetml/2006/main" id="6" name="Tableau1598" displayName="Tableau1598" ref="A133:S144" totalsRowCount="1" headerRowDxfId="855" dataDxfId="854">
  <autoFilter ref="A133:S143"/>
  <tableColumns count="19">
    <tableColumn id="1" name="Date" dataDxfId="853" totalsRowDxfId="852"/>
    <tableColumn id="2" name="Fournisseur" totalsRowFunction="custom" dataDxfId="851" totalsRowDxfId="850">
      <totalsRowFormula>SUMPRODUCT((B134:B143&lt;&gt;"")/COUNTIF(B134:B143,B134:B143&amp;""))</totalsRowFormula>
    </tableColumn>
    <tableColumn id="3" name="Assurance" totalsRowFunction="custom" dataDxfId="849" totalsRowDxfId="848">
      <totalsRowFormula>COUNTA(Tableau1598[Assurance])</totalsRowFormula>
    </tableColumn>
    <tableColumn id="4" name="Nature des Dépenses" totalsRowFunction="custom" dataDxfId="847" totalsRowDxfId="846">
      <totalsRowFormula>COUNTA(Tableau1598[Nature des Dépenses])</totalsRowFormula>
    </tableColumn>
    <tableColumn id="5" name="Mode de Paiment" dataDxfId="845" totalsRowDxfId="844"/>
    <tableColumn id="6" name="Total Du Poste" totalsRowFunction="custom" dataDxfId="843" totalsRowDxfId="842">
      <calculatedColumnFormula>$J134/J$144</calculatedColumnFormula>
      <totalsRowFormula>SUM(F134:F143)</totalsRowFormula>
    </tableColumn>
    <tableColumn id="7" name="Total Global" totalsRowFunction="custom" dataDxfId="841" totalsRowDxfId="840">
      <calculatedColumnFormula>$J134/J$57</calculatedColumnFormula>
      <totalsRowFormula>SUM(G134:G143)</totalsRowFormula>
    </tableColumn>
    <tableColumn id="8" name="Différence" totalsRowFunction="custom" dataDxfId="839" totalsRowDxfId="838">
      <calculatedColumnFormula>$J134-$I134</calculatedColumnFormula>
      <totalsRowFormula>SUM(H134:H143)</totalsRowFormula>
    </tableColumn>
    <tableColumn id="9" name="Coût prévu" totalsRowFunction="custom" dataDxfId="837" totalsRowDxfId="836">
      <calculatedColumnFormula>$M134+$N134</calculatedColumnFormula>
      <totalsRowFormula>SUM(I134:I143)</totalsRowFormula>
    </tableColumn>
    <tableColumn id="10" name="Coût réel" totalsRowFunction="custom" dataDxfId="835" totalsRowDxfId="834">
      <calculatedColumnFormula>$M134+$N134</calculatedColumnFormula>
      <totalsRowFormula>SUM(J134:J143)</totalsRowFormula>
    </tableColumn>
    <tableColumn id="11" name="TVA" totalsRowFunction="custom" dataDxfId="833" totalsRowDxfId="832">
      <calculatedColumnFormula>IF(($K134)&gt;=$N134+$M134,"",($L134-$M134-$N134))</calculatedColumnFormula>
      <totalsRowFormula>SUM(K134:K143)</totalsRowFormula>
    </tableColumn>
    <tableColumn id="12" name="HT" totalsRowFunction="custom" dataDxfId="831" totalsRowDxfId="830">
      <calculatedColumnFormula>M134+N134-K134</calculatedColumnFormula>
      <totalsRowFormula>SUM(L134:L143)</totalsRowFormula>
    </tableColumn>
    <tableColumn id="13" name="Alexis" totalsRowFunction="custom" dataDxfId="829" totalsRowDxfId="828">
      <totalsRowFormula>SUM(M134:M143)</totalsRowFormula>
    </tableColumn>
    <tableColumn id="14" name="Emeline" totalsRowFunction="custom" dataDxfId="827" totalsRowDxfId="826">
      <totalsRowFormula>SUM(N134:N143)</totalsRowFormula>
    </tableColumn>
    <tableColumn id="15" name="A Partager" totalsRowFunction="custom" dataDxfId="825" totalsRowDxfId="824">
      <calculatedColumnFormula>$J134-($P134+$Q134)</calculatedColumnFormula>
      <totalsRowFormula>SUM(O134:O143)</totalsRowFormula>
    </tableColumn>
    <tableColumn id="16" name="Pour Alexis" totalsRowFunction="custom" dataDxfId="823" totalsRowDxfId="822">
      <totalsRowFormula>SUM(P134:P143)</totalsRowFormula>
    </tableColumn>
    <tableColumn id="17" name="Pour Emeline" totalsRowFunction="custom" dataDxfId="821" totalsRowDxfId="820">
      <totalsRowFormula>SUM(Q134:Q143)</totalsRowFormula>
    </tableColumn>
    <tableColumn id="18" name="DP Alexis" totalsRowFunction="custom" dataDxfId="819" totalsRowDxfId="818">
      <calculatedColumnFormula>IF(($M134+$P134)&gt;=$N134+$Q134,"",($O134/2)+$P134-$M134)</calculatedColumnFormula>
      <totalsRowFormula>SUM(R134:R143)</totalsRowFormula>
    </tableColumn>
    <tableColumn id="19" name="DP Emeline" totalsRowFunction="custom" dataDxfId="817" totalsRowDxfId="816">
      <calculatedColumnFormula>IF(($M134+$P134)&gt;=$N134+$Q134,($O134/2)+$Q134-$N134,"")</calculatedColumnFormula>
      <totalsRowFormula>SUM(S134:S143)</totalsRowFormula>
    </tableColumn>
  </tableColumns>
  <tableStyleInfo name="TableStyleMedium9 2" showFirstColumn="0" showLastColumn="0" showRowStripes="1" showColumnStripes="0"/>
</table>
</file>

<file path=xl/tables/table7.xml><?xml version="1.0" encoding="utf-8"?>
<table xmlns="http://schemas.openxmlformats.org/spreadsheetml/2006/main" id="7" name="Tableau15911" displayName="Tableau15911" ref="A149:S160" totalsRowCount="1" headerRowDxfId="815" dataDxfId="814">
  <autoFilter ref="A149:S159"/>
  <tableColumns count="19">
    <tableColumn id="1" name="Date" dataDxfId="813" totalsRowDxfId="812"/>
    <tableColumn id="2" name="Fournisseur" totalsRowFunction="custom" dataDxfId="811" totalsRowDxfId="810">
      <totalsRowFormula>SUMPRODUCT((B150:B159&lt;&gt;"")/COUNTIF(B150:B159,B150:B159&amp;""))</totalsRowFormula>
    </tableColumn>
    <tableColumn id="3" name="Banques" totalsRowFunction="custom" dataDxfId="809" totalsRowDxfId="808">
      <totalsRowFormula>COUNTA(Tableau15911[Banques])</totalsRowFormula>
    </tableColumn>
    <tableColumn id="4" name="Nature des Dépenses" totalsRowFunction="custom" dataDxfId="807" totalsRowDxfId="806">
      <totalsRowFormula>COUNTA(Tableau15911[Nature des Dépenses])</totalsRowFormula>
    </tableColumn>
    <tableColumn id="5" name="Mode de Paiment" dataDxfId="805" totalsRowDxfId="804"/>
    <tableColumn id="6" name="Total Du Poste" totalsRowFunction="custom" dataDxfId="803" totalsRowDxfId="802">
      <calculatedColumnFormula>$J150/J$160</calculatedColumnFormula>
      <totalsRowFormula>SUM(F150:F159)</totalsRowFormula>
    </tableColumn>
    <tableColumn id="7" name="Total Global" totalsRowFunction="custom" dataDxfId="801" totalsRowDxfId="800">
      <calculatedColumnFormula>$J150/J$57</calculatedColumnFormula>
      <totalsRowFormula>SUM(G150:G159)</totalsRowFormula>
    </tableColumn>
    <tableColumn id="8" name="Différence" totalsRowFunction="custom" dataDxfId="799" totalsRowDxfId="798">
      <calculatedColumnFormula>$J150-$I150</calculatedColumnFormula>
      <totalsRowFormula>SUM(H150:H159)</totalsRowFormula>
    </tableColumn>
    <tableColumn id="9" name="Coût prévu" totalsRowFunction="custom" dataDxfId="797" totalsRowDxfId="796">
      <calculatedColumnFormula>$M150+$N150</calculatedColumnFormula>
      <totalsRowFormula>SUM(I150:I159)</totalsRowFormula>
    </tableColumn>
    <tableColumn id="10" name="Coût réel" totalsRowFunction="custom" dataDxfId="795" totalsRowDxfId="794">
      <calculatedColumnFormula>$M150+$N150</calculatedColumnFormula>
      <totalsRowFormula>SUM(J150:J159)</totalsRowFormula>
    </tableColumn>
    <tableColumn id="11" name="TVA" totalsRowFunction="custom" dataDxfId="793" totalsRowDxfId="792">
      <calculatedColumnFormula>IF(($K150)&gt;=$N150+$M150,"",($L150-$M150-$N150))</calculatedColumnFormula>
      <totalsRowFormula>SUM(K150:K159)</totalsRowFormula>
    </tableColumn>
    <tableColumn id="12" name="HT" totalsRowFunction="custom" dataDxfId="791" totalsRowDxfId="790">
      <calculatedColumnFormula>M150+N150-K150</calculatedColumnFormula>
      <totalsRowFormula>SUM(L150:L159)</totalsRowFormula>
    </tableColumn>
    <tableColumn id="13" name="Alexis" totalsRowFunction="custom" dataDxfId="789" totalsRowDxfId="788">
      <totalsRowFormula>SUM(M150:M159)</totalsRowFormula>
    </tableColumn>
    <tableColumn id="14" name="Emeline" totalsRowFunction="custom" dataDxfId="787" totalsRowDxfId="786">
      <totalsRowFormula>SUM(N150:N159)</totalsRowFormula>
    </tableColumn>
    <tableColumn id="15" name="A Partager" totalsRowFunction="custom" dataDxfId="785" totalsRowDxfId="784">
      <calculatedColumnFormula>$J150-($P150+$Q150)</calculatedColumnFormula>
      <totalsRowFormula>SUM(O150:O159)</totalsRowFormula>
    </tableColumn>
    <tableColumn id="16" name="Pour Alexis" totalsRowFunction="custom" dataDxfId="783" totalsRowDxfId="782">
      <totalsRowFormula>SUM(P150:P159)</totalsRowFormula>
    </tableColumn>
    <tableColumn id="17" name="Pour Emeline" totalsRowFunction="custom" dataDxfId="781" totalsRowDxfId="780">
      <totalsRowFormula>SUM(Q150:Q159)</totalsRowFormula>
    </tableColumn>
    <tableColumn id="18" name="DP Alexis" totalsRowFunction="custom" dataDxfId="779" totalsRowDxfId="778">
      <calculatedColumnFormula>IF(($M150+$P150)&gt;=$N150+$Q150,"",($O150/2)+$P150-$M150)</calculatedColumnFormula>
      <totalsRowFormula>SUM(R150:R159)</totalsRowFormula>
    </tableColumn>
    <tableColumn id="19" name="DP Emeline" totalsRowFunction="custom" dataDxfId="777" totalsRowDxfId="776">
      <calculatedColumnFormula>IF(($M150+$P150)&gt;=$N150+$Q150,($O150/2)+$Q150-$N150,"")</calculatedColumnFormula>
      <totalsRowFormula>SUM(S150:S159)</totalsRowFormula>
    </tableColumn>
  </tableColumns>
  <tableStyleInfo name="TableStyleMedium9 2" showFirstColumn="0" showLastColumn="0" showRowStripes="1" showColumnStripes="0"/>
</table>
</file>

<file path=xl/tables/table8.xml><?xml version="1.0" encoding="utf-8"?>
<table xmlns="http://schemas.openxmlformats.org/spreadsheetml/2006/main" id="8" name="Tableau15913" displayName="Tableau15913" ref="A165:S176" totalsRowCount="1" headerRowDxfId="775" dataDxfId="774">
  <autoFilter ref="A165:S175"/>
  <tableColumns count="19">
    <tableColumn id="1" name="Date" dataDxfId="773" totalsRowDxfId="772"/>
    <tableColumn id="2" name="Fournisseur" totalsRowFunction="custom" dataDxfId="771" totalsRowDxfId="770">
      <totalsRowFormula>SUMPRODUCT((B166:B175&lt;&gt;"")/COUNTIF(B166:B175,B166:B175&amp;""))</totalsRowFormula>
    </tableColumn>
    <tableColumn id="3" name="Impôts" totalsRowFunction="custom" dataDxfId="769" totalsRowDxfId="768">
      <totalsRowFormula>COUNTA(Tableau15913[Impôts])</totalsRowFormula>
    </tableColumn>
    <tableColumn id="4" name="Nature des Dépenses" totalsRowFunction="custom" dataDxfId="767" totalsRowDxfId="766">
      <totalsRowFormula>COUNTA(Tableau15913[Nature des Dépenses])</totalsRowFormula>
    </tableColumn>
    <tableColumn id="5" name="Mode de Paiment" dataDxfId="765" totalsRowDxfId="764"/>
    <tableColumn id="6" name="Total Du Poste" totalsRowFunction="custom" dataDxfId="763" totalsRowDxfId="762">
      <calculatedColumnFormula>$J166/J$176</calculatedColumnFormula>
      <totalsRowFormula>SUM(F166:F175)</totalsRowFormula>
    </tableColumn>
    <tableColumn id="7" name="Total Global" totalsRowFunction="custom" dataDxfId="761" totalsRowDxfId="760">
      <calculatedColumnFormula>$J166/J$57</calculatedColumnFormula>
      <totalsRowFormula>SUM(G166:G175)</totalsRowFormula>
    </tableColumn>
    <tableColumn id="8" name="Différence" totalsRowFunction="custom" dataDxfId="759" totalsRowDxfId="758">
      <calculatedColumnFormula>$J166-$I166</calculatedColumnFormula>
      <totalsRowFormula>SUM(H166:H175)</totalsRowFormula>
    </tableColumn>
    <tableColumn id="9" name="Coût prévu" totalsRowFunction="custom" dataDxfId="757" totalsRowDxfId="756">
      <calculatedColumnFormula>$M166+$N166</calculatedColumnFormula>
      <totalsRowFormula>SUM(I166:I175)</totalsRowFormula>
    </tableColumn>
    <tableColumn id="10" name="Coût réel" totalsRowFunction="custom" dataDxfId="755" totalsRowDxfId="754">
      <calculatedColumnFormula>$M166+$N166</calculatedColumnFormula>
      <totalsRowFormula>SUM(J166:J175)</totalsRowFormula>
    </tableColumn>
    <tableColumn id="11" name="TVA" totalsRowFunction="custom" dataDxfId="753" totalsRowDxfId="752">
      <calculatedColumnFormula>IF(($K166)&gt;=$N166+$M166,"",($L166-$M166-$N166))</calculatedColumnFormula>
      <totalsRowFormula>SUM(K166:K175)</totalsRowFormula>
    </tableColumn>
    <tableColumn id="12" name="HT" totalsRowFunction="custom" dataDxfId="751" totalsRowDxfId="750">
      <calculatedColumnFormula>M166+N166-K166</calculatedColumnFormula>
      <totalsRowFormula>SUM(L166:L175)</totalsRowFormula>
    </tableColumn>
    <tableColumn id="13" name="Alexis" totalsRowFunction="custom" dataDxfId="749" totalsRowDxfId="748">
      <totalsRowFormula>SUM(M166:M175)</totalsRowFormula>
    </tableColumn>
    <tableColumn id="14" name="Emeline" totalsRowFunction="custom" dataDxfId="747" totalsRowDxfId="746">
      <totalsRowFormula>SUM(N166:N175)</totalsRowFormula>
    </tableColumn>
    <tableColumn id="15" name="A Partager" totalsRowFunction="custom" dataDxfId="745" totalsRowDxfId="744">
      <calculatedColumnFormula>$J166-($P166+$Q166)</calculatedColumnFormula>
      <totalsRowFormula>SUM(O166:O175)</totalsRowFormula>
    </tableColumn>
    <tableColumn id="16" name="Pour Alexis" totalsRowFunction="custom" dataDxfId="743" totalsRowDxfId="742">
      <totalsRowFormula>SUM(P166:P175)</totalsRowFormula>
    </tableColumn>
    <tableColumn id="17" name="Pour Emeline" totalsRowFunction="custom" dataDxfId="741" totalsRowDxfId="740">
      <totalsRowFormula>SUM(Q166:Q175)</totalsRowFormula>
    </tableColumn>
    <tableColumn id="18" name="DP Alexis" totalsRowFunction="custom" dataDxfId="739" totalsRowDxfId="738">
      <calculatedColumnFormula>IF(($M166+$P166)&gt;=$N166+$Q166,"",($O166/2)+$P166-$M166)</calculatedColumnFormula>
      <totalsRowFormula>SUM(R166:R175)</totalsRowFormula>
    </tableColumn>
    <tableColumn id="19" name="DP Emeline" totalsRowFunction="custom" dataDxfId="737" totalsRowDxfId="736">
      <calculatedColumnFormula>IF(($M166+$P166)&gt;=$N166+$Q166,($O166/2)+$Q166-$N166,"")</calculatedColumnFormula>
      <totalsRowFormula>SUM(S166:S175)</totalsRowFormula>
    </tableColumn>
  </tableColumns>
  <tableStyleInfo name="TableStyleMedium9 2" showFirstColumn="0" showLastColumn="0" showRowStripes="1" showColumnStripes="0"/>
</table>
</file>

<file path=xl/tables/table9.xml><?xml version="1.0" encoding="utf-8"?>
<table xmlns="http://schemas.openxmlformats.org/spreadsheetml/2006/main" id="9" name="Tableau15915" displayName="Tableau15915" ref="A181:S192" totalsRowCount="1" headerRowDxfId="735" dataDxfId="734">
  <autoFilter ref="A181:S191"/>
  <sortState ref="A182:S191">
    <sortCondition ref="A181:A191"/>
  </sortState>
  <tableColumns count="19">
    <tableColumn id="1" name="Date" dataDxfId="733" totalsRowDxfId="732"/>
    <tableColumn id="2" name="Fournisseur" totalsRowFunction="custom" dataDxfId="731" totalsRowDxfId="730">
      <totalsRowFormula>SUMPRODUCT((B182:B191&lt;&gt;"")/COUNTIF(B182:B191,B182:B191&amp;""))</totalsRowFormula>
    </tableColumn>
    <tableColumn id="3" name="Transport" totalsRowFunction="custom" dataDxfId="729" totalsRowDxfId="728">
      <totalsRowFormula>COUNTA(Tableau15915[Transport])</totalsRowFormula>
    </tableColumn>
    <tableColumn id="4" name="Nature des Dépenses" totalsRowFunction="custom" dataDxfId="727" totalsRowDxfId="726">
      <totalsRowFormula>COUNTA(Tableau15915[Nature des Dépenses])</totalsRowFormula>
    </tableColumn>
    <tableColumn id="5" name="Mode de Paiment" dataDxfId="725" totalsRowDxfId="724"/>
    <tableColumn id="6" name="Total Du Poste" totalsRowFunction="custom" dataDxfId="723" totalsRowDxfId="722">
      <calculatedColumnFormula>$J182/J$192</calculatedColumnFormula>
      <totalsRowFormula>SUM(F182:F191)</totalsRowFormula>
    </tableColumn>
    <tableColumn id="7" name="Total Global" totalsRowFunction="custom" dataDxfId="721" totalsRowDxfId="720">
      <calculatedColumnFormula>$J182/J$57</calculatedColumnFormula>
      <totalsRowFormula>SUM(G182:G191)</totalsRowFormula>
    </tableColumn>
    <tableColumn id="8" name="Différence" totalsRowFunction="custom" dataDxfId="719" totalsRowDxfId="718">
      <calculatedColumnFormula>$J182-$I182</calculatedColumnFormula>
      <totalsRowFormula>SUM(H182:H191)</totalsRowFormula>
    </tableColumn>
    <tableColumn id="9" name="Coût prévu" totalsRowFunction="custom" dataDxfId="717" totalsRowDxfId="716">
      <calculatedColumnFormula>$M182+$N182</calculatedColumnFormula>
      <totalsRowFormula>SUM(I182:I191)</totalsRowFormula>
    </tableColumn>
    <tableColumn id="10" name="Coût réel" totalsRowFunction="custom" dataDxfId="715" totalsRowDxfId="714">
      <calculatedColumnFormula>$M182+$N182</calculatedColumnFormula>
      <totalsRowFormula>SUM(J182:J191)</totalsRowFormula>
    </tableColumn>
    <tableColumn id="11" name="TVA" totalsRowFunction="custom" dataDxfId="713" totalsRowDxfId="712">
      <calculatedColumnFormula>IF(($K182)&gt;=$N182+$M182,"",($L182-$M182-$N182))</calculatedColumnFormula>
      <totalsRowFormula>SUM(K182:K191)</totalsRowFormula>
    </tableColumn>
    <tableColumn id="12" name="HT" totalsRowFunction="custom" dataDxfId="711" totalsRowDxfId="710">
      <calculatedColumnFormula>M182+N182-K182</calculatedColumnFormula>
      <totalsRowFormula>SUM(L182:L191)</totalsRowFormula>
    </tableColumn>
    <tableColumn id="13" name="Alexis" totalsRowFunction="custom" dataDxfId="709" totalsRowDxfId="708">
      <totalsRowFormula>SUM(M182:M191)</totalsRowFormula>
    </tableColumn>
    <tableColumn id="14" name="Emeline" totalsRowFunction="custom" dataDxfId="707" totalsRowDxfId="706">
      <totalsRowFormula>SUM(N182:N191)</totalsRowFormula>
    </tableColumn>
    <tableColumn id="15" name="A Partager" totalsRowFunction="custom" dataDxfId="705" totalsRowDxfId="704">
      <calculatedColumnFormula>$J182-($P182+$Q182)</calculatedColumnFormula>
      <totalsRowFormula>SUM(O182:O191)</totalsRowFormula>
    </tableColumn>
    <tableColumn id="16" name="Pour Alexis" totalsRowFunction="custom" dataDxfId="703" totalsRowDxfId="702">
      <totalsRowFormula>SUM(P182:P191)</totalsRowFormula>
    </tableColumn>
    <tableColumn id="17" name="Pour Emeline" totalsRowFunction="custom" dataDxfId="701" totalsRowDxfId="700">
      <totalsRowFormula>SUM(Q182:Q191)</totalsRowFormula>
    </tableColumn>
    <tableColumn id="18" name="DP Alexis" totalsRowFunction="custom" dataDxfId="699" totalsRowDxfId="698">
      <calculatedColumnFormula>IF(($M182+$P182)&gt;=$N182+$Q182,"",($O182/2)+$P182-$M182)</calculatedColumnFormula>
      <totalsRowFormula>SUM(R182:R191)</totalsRowFormula>
    </tableColumn>
    <tableColumn id="19" name="DP Emeline" totalsRowFunction="custom" dataDxfId="697" totalsRowDxfId="696">
      <calculatedColumnFormula>IF(($M182+$P182)&gt;=$N182+$Q182,($O182/2)+$Q182-$N182,"")</calculatedColumnFormula>
      <totalsRowFormula>SUM(S182:S191)</totalsRowFormula>
    </tableColumn>
  </tableColumns>
  <tableStyleInfo name="TableStyleMedium9 2" showFirstColumn="0" showLastColumn="0" showRowStripes="1" showColumnStripes="0"/>
</table>
</file>

<file path=xl/tables/table10.xml><?xml version="1.0" encoding="utf-8"?>
<table xmlns="http://schemas.openxmlformats.org/spreadsheetml/2006/main" id="10" name="Tableau15916" displayName="Tableau15916" ref="A197:S208" totalsRowCount="1" headerRowDxfId="695" dataDxfId="694">
  <autoFilter ref="A197:S207"/>
  <tableColumns count="19">
    <tableColumn id="1" name="Date" dataDxfId="693" totalsRowDxfId="692"/>
    <tableColumn id="2" name="Fournisseur" totalsRowFunction="custom" dataDxfId="691" totalsRowDxfId="690">
      <totalsRowFormula>SUMPRODUCT((B198:B207&lt;&gt;"")/COUNTIF(B198:B207,B198:B207&amp;""))</totalsRowFormula>
    </tableColumn>
    <tableColumn id="3" name="Alimentation" totalsRowFunction="custom" dataDxfId="689" totalsRowDxfId="688">
      <totalsRowFormula>COUNTA(Tableau15916[Alimentation])</totalsRowFormula>
    </tableColumn>
    <tableColumn id="4" name="Nature des Dépenses" totalsRowFunction="custom" dataDxfId="687" totalsRowDxfId="686">
      <totalsRowFormula>COUNTA(Tableau15916[Nature des Dépenses])</totalsRowFormula>
    </tableColumn>
    <tableColumn id="5" name="Mode de Paiment" dataDxfId="685" totalsRowDxfId="684"/>
    <tableColumn id="6" name="Total Du Poste" totalsRowFunction="custom" dataDxfId="683" totalsRowDxfId="682">
      <calculatedColumnFormula>$J198/J$208</calculatedColumnFormula>
      <totalsRowFormula>SUM(F198:F207)</totalsRowFormula>
    </tableColumn>
    <tableColumn id="7" name="Total Global" totalsRowFunction="custom" dataDxfId="681" totalsRowDxfId="680">
      <calculatedColumnFormula>$J198/J$57</calculatedColumnFormula>
      <totalsRowFormula>SUM(G198:G207)</totalsRowFormula>
    </tableColumn>
    <tableColumn id="8" name="Différence" totalsRowFunction="custom" dataDxfId="679" totalsRowDxfId="678">
      <calculatedColumnFormula>$J198-$I198</calculatedColumnFormula>
      <totalsRowFormula>SUM(H198:H207)</totalsRowFormula>
    </tableColumn>
    <tableColumn id="9" name="Coût prévu" totalsRowFunction="custom" dataDxfId="677" totalsRowDxfId="676">
      <calculatedColumnFormula>$M198+$N198</calculatedColumnFormula>
      <totalsRowFormula>SUM(I198:I207)</totalsRowFormula>
    </tableColumn>
    <tableColumn id="10" name="Coût réel" totalsRowFunction="custom" dataDxfId="675" totalsRowDxfId="674">
      <calculatedColumnFormula>$M198+$N198</calculatedColumnFormula>
      <totalsRowFormula>SUM(J198:J207)</totalsRowFormula>
    </tableColumn>
    <tableColumn id="11" name="TVA" totalsRowFunction="custom" dataDxfId="673" totalsRowDxfId="672">
      <calculatedColumnFormula>IF(($K198)&gt;=$N198+$M198,"",($L198-$M198-$N198))</calculatedColumnFormula>
      <totalsRowFormula>SUM(K198:K207)</totalsRowFormula>
    </tableColumn>
    <tableColumn id="12" name="HT" totalsRowFunction="custom" dataDxfId="671" totalsRowDxfId="670">
      <calculatedColumnFormula>M198+N198-K198</calculatedColumnFormula>
      <totalsRowFormula>SUM(L198:L207)</totalsRowFormula>
    </tableColumn>
    <tableColumn id="13" name="Alexis" totalsRowFunction="custom" dataDxfId="669" totalsRowDxfId="668">
      <totalsRowFormula>SUM(M198:M207)</totalsRowFormula>
    </tableColumn>
    <tableColumn id="14" name="Emeline" totalsRowFunction="custom" dataDxfId="667" totalsRowDxfId="666">
      <totalsRowFormula>SUM(N198:N207)</totalsRowFormula>
    </tableColumn>
    <tableColumn id="15" name="A Partager" totalsRowFunction="custom" dataDxfId="665" totalsRowDxfId="664">
      <calculatedColumnFormula>$J198-($P198+$Q198)</calculatedColumnFormula>
      <totalsRowFormula>SUM(O198:O207)</totalsRowFormula>
    </tableColumn>
    <tableColumn id="16" name="Pour Alexis" totalsRowFunction="custom" dataDxfId="663" totalsRowDxfId="662">
      <totalsRowFormula>SUM(P198:P207)</totalsRowFormula>
    </tableColumn>
    <tableColumn id="17" name="Pour Emeline" totalsRowFunction="custom" dataDxfId="661" totalsRowDxfId="660">
      <totalsRowFormula>SUM(Q198:Q207)</totalsRowFormula>
    </tableColumn>
    <tableColumn id="18" name="DP Alexis" totalsRowFunction="custom" dataDxfId="659" totalsRowDxfId="658">
      <calculatedColumnFormula>IF(($M198+$P198)&gt;=$N198+$Q198,"",($O198/2)+$P198-$M198)</calculatedColumnFormula>
      <totalsRowFormula>SUM(R198:R207)</totalsRowFormula>
    </tableColumn>
    <tableColumn id="19" name="DP Emeline" totalsRowFunction="custom" dataDxfId="657" totalsRowDxfId="656">
      <calculatedColumnFormula>IF(($M198+$P198)&gt;=$N198+$Q198,($O198/2)+$Q198-$N198,"")</calculatedColumnFormula>
      <totalsRowFormula>SUM(S198:S207)</totalsRowFormula>
    </tableColumn>
  </tableColumns>
  <tableStyleInfo name="TableStyleMedium9 2" showFirstColumn="0" showLastColumn="0" showRowStripes="1" showColumnStripes="0"/>
</table>
</file>

<file path=xl/tables/table11.xml><?xml version="1.0" encoding="utf-8"?>
<table xmlns="http://schemas.openxmlformats.org/spreadsheetml/2006/main" id="11" name="Tableau15918" displayName="Tableau15918" ref="A213:S224" totalsRowCount="1" headerRowDxfId="655" dataDxfId="654">
  <autoFilter ref="A213:S223"/>
  <tableColumns count="19">
    <tableColumn id="1" name="Date" dataDxfId="653" totalsRowDxfId="652"/>
    <tableColumn id="2" name="Fournisseur" totalsRowFunction="custom" dataDxfId="651">
      <totalsRowFormula>SUMPRODUCT((B214:B223&lt;&gt;"")/COUNTIF(B214:B223,B214:B223&amp;""))</totalsRowFormula>
    </tableColumn>
    <tableColumn id="3" name="Restaurants" totalsRowFunction="custom" dataDxfId="650">
      <totalsRowFormula>COUNTA(Tableau15918[Restaurants])</totalsRowFormula>
    </tableColumn>
    <tableColumn id="4" name="Nature des Dépenses" totalsRowFunction="custom" dataDxfId="649">
      <totalsRowFormula>COUNTA(Tableau15918[Nature des Dépenses])</totalsRowFormula>
    </tableColumn>
    <tableColumn id="5" name="Mode de Paiment" dataDxfId="648"/>
    <tableColumn id="6" name="Total Du Poste" totalsRowFunction="custom" dataDxfId="647" totalsRowDxfId="646">
      <calculatedColumnFormula>$J214/J$224</calculatedColumnFormula>
      <totalsRowFormula>SUM(F214:F223)</totalsRowFormula>
    </tableColumn>
    <tableColumn id="7" name="Total Global" totalsRowFunction="custom" dataDxfId="645" totalsRowDxfId="644">
      <calculatedColumnFormula>$J214/J$57</calculatedColumnFormula>
      <totalsRowFormula>SUM(G214:G223)</totalsRowFormula>
    </tableColumn>
    <tableColumn id="8" name="Différence" totalsRowFunction="custom" dataDxfId="643" totalsRowDxfId="642">
      <calculatedColumnFormula>$J214-$I214</calculatedColumnFormula>
      <totalsRowFormula>SUM(H214:H223)</totalsRowFormula>
    </tableColumn>
    <tableColumn id="9" name="Coût prévu" totalsRowFunction="custom" dataDxfId="641" totalsRowDxfId="640">
      <calculatedColumnFormula>$M214+$N214</calculatedColumnFormula>
      <totalsRowFormula>SUM(I214:I223)</totalsRowFormula>
    </tableColumn>
    <tableColumn id="10" name="Coût réel" totalsRowFunction="custom" dataDxfId="639" totalsRowDxfId="638">
      <calculatedColumnFormula>$M214+$N214</calculatedColumnFormula>
      <totalsRowFormula>SUM(J214:J223)</totalsRowFormula>
    </tableColumn>
    <tableColumn id="11" name="TVA" totalsRowFunction="custom" dataDxfId="637" totalsRowDxfId="636">
      <calculatedColumnFormula>IF(($K214)&gt;=$N214+$M214,"",($L214-$M214-$N214))</calculatedColumnFormula>
      <totalsRowFormula>SUM(K214:K223)</totalsRowFormula>
    </tableColumn>
    <tableColumn id="12" name="HT" totalsRowFunction="custom" dataDxfId="635" totalsRowDxfId="634">
      <calculatedColumnFormula>M214+N214-K214</calculatedColumnFormula>
      <totalsRowFormula>SUM(L214:L223)</totalsRowFormula>
    </tableColumn>
    <tableColumn id="13" name="Alexis" totalsRowFunction="custom" dataDxfId="633" totalsRowDxfId="632">
      <totalsRowFormula>SUM(M214:M223)</totalsRowFormula>
    </tableColumn>
    <tableColumn id="14" name="Emeline" totalsRowFunction="custom" dataDxfId="631" totalsRowDxfId="630">
      <totalsRowFormula>SUM(N214:N223)</totalsRowFormula>
    </tableColumn>
    <tableColumn id="15" name="A Partager" totalsRowFunction="custom" dataDxfId="629" totalsRowDxfId="628">
      <calculatedColumnFormula>$J214-($P214+$Q214)</calculatedColumnFormula>
      <totalsRowFormula>SUM(O214:O223)</totalsRowFormula>
    </tableColumn>
    <tableColumn id="16" name="Pour Alexis" totalsRowFunction="custom" dataDxfId="627" totalsRowDxfId="626">
      <totalsRowFormula>SUM(P214:P223)</totalsRowFormula>
    </tableColumn>
    <tableColumn id="17" name="Pour Emeline" totalsRowFunction="custom" dataDxfId="625" totalsRowDxfId="624">
      <totalsRowFormula>SUM(Q214:Q223)</totalsRowFormula>
    </tableColumn>
    <tableColumn id="18" name="DP Alexis" totalsRowFunction="custom" dataDxfId="623" totalsRowDxfId="622">
      <calculatedColumnFormula>IF(($M214+$P214)&gt;=$N214+$Q214,"",($O214/2)+$P214-$M214)</calculatedColumnFormula>
      <totalsRowFormula>SUM(R214:R223)</totalsRowFormula>
    </tableColumn>
    <tableColumn id="19" name="DP Emeline" totalsRowFunction="custom" dataDxfId="621" totalsRowDxfId="620">
      <calculatedColumnFormula>IF(($M214+$P214)&gt;=$N214+$Q214,($O214/2)+$Q214-$N214,"")</calculatedColumnFormula>
      <totalsRowFormula>SUM(S214:S223)</totalsRowFormula>
    </tableColumn>
  </tableColumns>
  <tableStyleInfo name="TableStyleMedium9 2" showFirstColumn="0" showLastColumn="0" showRowStripes="1" showColumnStripes="0"/>
</table>
</file>

<file path=xl/tables/table12.xml><?xml version="1.0" encoding="utf-8"?>
<table xmlns="http://schemas.openxmlformats.org/spreadsheetml/2006/main" id="12" name="Tableau15920" displayName="Tableau15920" ref="A229:S240" totalsRowCount="1" headerRowDxfId="619" dataDxfId="618">
  <autoFilter ref="A229:S239"/>
  <tableColumns count="19">
    <tableColumn id="1" name="Date" dataDxfId="617" totalsRowDxfId="616"/>
    <tableColumn id="2" name="Fournisseur" totalsRowFunction="custom" dataDxfId="615">
      <totalsRowFormula>SUMPRODUCT((B230:B239&lt;&gt;"")/COUNTIF(B230:B239,B230:B239&amp;""))</totalsRowFormula>
    </tableColumn>
    <tableColumn id="3" name="Animaux" totalsRowFunction="custom" dataDxfId="614">
      <totalsRowFormula>COUNTA(Tableau15920[Animaux])</totalsRowFormula>
    </tableColumn>
    <tableColumn id="4" name="Nature des Dépenses" totalsRowFunction="custom" dataDxfId="613">
      <totalsRowFormula>COUNTA(Tableau15920[Nature des Dépenses])</totalsRowFormula>
    </tableColumn>
    <tableColumn id="5" name="Mode de Paiment" dataDxfId="612"/>
    <tableColumn id="6" name="Total Du Poste" totalsRowFunction="custom" dataDxfId="611" totalsRowDxfId="610">
      <calculatedColumnFormula>$J230/J$240</calculatedColumnFormula>
      <totalsRowFormula>SUM(F230:F239)</totalsRowFormula>
    </tableColumn>
    <tableColumn id="7" name="Total Global" totalsRowFunction="custom" dataDxfId="609" totalsRowDxfId="608">
      <calculatedColumnFormula>$J230/J$57</calculatedColumnFormula>
      <totalsRowFormula>SUM(G230:G239)</totalsRowFormula>
    </tableColumn>
    <tableColumn id="8" name="Différence" totalsRowFunction="custom" dataDxfId="607" totalsRowDxfId="606">
      <calculatedColumnFormula>$J230-$I230</calculatedColumnFormula>
      <totalsRowFormula>SUM(H230:H239)</totalsRowFormula>
    </tableColumn>
    <tableColumn id="9" name="Coût prévu" totalsRowFunction="custom" dataDxfId="605" totalsRowDxfId="604">
      <calculatedColumnFormula>$M230+$N230</calculatedColumnFormula>
      <totalsRowFormula>SUM(I230:I239)</totalsRowFormula>
    </tableColumn>
    <tableColumn id="10" name="Coût réel" totalsRowFunction="custom" dataDxfId="603" totalsRowDxfId="602">
      <calculatedColumnFormula>$M230+$N230</calculatedColumnFormula>
      <totalsRowFormula>SUM(J230:J239)</totalsRowFormula>
    </tableColumn>
    <tableColumn id="11" name="TVA" totalsRowFunction="custom" dataDxfId="601" totalsRowDxfId="600">
      <calculatedColumnFormula>IF(($K230)&gt;=$N230+$M230,"",($L230-$M230-$N230))</calculatedColumnFormula>
      <totalsRowFormula>SUM(K230:K239)</totalsRowFormula>
    </tableColumn>
    <tableColumn id="12" name="HT" totalsRowFunction="custom" dataDxfId="599" totalsRowDxfId="598">
      <calculatedColumnFormula>M230+N230-K230</calculatedColumnFormula>
      <totalsRowFormula>SUM(L230:L239)</totalsRowFormula>
    </tableColumn>
    <tableColumn id="13" name="Alexis" totalsRowFunction="custom" dataDxfId="597" totalsRowDxfId="596">
      <totalsRowFormula>SUM(M230:M239)</totalsRowFormula>
    </tableColumn>
    <tableColumn id="14" name="Emeline" totalsRowFunction="custom" dataDxfId="595" totalsRowDxfId="594">
      <totalsRowFormula>SUM(N230:N239)</totalsRowFormula>
    </tableColumn>
    <tableColumn id="15" name="A Partager" totalsRowFunction="custom" dataDxfId="593" totalsRowDxfId="592">
      <calculatedColumnFormula>$J230-($P230+$Q230)</calculatedColumnFormula>
      <totalsRowFormula>SUM(O230:O239)</totalsRowFormula>
    </tableColumn>
    <tableColumn id="16" name="Pour Alexis" totalsRowFunction="custom" dataDxfId="591" totalsRowDxfId="590">
      <totalsRowFormula>SUM(P230:P239)</totalsRowFormula>
    </tableColumn>
    <tableColumn id="17" name="Pour Emeline" totalsRowFunction="custom" dataDxfId="589" totalsRowDxfId="588">
      <totalsRowFormula>SUM(Q230:Q239)</totalsRowFormula>
    </tableColumn>
    <tableColumn id="18" name="DP Alexis" totalsRowFunction="custom" dataDxfId="587" totalsRowDxfId="586">
      <calculatedColumnFormula>IF(($M230+$P230)&gt;=$N230+$Q230,"",($O230/2)+$P230-$M230)</calculatedColumnFormula>
      <totalsRowFormula>SUM(R230:R239)</totalsRowFormula>
    </tableColumn>
    <tableColumn id="19" name="DP Emeline" totalsRowFunction="custom" dataDxfId="585" totalsRowDxfId="584">
      <calculatedColumnFormula>IF(($M230+$P230)&gt;=$N230+$Q230,($O230/2)+$Q230-$N230,"")</calculatedColumnFormula>
      <totalsRowFormula>SUM(S230:S239)</totalsRowFormula>
    </tableColumn>
  </tableColumns>
  <tableStyleInfo name="TableStyleMedium9 2" showFirstColumn="0" showLastColumn="0" showRowStripes="1" showColumnStripes="0"/>
</table>
</file>

<file path=xl/tables/table13.xml><?xml version="1.0" encoding="utf-8"?>
<table xmlns="http://schemas.openxmlformats.org/spreadsheetml/2006/main" id="13" name="Tableau15922" displayName="Tableau15922" ref="A245:S256" totalsRowCount="1" headerRowDxfId="583" dataDxfId="582">
  <autoFilter ref="A245:S255"/>
  <tableColumns count="19">
    <tableColumn id="1" name="Date" dataDxfId="581" totalsRowDxfId="580"/>
    <tableColumn id="2" name="Fournisseur" totalsRowFunction="custom" dataDxfId="579">
      <totalsRowFormula>SUMPRODUCT((B246:B255&lt;&gt;"")/COUNTIF(B246:B255,B246:B255&amp;""))</totalsRowFormula>
    </tableColumn>
    <tableColumn id="3" name="Divertissement" totalsRowFunction="custom" dataDxfId="578">
      <totalsRowFormula>COUNTA(Tableau15922[Divertissement])</totalsRowFormula>
    </tableColumn>
    <tableColumn id="4" name="Nature des Dépenses" totalsRowFunction="custom" dataDxfId="577">
      <totalsRowFormula>COUNTA(Tableau15922[Nature des Dépenses])</totalsRowFormula>
    </tableColumn>
    <tableColumn id="5" name="Mode de Paiment" dataDxfId="576"/>
    <tableColumn id="6" name="Total Du Poste" totalsRowFunction="custom" dataDxfId="575" totalsRowDxfId="574">
      <calculatedColumnFormula>$J246/J$256</calculatedColumnFormula>
      <totalsRowFormula>SUM(F246:F255)</totalsRowFormula>
    </tableColumn>
    <tableColumn id="7" name="Total Global" totalsRowFunction="custom" dataDxfId="573" totalsRowDxfId="572">
      <calculatedColumnFormula>$J246/J$57</calculatedColumnFormula>
      <totalsRowFormula>SUM(G246:G255)</totalsRowFormula>
    </tableColumn>
    <tableColumn id="8" name="Différence" totalsRowFunction="custom" dataDxfId="571" totalsRowDxfId="570">
      <calculatedColumnFormula>$J246-$I246</calculatedColumnFormula>
      <totalsRowFormula>SUM(H246:H255)</totalsRowFormula>
    </tableColumn>
    <tableColumn id="9" name="Coût prévu" totalsRowFunction="custom" dataDxfId="569" totalsRowDxfId="568">
      <calculatedColumnFormula>$M246+$N246</calculatedColumnFormula>
      <totalsRowFormula>SUM(I246:I255)</totalsRowFormula>
    </tableColumn>
    <tableColumn id="10" name="Coût réel" totalsRowFunction="custom" dataDxfId="567" totalsRowDxfId="566">
      <calculatedColumnFormula>$M246+$N246</calculatedColumnFormula>
      <totalsRowFormula>SUM(J246:J255)</totalsRowFormula>
    </tableColumn>
    <tableColumn id="11" name="TVA" totalsRowFunction="custom" dataDxfId="565" totalsRowDxfId="564">
      <calculatedColumnFormula>IF(($K246)&gt;=$N246+$M246,"",($L246-$M246-$N246))</calculatedColumnFormula>
      <totalsRowFormula>SUM(K246:K255)</totalsRowFormula>
    </tableColumn>
    <tableColumn id="12" name="HT" totalsRowFunction="custom" dataDxfId="563" totalsRowDxfId="562">
      <calculatedColumnFormula>M246+N246-K246</calculatedColumnFormula>
      <totalsRowFormula>SUM(L246:L255)</totalsRowFormula>
    </tableColumn>
    <tableColumn id="13" name="Alexis" totalsRowFunction="custom" dataDxfId="561" totalsRowDxfId="560">
      <totalsRowFormula>SUM(M246:M255)</totalsRowFormula>
    </tableColumn>
    <tableColumn id="14" name="Emeline" totalsRowFunction="custom" dataDxfId="559" totalsRowDxfId="558">
      <totalsRowFormula>SUM(N246:N255)</totalsRowFormula>
    </tableColumn>
    <tableColumn id="15" name="A Partager" totalsRowFunction="custom" dataDxfId="557" totalsRowDxfId="556">
      <calculatedColumnFormula>$J246-($P246+$Q246)</calculatedColumnFormula>
      <totalsRowFormula>SUM(O246:O255)</totalsRowFormula>
    </tableColumn>
    <tableColumn id="16" name="Pour Alexis" totalsRowFunction="custom" dataDxfId="555" totalsRowDxfId="554">
      <totalsRowFormula>SUM(P246:P255)</totalsRowFormula>
    </tableColumn>
    <tableColumn id="17" name="Pour Emeline" totalsRowFunction="custom" dataDxfId="553" totalsRowDxfId="552">
      <totalsRowFormula>SUM(Q246:Q255)</totalsRowFormula>
    </tableColumn>
    <tableColumn id="18" name="DP Alexis" totalsRowFunction="custom" dataDxfId="551" totalsRowDxfId="550">
      <calculatedColumnFormula>IF(($M246+$P246)&gt;=$N246+$Q246,"",($O246/2)+$P246-$M246)</calculatedColumnFormula>
      <totalsRowFormula>SUM(R246:R255)</totalsRowFormula>
    </tableColumn>
    <tableColumn id="19" name="DP Emeline" totalsRowFunction="custom" dataDxfId="549" totalsRowDxfId="548">
      <calculatedColumnFormula>IF(($M246+$P246)&gt;=$N246+$Q246,($O246/2)+$Q246-$N246,"")</calculatedColumnFormula>
      <totalsRowFormula>SUM(S246:S255)</totalsRowFormula>
    </tableColumn>
  </tableColumns>
  <tableStyleInfo name="TableStyleMedium9 2" showFirstColumn="0" showLastColumn="0" showRowStripes="1" showColumnStripes="0"/>
</table>
</file>

<file path=xl/tables/table14.xml><?xml version="1.0" encoding="utf-8"?>
<table xmlns="http://schemas.openxmlformats.org/spreadsheetml/2006/main" id="14" name="Tableau15923" displayName="Tableau15923" ref="A261:S272" totalsRowCount="1" headerRowDxfId="547" dataDxfId="546">
  <autoFilter ref="A261:S271"/>
  <tableColumns count="19">
    <tableColumn id="1" name="Date" dataDxfId="545" totalsRowDxfId="544"/>
    <tableColumn id="2" name="Fournisseur" totalsRowFunction="custom" dataDxfId="543">
      <totalsRowFormula>SUMPRODUCT((B262:B271&lt;&gt;"")/COUNTIF(B262:B271,B262:B271&amp;""))</totalsRowFormula>
    </tableColumn>
    <tableColumn id="3" name="Culture / Livres / DvD ..." totalsRowFunction="custom" dataDxfId="542">
      <totalsRowFormula>COUNTA(Tableau15923[Culture / Livres / DvD ...])</totalsRowFormula>
    </tableColumn>
    <tableColumn id="4" name="Nature des Dépenses" totalsRowFunction="custom" dataDxfId="541">
      <totalsRowFormula>COUNTA(Tableau15923[Nature des Dépenses])</totalsRowFormula>
    </tableColumn>
    <tableColumn id="5" name="Mode de Paiment" dataDxfId="540"/>
    <tableColumn id="6" name="Total Du Poste" totalsRowFunction="custom" dataDxfId="539" totalsRowDxfId="538">
      <calculatedColumnFormula>$J262/J$272</calculatedColumnFormula>
      <totalsRowFormula>SUM(F262:F271)</totalsRowFormula>
    </tableColumn>
    <tableColumn id="7" name="Total Global" totalsRowFunction="custom" dataDxfId="537" totalsRowDxfId="536">
      <calculatedColumnFormula>$J262/J$57</calculatedColumnFormula>
      <totalsRowFormula>SUM(G262:G271)</totalsRowFormula>
    </tableColumn>
    <tableColumn id="8" name="Différence" totalsRowFunction="custom" dataDxfId="535" totalsRowDxfId="534">
      <calculatedColumnFormula>$J262-$I262</calculatedColumnFormula>
      <totalsRowFormula>SUM(H262:H271)</totalsRowFormula>
    </tableColumn>
    <tableColumn id="9" name="Coût prévu" totalsRowFunction="custom" dataDxfId="533" totalsRowDxfId="532">
      <calculatedColumnFormula>$M262+$N262</calculatedColumnFormula>
      <totalsRowFormula>SUM(I262:I271)</totalsRowFormula>
    </tableColumn>
    <tableColumn id="10" name="Coût réel" totalsRowFunction="custom" dataDxfId="531" totalsRowDxfId="530">
      <calculatedColumnFormula>$M262+$N262</calculatedColumnFormula>
      <totalsRowFormula>SUM(J262:J271)</totalsRowFormula>
    </tableColumn>
    <tableColumn id="11" name="TVA" totalsRowFunction="custom" dataDxfId="529" totalsRowDxfId="528">
      <calculatedColumnFormula>IF(($K262)&gt;=$N262+$M262,"",($L262-$M262-$N262))</calculatedColumnFormula>
      <totalsRowFormula>SUM(K262:K271)</totalsRowFormula>
    </tableColumn>
    <tableColumn id="12" name="HT" totalsRowFunction="custom" dataDxfId="527" totalsRowDxfId="526">
      <calculatedColumnFormula>M262+N262-K262</calculatedColumnFormula>
      <totalsRowFormula>SUM(L262:L271)</totalsRowFormula>
    </tableColumn>
    <tableColumn id="13" name="Alexis" totalsRowFunction="custom" dataDxfId="525" totalsRowDxfId="524">
      <totalsRowFormula>SUM(M262:M271)</totalsRowFormula>
    </tableColumn>
    <tableColumn id="14" name="Emeline" totalsRowFunction="custom" dataDxfId="523" totalsRowDxfId="522">
      <totalsRowFormula>SUM(N262:N271)</totalsRowFormula>
    </tableColumn>
    <tableColumn id="15" name="A Partager" totalsRowFunction="custom" dataDxfId="521" totalsRowDxfId="520">
      <calculatedColumnFormula>$J262-($P262+$Q262)</calculatedColumnFormula>
      <totalsRowFormula>SUM(O262:O271)</totalsRowFormula>
    </tableColumn>
    <tableColumn id="16" name="Pour Alexis" totalsRowFunction="custom" dataDxfId="519" totalsRowDxfId="518">
      <totalsRowFormula>SUM(P262:P271)</totalsRowFormula>
    </tableColumn>
    <tableColumn id="17" name="Pour Emeline" totalsRowFunction="custom" dataDxfId="517" totalsRowDxfId="516">
      <totalsRowFormula>SUM(Q262:Q271)</totalsRowFormula>
    </tableColumn>
    <tableColumn id="18" name="DP Alexis" totalsRowFunction="custom" dataDxfId="515" totalsRowDxfId="514">
      <calculatedColumnFormula>IF(($M262+$P262)&gt;=$N262+$Q262,"",($O262/2)+$P262-$M262)</calculatedColumnFormula>
      <totalsRowFormula>SUM(R262:R271)</totalsRowFormula>
    </tableColumn>
    <tableColumn id="19" name="DP Emeline" totalsRowFunction="custom" dataDxfId="513" totalsRowDxfId="512">
      <calculatedColumnFormula>IF(($M262+$P262)&gt;=$N262+$Q262,($O262/2)+$Q262-$N262,"")</calculatedColumnFormula>
      <totalsRowFormula>SUM(S262:S271)</totalsRowFormula>
    </tableColumn>
  </tableColumns>
  <tableStyleInfo name="TableStyleMedium9 2" showFirstColumn="0" showLastColumn="0" showRowStripes="1" showColumnStripes="0"/>
</table>
</file>

<file path=xl/tables/table15.xml><?xml version="1.0" encoding="utf-8"?>
<table xmlns="http://schemas.openxmlformats.org/spreadsheetml/2006/main" id="15" name="Tableau15924" displayName="Tableau15924" ref="A277:S288" totalsRowCount="1" headerRowDxfId="511" dataDxfId="510">
  <autoFilter ref="A277:S287"/>
  <tableColumns count="19">
    <tableColumn id="1" name="Date" dataDxfId="509" totalsRowDxfId="508"/>
    <tableColumn id="2" name="Fournisseur" totalsRowFunction="custom" dataDxfId="507">
      <totalsRowFormula>SUMPRODUCT((B278:B287&lt;&gt;"")/COUNTIF(B278:B287,B278:B287&amp;""))</totalsRowFormula>
    </tableColumn>
    <tableColumn id="3" name="Informatique/Medias Digitaux" totalsRowFunction="custom" dataDxfId="506">
      <totalsRowFormula>COUNTA(Tableau15924[Informatique/Medias Digitaux])</totalsRowFormula>
    </tableColumn>
    <tableColumn id="4" name="Nature des Dépenses" totalsRowFunction="custom" dataDxfId="505">
      <totalsRowFormula>COUNTA(Tableau15924[Nature des Dépenses])</totalsRowFormula>
    </tableColumn>
    <tableColumn id="5" name="Mode de Paiment" dataDxfId="504"/>
    <tableColumn id="6" name="Total Du Poste" totalsRowFunction="custom" dataDxfId="503" totalsRowDxfId="502">
      <calculatedColumnFormula>$J278/J$288</calculatedColumnFormula>
      <totalsRowFormula>SUM(F278:F287)</totalsRowFormula>
    </tableColumn>
    <tableColumn id="7" name="Total Global" totalsRowFunction="custom" dataDxfId="501" totalsRowDxfId="500">
      <calculatedColumnFormula>$J278/J$57</calculatedColumnFormula>
      <totalsRowFormula>SUM(G278:G287)</totalsRowFormula>
    </tableColumn>
    <tableColumn id="8" name="Différence" totalsRowFunction="custom" dataDxfId="499" totalsRowDxfId="498">
      <calculatedColumnFormula>$J278-$I278</calculatedColumnFormula>
      <totalsRowFormula>SUM(H278:H287)</totalsRowFormula>
    </tableColumn>
    <tableColumn id="9" name="Coût prévu" totalsRowFunction="custom" dataDxfId="497" totalsRowDxfId="496">
      <calculatedColumnFormula>$M278+$N278</calculatedColumnFormula>
      <totalsRowFormula>SUM(I278:I287)</totalsRowFormula>
    </tableColumn>
    <tableColumn id="10" name="Coût réel" totalsRowFunction="custom" dataDxfId="495" totalsRowDxfId="494">
      <calculatedColumnFormula>$M278+$N278</calculatedColumnFormula>
      <totalsRowFormula>SUM(J278:J287)</totalsRowFormula>
    </tableColumn>
    <tableColumn id="11" name="TVA" totalsRowFunction="custom" dataDxfId="493" totalsRowDxfId="492">
      <calculatedColumnFormula>IF(($K278)&gt;=$N278+$M278,"",($L278-$M278-$N278))</calculatedColumnFormula>
      <totalsRowFormula>SUM(K278:K287)</totalsRowFormula>
    </tableColumn>
    <tableColumn id="12" name="HT" totalsRowFunction="custom" dataDxfId="491" totalsRowDxfId="490">
      <calculatedColumnFormula>M278+N278-K278</calculatedColumnFormula>
      <totalsRowFormula>SUM(L278:L287)</totalsRowFormula>
    </tableColumn>
    <tableColumn id="13" name="Alexis" totalsRowFunction="custom" dataDxfId="489" totalsRowDxfId="488">
      <totalsRowFormula>SUM(M278:M287)</totalsRowFormula>
    </tableColumn>
    <tableColumn id="14" name="Emeline" totalsRowFunction="custom" dataDxfId="487" totalsRowDxfId="486">
      <totalsRowFormula>SUM(N278:N287)</totalsRowFormula>
    </tableColumn>
    <tableColumn id="15" name="A Partager" totalsRowFunction="custom" dataDxfId="485" totalsRowDxfId="484">
      <calculatedColumnFormula>$J278-($P278+$Q278)</calculatedColumnFormula>
      <totalsRowFormula>SUM(O278:O287)</totalsRowFormula>
    </tableColumn>
    <tableColumn id="16" name="Pour Alexis" totalsRowFunction="custom" dataDxfId="483" totalsRowDxfId="482">
      <totalsRowFormula>SUM(P278:P287)</totalsRowFormula>
    </tableColumn>
    <tableColumn id="17" name="Pour Emeline" totalsRowFunction="custom" dataDxfId="481" totalsRowDxfId="480">
      <totalsRowFormula>SUM(Q278:Q287)</totalsRowFormula>
    </tableColumn>
    <tableColumn id="18" name="DP Alexis" totalsRowFunction="custom" dataDxfId="479" totalsRowDxfId="478">
      <calculatedColumnFormula>IF(($M278+$P278)&gt;=$N278+$Q278,"",($O278/2)+$P278-$M278)</calculatedColumnFormula>
      <totalsRowFormula>SUM(R278:R287)</totalsRowFormula>
    </tableColumn>
    <tableColumn id="19" name="DP Emeline" totalsRowFunction="custom" dataDxfId="477" totalsRowDxfId="476">
      <calculatedColumnFormula>IF(($M278+$P278)&gt;=$N278+$Q278,($O278/2)+$Q278-$N278,"")</calculatedColumnFormula>
      <totalsRowFormula>SUM(S278:S287)</totalsRowFormula>
    </tableColumn>
  </tableColumns>
  <tableStyleInfo name="TableStyleMedium9 2" showFirstColumn="0" showLastColumn="0" showRowStripes="1" showColumnStripes="0"/>
</table>
</file>

<file path=xl/tables/table16.xml><?xml version="1.0" encoding="utf-8"?>
<table xmlns="http://schemas.openxmlformats.org/spreadsheetml/2006/main" id="16" name="Tableau15926" displayName="Tableau15926" ref="A293:S304" totalsRowCount="1" headerRowDxfId="475" dataDxfId="474">
  <autoFilter ref="A293:S303"/>
  <tableColumns count="19">
    <tableColumn id="1" name="Date" dataDxfId="473" totalsRowDxfId="37"/>
    <tableColumn id="2" name="Fournisseur" totalsRowFunction="custom" dataDxfId="472" totalsRowDxfId="36">
      <totalsRowFormula>SUMPRODUCT((B294:B303&lt;&gt;"")/COUNTIF(B294:B303,B294:B303&amp;""))</totalsRowFormula>
    </tableColumn>
    <tableColumn id="3" name="Voyages" totalsRowFunction="custom" dataDxfId="471" totalsRowDxfId="35">
      <totalsRowFormula>COUNTA(Tableau15926[Voyages])</totalsRowFormula>
    </tableColumn>
    <tableColumn id="4" name="Nature des Dépenses" totalsRowFunction="custom" dataDxfId="470" totalsRowDxfId="34">
      <totalsRowFormula>COUNTA(Tableau15926[Nature des Dépenses])</totalsRowFormula>
    </tableColumn>
    <tableColumn id="5" name="Mode de Paiment" dataDxfId="469" totalsRowDxfId="33"/>
    <tableColumn id="6" name="Total Du Poste" totalsRowFunction="custom" dataDxfId="468" totalsRowDxfId="32">
      <calculatedColumnFormula>$J294/J$304</calculatedColumnFormula>
      <totalsRowFormula>SUM(F294:F303)</totalsRowFormula>
    </tableColumn>
    <tableColumn id="7" name="Total Global" totalsRowFunction="custom" dataDxfId="467" totalsRowDxfId="31">
      <calculatedColumnFormula>$J294/J$57</calculatedColumnFormula>
      <totalsRowFormula>SUM(G294:G303)</totalsRowFormula>
    </tableColumn>
    <tableColumn id="8" name="Différence" totalsRowFunction="custom" dataDxfId="466" totalsRowDxfId="30">
      <calculatedColumnFormula>$J294-$I294</calculatedColumnFormula>
      <totalsRowFormula>SUM(H294:H303)</totalsRowFormula>
    </tableColumn>
    <tableColumn id="9" name="Coût prévu" totalsRowFunction="custom" dataDxfId="465" totalsRowDxfId="29">
      <calculatedColumnFormula>$M294+$N294</calculatedColumnFormula>
      <totalsRowFormula>SUM(I294:I303)</totalsRowFormula>
    </tableColumn>
    <tableColumn id="10" name="Coût réel" totalsRowFunction="custom" dataDxfId="464" totalsRowDxfId="28">
      <calculatedColumnFormula>$M294+$N294</calculatedColumnFormula>
      <totalsRowFormula>SUM(J294:J303)</totalsRowFormula>
    </tableColumn>
    <tableColumn id="11" name="TVA" totalsRowFunction="custom" dataDxfId="463" totalsRowDxfId="27">
      <calculatedColumnFormula>IF(($K294)&gt;=$N294+$M294,"",($L294-$M294-$N294))</calculatedColumnFormula>
      <totalsRowFormula>SUM(K294:K303)</totalsRowFormula>
    </tableColumn>
    <tableColumn id="12" name="HT" totalsRowFunction="custom" dataDxfId="462" totalsRowDxfId="26">
      <calculatedColumnFormula>M294+N294-K294</calculatedColumnFormula>
      <totalsRowFormula>SUM(L294:L303)</totalsRowFormula>
    </tableColumn>
    <tableColumn id="13" name="Alexis" totalsRowFunction="custom" dataDxfId="461" totalsRowDxfId="25">
      <totalsRowFormula>SUM(M294:M303)</totalsRowFormula>
    </tableColumn>
    <tableColumn id="14" name="Emeline" totalsRowFunction="custom" dataDxfId="460" totalsRowDxfId="24">
      <totalsRowFormula>SUM(N294:N303)</totalsRowFormula>
    </tableColumn>
    <tableColumn id="15" name="A Partager" totalsRowFunction="custom" dataDxfId="459" totalsRowDxfId="23">
      <calculatedColumnFormula>$J294-($P294+$Q294)</calculatedColumnFormula>
      <totalsRowFormula>SUM(O294:O303)</totalsRowFormula>
    </tableColumn>
    <tableColumn id="16" name="Pour Alexis" totalsRowFunction="custom" dataDxfId="458" totalsRowDxfId="22">
      <totalsRowFormula>SUM(P294:P303)</totalsRowFormula>
    </tableColumn>
    <tableColumn id="17" name="Pour Emeline" totalsRowFunction="custom" dataDxfId="457" totalsRowDxfId="21">
      <totalsRowFormula>SUM(Q294:Q303)</totalsRowFormula>
    </tableColumn>
    <tableColumn id="18" name="DP Alexis" totalsRowFunction="custom" dataDxfId="456" totalsRowDxfId="20">
      <calculatedColumnFormula>IF(($M294+$P294)&gt;=$N294+$Q294,"",($O294/2)+$P294-$M294)</calculatedColumnFormula>
      <totalsRowFormula>SUM(R294:R303)</totalsRowFormula>
    </tableColumn>
    <tableColumn id="19" name="DP Emeline" totalsRowFunction="custom" dataDxfId="455" totalsRowDxfId="19">
      <calculatedColumnFormula>IF(($M294+$P294)&gt;=$N294+$Q294,($O294/2)+$Q294-$N294,"")</calculatedColumnFormula>
      <totalsRowFormula>SUM(S294:S303)</totalsRowFormula>
    </tableColumn>
  </tableColumns>
  <tableStyleInfo name="TableStyleMedium9 2" showFirstColumn="0" showLastColumn="0" showRowStripes="1" showColumnStripes="0"/>
</table>
</file>

<file path=xl/tables/table17.xml><?xml version="1.0" encoding="utf-8"?>
<table xmlns="http://schemas.openxmlformats.org/spreadsheetml/2006/main" id="17" name="Tableau15927" displayName="Tableau15927" ref="A309:S320" totalsRowCount="1" headerRowDxfId="454" dataDxfId="453">
  <autoFilter ref="A309:S319"/>
  <tableColumns count="19">
    <tableColumn id="1" name="Date" dataDxfId="452" totalsRowDxfId="451"/>
    <tableColumn id="2" name="Fournisseur" totalsRowFunction="custom" dataDxfId="450">
      <totalsRowFormula>SUMPRODUCT((B310:B319&lt;&gt;"")/COUNTIF(B310:B319,B310:B319&amp;""))</totalsRowFormula>
    </tableColumn>
    <tableColumn id="3" name="Moto" totalsRowFunction="custom" dataDxfId="449">
      <totalsRowFormula>COUNTA(Tableau15927[Moto])</totalsRowFormula>
    </tableColumn>
    <tableColumn id="4" name="Nature des Dépenses" totalsRowFunction="custom" dataDxfId="448">
      <totalsRowFormula>COUNTA(Tableau15927[Nature des Dépenses])</totalsRowFormula>
    </tableColumn>
    <tableColumn id="5" name="Mode de Paiment" dataDxfId="447"/>
    <tableColumn id="6" name="Total Du Poste" totalsRowFunction="custom" dataDxfId="446" totalsRowDxfId="445">
      <calculatedColumnFormula>$J310/J$320</calculatedColumnFormula>
      <totalsRowFormula>SUM(F310:F319)</totalsRowFormula>
    </tableColumn>
    <tableColumn id="7" name="Total Global" totalsRowFunction="custom" dataDxfId="444" totalsRowDxfId="443">
      <calculatedColumnFormula>$J310/J$57</calculatedColumnFormula>
      <totalsRowFormula>SUM(G310:G319)</totalsRowFormula>
    </tableColumn>
    <tableColumn id="8" name="Différence" totalsRowFunction="custom" dataDxfId="442" totalsRowDxfId="441">
      <calculatedColumnFormula>$J310-$I310</calculatedColumnFormula>
      <totalsRowFormula>SUM(H310:H319)</totalsRowFormula>
    </tableColumn>
    <tableColumn id="9" name="Coût prévu" totalsRowFunction="custom" dataDxfId="440" totalsRowDxfId="439">
      <calculatedColumnFormula>$M310+$N310</calculatedColumnFormula>
      <totalsRowFormula>SUM(I310:I319)</totalsRowFormula>
    </tableColumn>
    <tableColumn id="10" name="Coût réel" totalsRowFunction="custom" dataDxfId="438" totalsRowDxfId="437">
      <calculatedColumnFormula>$M310+$N310</calculatedColumnFormula>
      <totalsRowFormula>SUM(J310:J319)</totalsRowFormula>
    </tableColumn>
    <tableColumn id="11" name="TVA" totalsRowFunction="custom" dataDxfId="436" totalsRowDxfId="435">
      <calculatedColumnFormula>IF(($K310)&gt;=$N310+$M310,"",($L310-$M310-$N310))</calculatedColumnFormula>
      <totalsRowFormula>SUM(K310:K319)</totalsRowFormula>
    </tableColumn>
    <tableColumn id="12" name="HT" totalsRowFunction="custom" dataDxfId="434" totalsRowDxfId="433">
      <calculatedColumnFormula>M310+N310-K310</calculatedColumnFormula>
      <totalsRowFormula>SUM(L310:L319)</totalsRowFormula>
    </tableColumn>
    <tableColumn id="13" name="Alexis" totalsRowFunction="custom" dataDxfId="432" totalsRowDxfId="431">
      <totalsRowFormula>SUM(M310:M319)</totalsRowFormula>
    </tableColumn>
    <tableColumn id="14" name="Emeline" totalsRowFunction="custom" dataDxfId="430" totalsRowDxfId="429">
      <totalsRowFormula>SUM(N310:N319)</totalsRowFormula>
    </tableColumn>
    <tableColumn id="15" name="A Partager" totalsRowFunction="custom" dataDxfId="428" totalsRowDxfId="427">
      <calculatedColumnFormula>$J310-($P310+$Q310)</calculatedColumnFormula>
      <totalsRowFormula>SUM(O310:O319)</totalsRowFormula>
    </tableColumn>
    <tableColumn id="16" name="Pour Alexis" totalsRowFunction="custom" dataDxfId="426" totalsRowDxfId="425">
      <totalsRowFormula>SUM(P310:P319)</totalsRowFormula>
    </tableColumn>
    <tableColumn id="17" name="Pour Emeline" totalsRowFunction="custom" dataDxfId="424" totalsRowDxfId="423">
      <totalsRowFormula>SUM(Q310:Q319)</totalsRowFormula>
    </tableColumn>
    <tableColumn id="18" name="DP Alexis" totalsRowFunction="custom" dataDxfId="422" totalsRowDxfId="421">
      <calculatedColumnFormula>IF(($M310+$P310)&gt;=$N310+$Q310,"",($O310/2)+$P310-$M310)</calculatedColumnFormula>
      <totalsRowFormula>SUM(R310:R319)</totalsRowFormula>
    </tableColumn>
    <tableColumn id="19" name="DP Emeline" totalsRowFunction="custom" dataDxfId="420" totalsRowDxfId="419">
      <calculatedColumnFormula>IF(($M310+$P310)&gt;=$N310+$Q310,($O310/2)+$Q310-$N310,"")</calculatedColumnFormula>
      <totalsRowFormula>SUM(S310:S319)</totalsRowFormula>
    </tableColumn>
  </tableColumns>
  <tableStyleInfo name="TableStyleMedium9 2" showFirstColumn="0" showLastColumn="0" showRowStripes="1" showColumnStripes="0"/>
</table>
</file>

<file path=xl/tables/table18.xml><?xml version="1.0" encoding="utf-8"?>
<table xmlns="http://schemas.openxmlformats.org/spreadsheetml/2006/main" id="18" name="Tableau15929" displayName="Tableau15929" ref="A325:S336" totalsRowCount="1" headerRowDxfId="418" dataDxfId="417">
  <autoFilter ref="A325:S335"/>
  <tableColumns count="19">
    <tableColumn id="1" name="Date" dataDxfId="416" totalsRowDxfId="18"/>
    <tableColumn id="2" name="Fournisseur" totalsRowFunction="custom" dataDxfId="415" totalsRowDxfId="17">
      <totalsRowFormula>SUMPRODUCT((B326:B335&lt;&gt;"")/COUNTIF(B326:B335,B326:B335&amp;""))</totalsRowFormula>
    </tableColumn>
    <tableColumn id="3" name="Cadeaux" totalsRowFunction="custom" dataDxfId="414" totalsRowDxfId="16">
      <totalsRowFormula>COUNTA(Tableau15929[Cadeaux])</totalsRowFormula>
    </tableColumn>
    <tableColumn id="4" name="Nature des Dépenses" totalsRowFunction="custom" dataDxfId="413" totalsRowDxfId="15">
      <totalsRowFormula>COUNTA(Tableau15929[Nature des Dépenses])</totalsRowFormula>
    </tableColumn>
    <tableColumn id="5" name="Mode de Paiment" dataDxfId="412" totalsRowDxfId="14"/>
    <tableColumn id="6" name="Total Du Poste" totalsRowFunction="custom" dataDxfId="411" totalsRowDxfId="13">
      <calculatedColumnFormula>$J326/J$336</calculatedColumnFormula>
      <totalsRowFormula>SUM(F326:F335)</totalsRowFormula>
    </tableColumn>
    <tableColumn id="7" name="Total Global" totalsRowFunction="custom" dataDxfId="410" totalsRowDxfId="12">
      <calculatedColumnFormula>$J326/J$57</calculatedColumnFormula>
      <totalsRowFormula>SUM(G326:G335)</totalsRowFormula>
    </tableColumn>
    <tableColumn id="8" name="Différence" totalsRowFunction="custom" dataDxfId="409" totalsRowDxfId="11">
      <calculatedColumnFormula>$J326-$I326</calculatedColumnFormula>
      <totalsRowFormula>SUM(H326:H335)</totalsRowFormula>
    </tableColumn>
    <tableColumn id="9" name="Coût prévu" totalsRowFunction="custom" dataDxfId="408" totalsRowDxfId="10">
      <calculatedColumnFormula>$M326+$N326</calculatedColumnFormula>
      <totalsRowFormula>SUM(I326:I335)</totalsRowFormula>
    </tableColumn>
    <tableColumn id="10" name="Coût réel" totalsRowFunction="custom" dataDxfId="407" totalsRowDxfId="9">
      <calculatedColumnFormula>$M326+$N326</calculatedColumnFormula>
      <totalsRowFormula>SUM(J326:J335)</totalsRowFormula>
    </tableColumn>
    <tableColumn id="11" name="TVA" totalsRowFunction="custom" dataDxfId="406" totalsRowDxfId="8">
      <calculatedColumnFormula>IF(($K326)&gt;=$N326+$M326,"",($L326-$M326-$N326))</calculatedColumnFormula>
      <totalsRowFormula>SUM(K326:K335)</totalsRowFormula>
    </tableColumn>
    <tableColumn id="12" name="HT" totalsRowFunction="custom" dataDxfId="405" totalsRowDxfId="7">
      <calculatedColumnFormula>M326+N326-K326</calculatedColumnFormula>
      <totalsRowFormula>SUM(L326:L335)</totalsRowFormula>
    </tableColumn>
    <tableColumn id="13" name="Alexis" totalsRowFunction="custom" dataDxfId="404" totalsRowDxfId="6">
      <totalsRowFormula>SUM(M326:M335)</totalsRowFormula>
    </tableColumn>
    <tableColumn id="14" name="Emeline" totalsRowFunction="custom" dataDxfId="403" totalsRowDxfId="5">
      <totalsRowFormula>SUM(N326:N335)</totalsRowFormula>
    </tableColumn>
    <tableColumn id="15" name="A Partager" totalsRowFunction="custom" dataDxfId="402" totalsRowDxfId="4">
      <calculatedColumnFormula>$J326-($P326+$Q326)</calculatedColumnFormula>
      <totalsRowFormula>SUM(O326:O335)</totalsRowFormula>
    </tableColumn>
    <tableColumn id="16" name="Pour Alexis" totalsRowFunction="custom" dataDxfId="401" totalsRowDxfId="3">
      <totalsRowFormula>SUM(P326:P335)</totalsRowFormula>
    </tableColumn>
    <tableColumn id="17" name="Pour Emeline" totalsRowFunction="custom" dataDxfId="400" totalsRowDxfId="2">
      <totalsRowFormula>SUM(Q326:Q335)</totalsRowFormula>
    </tableColumn>
    <tableColumn id="18" name="DP Alexis" totalsRowFunction="custom" dataDxfId="399" totalsRowDxfId="1">
      <calculatedColumnFormula>IF(($M326+$P326)&gt;=$N326+$Q326,"",($O326/2)+$P326-$M326)</calculatedColumnFormula>
      <totalsRowFormula>SUM(R326:R335)</totalsRowFormula>
    </tableColumn>
    <tableColumn id="19" name="DP Emeline" totalsRowFunction="custom" dataDxfId="398" totalsRowDxfId="0">
      <calculatedColumnFormula>IF(($M326+$P326)&gt;=$N326+$Q326,($O326/2)+$Q326-$N326,"")</calculatedColumnFormula>
      <totalsRowFormula>SUM(S326:S335)</totalsRowFormula>
    </tableColumn>
  </tableColumns>
  <tableStyleInfo name="TableStyleMedium9 2" showFirstColumn="0" showLastColumn="0" showRowStripes="1" showColumnStripes="0"/>
</table>
</file>

<file path=xl/tables/table19.xml><?xml version="1.0" encoding="utf-8"?>
<table xmlns="http://schemas.openxmlformats.org/spreadsheetml/2006/main" id="19" name="Tableau15931" displayName="Tableau15931" ref="A341:S352" totalsRowCount="1" headerRowDxfId="397" dataDxfId="396">
  <autoFilter ref="A341:S351"/>
  <tableColumns count="19">
    <tableColumn id="1" name="Date" dataDxfId="395" totalsRowDxfId="394"/>
    <tableColumn id="2" name="Fournisseur" totalsRowFunction="custom" dataDxfId="393">
      <totalsRowFormula>SUMPRODUCT((B342:B351&lt;&gt;"")/COUNTIF(B342:B351,B342:B351&amp;""))</totalsRowFormula>
    </tableColumn>
    <tableColumn id="3" name="Soins Médicaux" totalsRowFunction="custom" dataDxfId="392">
      <totalsRowFormula>COUNTA(Tableau15931[Soins Médicaux])</totalsRowFormula>
    </tableColumn>
    <tableColumn id="4" name="Nature des Dépenses" totalsRowFunction="custom" dataDxfId="391">
      <totalsRowFormula>COUNTA(Tableau15931[Nature des Dépenses])</totalsRowFormula>
    </tableColumn>
    <tableColumn id="5" name="Mode de Paiment" dataDxfId="390"/>
    <tableColumn id="6" name="Total Du Poste" totalsRowFunction="custom" dataDxfId="389" totalsRowDxfId="388">
      <calculatedColumnFormula>$J342/J$352</calculatedColumnFormula>
      <totalsRowFormula>SUM(F342:F351)</totalsRowFormula>
    </tableColumn>
    <tableColumn id="7" name="Total Global" totalsRowFunction="custom" dataDxfId="387" totalsRowDxfId="386">
      <calculatedColumnFormula>$J342/J$57</calculatedColumnFormula>
      <totalsRowFormula>SUM(G342:G351)</totalsRowFormula>
    </tableColumn>
    <tableColumn id="8" name="Différence" totalsRowFunction="custom" dataDxfId="385" totalsRowDxfId="384">
      <calculatedColumnFormula>$J342-$I342</calculatedColumnFormula>
      <totalsRowFormula>SUM(H342:H351)</totalsRowFormula>
    </tableColumn>
    <tableColumn id="9" name="Coût prévu" totalsRowFunction="custom" dataDxfId="383" totalsRowDxfId="382">
      <calculatedColumnFormula>$M342+$N342</calculatedColumnFormula>
      <totalsRowFormula>SUM(I342:I351)</totalsRowFormula>
    </tableColumn>
    <tableColumn id="10" name="Coût réel" totalsRowFunction="custom" dataDxfId="381" totalsRowDxfId="380">
      <calculatedColumnFormula>$M342+$N342</calculatedColumnFormula>
      <totalsRowFormula>SUM(J342:J351)</totalsRowFormula>
    </tableColumn>
    <tableColumn id="11" name="TVA" totalsRowFunction="custom" dataDxfId="379" totalsRowDxfId="378">
      <calculatedColumnFormula>IF(($K342)&gt;=$N342+$M342,"",($L342-$M342-$N342))</calculatedColumnFormula>
      <totalsRowFormula>SUM(K342:K351)</totalsRowFormula>
    </tableColumn>
    <tableColumn id="12" name="HT" totalsRowFunction="custom" dataDxfId="377" totalsRowDxfId="376">
      <calculatedColumnFormula>M342+N342-K342</calculatedColumnFormula>
      <totalsRowFormula>SUM(L342:L351)</totalsRowFormula>
    </tableColumn>
    <tableColumn id="13" name="Alexis" totalsRowFunction="custom" dataDxfId="375" totalsRowDxfId="374">
      <totalsRowFormula>SUM(M342:M351)</totalsRowFormula>
    </tableColumn>
    <tableColumn id="14" name="Emeline" totalsRowFunction="custom" dataDxfId="373" totalsRowDxfId="372">
      <totalsRowFormula>SUM(N342:N351)</totalsRowFormula>
    </tableColumn>
    <tableColumn id="15" name="A Partager" totalsRowFunction="custom" dataDxfId="371" totalsRowDxfId="370">
      <calculatedColumnFormula>$J342-($P342+$Q342)</calculatedColumnFormula>
      <totalsRowFormula>SUM(O342:O351)</totalsRowFormula>
    </tableColumn>
    <tableColumn id="16" name="Pour Alexis" totalsRowFunction="custom" dataDxfId="369" totalsRowDxfId="368">
      <totalsRowFormula>SUM(P342:P351)</totalsRowFormula>
    </tableColumn>
    <tableColumn id="17" name="Pour Emeline" totalsRowFunction="custom" dataDxfId="367" totalsRowDxfId="366">
      <totalsRowFormula>SUM(Q342:Q351)</totalsRowFormula>
    </tableColumn>
    <tableColumn id="18" name="DP Alexis" totalsRowFunction="custom" dataDxfId="365" totalsRowDxfId="364">
      <calculatedColumnFormula>IF(($M342+$P342)&gt;=$N342+$Q342,"",($O342/2)+$P342-$M342)</calculatedColumnFormula>
      <totalsRowFormula>SUM(R342:R351)</totalsRowFormula>
    </tableColumn>
    <tableColumn id="19" name="DP Emeline" totalsRowFunction="custom" dataDxfId="363" totalsRowDxfId="362">
      <calculatedColumnFormula>IF(($M342+$P342)&gt;=$N342+$Q342,($O342/2)+$Q342-$N342,"")</calculatedColumnFormula>
      <totalsRowFormula>SUM(S342:S351)</totalsRowFormula>
    </tableColumn>
  </tableColumns>
  <tableStyleInfo name="TableStyleMedium9 2" showFirstColumn="0" showLastColumn="0" showRowStripes="1" showColumnStripes="0"/>
</table>
</file>

<file path=xl/tables/table20.xml><?xml version="1.0" encoding="utf-8"?>
<table xmlns="http://schemas.openxmlformats.org/spreadsheetml/2006/main" id="20" name="Tableau15933" displayName="Tableau15933" ref="A357:S368" totalsRowCount="1" headerRowDxfId="361" dataDxfId="360">
  <autoFilter ref="A357:S367"/>
  <tableColumns count="19">
    <tableColumn id="1" name="Date" dataDxfId="359" totalsRowDxfId="358"/>
    <tableColumn id="2" name="Fournisseur" totalsRowFunction="custom" dataDxfId="357">
      <totalsRowFormula>SUMPRODUCT((B358:B367&lt;&gt;"")/COUNTIF(B358:B367,B358:B367&amp;""))</totalsRowFormula>
    </tableColumn>
    <tableColumn id="3" name="Soins de la personne" totalsRowFunction="custom" dataDxfId="356">
      <totalsRowFormula>COUNTA(Tableau15933[Soins de la personne])</totalsRowFormula>
    </tableColumn>
    <tableColumn id="4" name="Nature des Dépenses" totalsRowFunction="custom" dataDxfId="355">
      <totalsRowFormula>COUNTA(Tableau15933[Nature des Dépenses])</totalsRowFormula>
    </tableColumn>
    <tableColumn id="5" name="Mode de Paiment" dataDxfId="354"/>
    <tableColumn id="6" name="Total Du Poste" totalsRowFunction="custom" dataDxfId="353" totalsRowDxfId="352">
      <calculatedColumnFormula>$J358/J$368</calculatedColumnFormula>
      <totalsRowFormula>SUM(F358:F367)</totalsRowFormula>
    </tableColumn>
    <tableColumn id="7" name="Total Global" totalsRowFunction="custom" dataDxfId="351" totalsRowDxfId="350">
      <calculatedColumnFormula>$J358/J$57</calculatedColumnFormula>
      <totalsRowFormula>SUM(G358:G367)</totalsRowFormula>
    </tableColumn>
    <tableColumn id="8" name="Différence" totalsRowFunction="custom" dataDxfId="349" totalsRowDxfId="348">
      <calculatedColumnFormula>$J358-$I358</calculatedColumnFormula>
      <totalsRowFormula>SUM(H358:H367)</totalsRowFormula>
    </tableColumn>
    <tableColumn id="9" name="Coût prévu" totalsRowFunction="custom" dataDxfId="347" totalsRowDxfId="346">
      <calculatedColumnFormula>$M358+$N358</calculatedColumnFormula>
      <totalsRowFormula>SUM(I358:I367)</totalsRowFormula>
    </tableColumn>
    <tableColumn id="10" name="Coût réel" totalsRowFunction="custom" dataDxfId="345" totalsRowDxfId="344">
      <calculatedColumnFormula>$M358+$N358</calculatedColumnFormula>
      <totalsRowFormula>SUM(J358:J367)</totalsRowFormula>
    </tableColumn>
    <tableColumn id="11" name="TVA" totalsRowFunction="custom" dataDxfId="343" totalsRowDxfId="342">
      <calculatedColumnFormula>IF(($K358)&gt;=$N358+$M358,"",($L358-$M358-$N358))</calculatedColumnFormula>
      <totalsRowFormula>SUM(K358:K367)</totalsRowFormula>
    </tableColumn>
    <tableColumn id="12" name="HT" totalsRowFunction="custom" dataDxfId="341" totalsRowDxfId="340">
      <calculatedColumnFormula>M358+N358-K358</calculatedColumnFormula>
      <totalsRowFormula>SUM(L358:L367)</totalsRowFormula>
    </tableColumn>
    <tableColumn id="13" name="Alexis" totalsRowFunction="custom" dataDxfId="339" totalsRowDxfId="338">
      <totalsRowFormula>SUM(M358:M367)</totalsRowFormula>
    </tableColumn>
    <tableColumn id="14" name="Emeline" totalsRowFunction="custom" dataDxfId="337" totalsRowDxfId="336">
      <totalsRowFormula>SUM(N358:N367)</totalsRowFormula>
    </tableColumn>
    <tableColumn id="15" name="A Partager" totalsRowFunction="custom" dataDxfId="335" totalsRowDxfId="334">
      <calculatedColumnFormula>$J358-($P358+$Q358)</calculatedColumnFormula>
      <totalsRowFormula>SUM(O358:O367)</totalsRowFormula>
    </tableColumn>
    <tableColumn id="16" name="Pour Alexis" totalsRowFunction="custom" dataDxfId="333" totalsRowDxfId="332">
      <totalsRowFormula>SUM(P358:P367)</totalsRowFormula>
    </tableColumn>
    <tableColumn id="17" name="Pour Emeline" totalsRowFunction="custom" dataDxfId="331" totalsRowDxfId="330">
      <totalsRowFormula>SUM(Q358:Q367)</totalsRowFormula>
    </tableColumn>
    <tableColumn id="18" name="DP Alexis" totalsRowFunction="custom" dataDxfId="329" totalsRowDxfId="328">
      <calculatedColumnFormula>IF(($M358+$P358)&gt;=$N358+$Q358,"",($O358/2)+$P358-$M358)</calculatedColumnFormula>
      <totalsRowFormula>SUM(R358:R367)</totalsRowFormula>
    </tableColumn>
    <tableColumn id="19" name="DP Emeline" totalsRowFunction="custom" dataDxfId="327" totalsRowDxfId="326">
      <calculatedColumnFormula>IF(($M358+$P358)&gt;=$N358+$Q358,($O358/2)+$Q358-$N358,"")</calculatedColumnFormula>
      <totalsRowFormula>SUM(S358:S367)</totalsRowFormula>
    </tableColumn>
  </tableColumns>
  <tableStyleInfo name="TableStyleMedium9 2" showFirstColumn="0" showLastColumn="0" showRowStripes="1" showColumnStripes="0"/>
</table>
</file>

<file path=xl/tables/table21.xml><?xml version="1.0" encoding="utf-8"?>
<table xmlns="http://schemas.openxmlformats.org/spreadsheetml/2006/main" id="21" name="Tableau15935" displayName="Tableau15935" ref="A373:S384" totalsRowCount="1" headerRowDxfId="325" dataDxfId="324">
  <autoFilter ref="A373:S383"/>
  <tableColumns count="19">
    <tableColumn id="1" name="Date" dataDxfId="323" totalsRowDxfId="322"/>
    <tableColumn id="2" name="Fournisseur" totalsRowFunction="custom" dataDxfId="321">
      <totalsRowFormula>SUMPRODUCT((B374:B383&lt;&gt;"")/COUNTIF(B374:B383,B374:B383&amp;""))</totalsRowFormula>
    </tableColumn>
    <tableColumn id="3" name="Erotisme" totalsRowFunction="custom" dataDxfId="320">
      <totalsRowFormula>COUNTA(Tableau15935[Erotisme])</totalsRowFormula>
    </tableColumn>
    <tableColumn id="4" name="Nature des Dépenses" totalsRowFunction="custom" dataDxfId="319">
      <totalsRowFormula>COUNTA(Tableau15935[Nature des Dépenses])</totalsRowFormula>
    </tableColumn>
    <tableColumn id="5" name="Mode de Paiment" dataDxfId="318"/>
    <tableColumn id="6" name="Total Du Poste" totalsRowFunction="custom" dataDxfId="317" totalsRowDxfId="316">
      <calculatedColumnFormula>$J374/J$384</calculatedColumnFormula>
      <totalsRowFormula>SUM(F374:F383)</totalsRowFormula>
    </tableColumn>
    <tableColumn id="7" name="Total Global" totalsRowFunction="custom" dataDxfId="315" totalsRowDxfId="314">
      <calculatedColumnFormula>$J374/J$57</calculatedColumnFormula>
      <totalsRowFormula>SUM(G374:G383)</totalsRowFormula>
    </tableColumn>
    <tableColumn id="8" name="Différence" totalsRowFunction="custom" dataDxfId="313" totalsRowDxfId="312">
      <calculatedColumnFormula>$J374-$I374</calculatedColumnFormula>
      <totalsRowFormula>SUM(H374:H383)</totalsRowFormula>
    </tableColumn>
    <tableColumn id="9" name="Coût prévu" totalsRowFunction="custom" dataDxfId="311" totalsRowDxfId="310">
      <calculatedColumnFormula>$M374+$N374</calculatedColumnFormula>
      <totalsRowFormula>SUM(I374:I383)</totalsRowFormula>
    </tableColumn>
    <tableColumn id="10" name="Coût réel" totalsRowFunction="custom" dataDxfId="309" totalsRowDxfId="308">
      <calculatedColumnFormula>$M374+$N374</calculatedColumnFormula>
      <totalsRowFormula>SUM(J374:J383)</totalsRowFormula>
    </tableColumn>
    <tableColumn id="11" name="TVA" totalsRowFunction="custom" dataDxfId="307" totalsRowDxfId="306">
      <calculatedColumnFormula>IF(($K374)&gt;=$N374+$M374,"",($L374-$M374-$N374))</calculatedColumnFormula>
      <totalsRowFormula>SUM(K374:K383)</totalsRowFormula>
    </tableColumn>
    <tableColumn id="12" name="HT" totalsRowFunction="custom" dataDxfId="305" totalsRowDxfId="304">
      <calculatedColumnFormula>M374+N374-K374</calculatedColumnFormula>
      <totalsRowFormula>SUM(L374:L383)</totalsRowFormula>
    </tableColumn>
    <tableColumn id="13" name="Alexis" totalsRowFunction="custom" dataDxfId="303" totalsRowDxfId="302">
      <totalsRowFormula>SUM(M374:M383)</totalsRowFormula>
    </tableColumn>
    <tableColumn id="14" name="Emeline" totalsRowFunction="custom" dataDxfId="301" totalsRowDxfId="300">
      <totalsRowFormula>SUM(N374:N383)</totalsRowFormula>
    </tableColumn>
    <tableColumn id="15" name="A Partager" totalsRowFunction="custom" dataDxfId="299" totalsRowDxfId="298">
      <calculatedColumnFormula>$J374-($P374+$Q374)</calculatedColumnFormula>
      <totalsRowFormula>SUM(O374:O383)</totalsRowFormula>
    </tableColumn>
    <tableColumn id="16" name="Pour Alexis" totalsRowFunction="custom" dataDxfId="297" totalsRowDxfId="296">
      <totalsRowFormula>SUM(P374:P383)</totalsRowFormula>
    </tableColumn>
    <tableColumn id="17" name="Pour Emeline" totalsRowFunction="custom" dataDxfId="295" totalsRowDxfId="294">
      <totalsRowFormula>SUM(Q374:Q383)</totalsRowFormula>
    </tableColumn>
    <tableColumn id="18" name="DP Alexis" totalsRowFunction="custom" dataDxfId="293" totalsRowDxfId="292">
      <calculatedColumnFormula>IF(($M374+$P374)&gt;=$N374+$Q374,"",($O374/2)+$P374-$M374)</calculatedColumnFormula>
      <totalsRowFormula>SUM(R374:R383)</totalsRowFormula>
    </tableColumn>
    <tableColumn id="19" name="DP Emeline" totalsRowFunction="custom" dataDxfId="291" totalsRowDxfId="290">
      <calculatedColumnFormula>IF(($M374+$P374)&gt;=$N374+$Q374,($O374/2)+$Q374-$N374,"")</calculatedColumnFormula>
      <totalsRowFormula>SUM(S374:S383)</totalsRowFormula>
    </tableColumn>
  </tableColumns>
  <tableStyleInfo name="TableStyleMedium9 2" showFirstColumn="0" showLastColumn="0" showRowStripes="1" showColumnStripes="0"/>
</table>
</file>

<file path=xl/tables/table22.xml><?xml version="1.0" encoding="utf-8"?>
<table xmlns="http://schemas.openxmlformats.org/spreadsheetml/2006/main" id="22" name="Tableau15936" displayName="Tableau15936" ref="A389:S400" totalsRowCount="1" headerRowDxfId="289" dataDxfId="288">
  <autoFilter ref="A389:S399"/>
  <tableColumns count="19">
    <tableColumn id="1" name="Date" dataDxfId="287" totalsRowDxfId="286"/>
    <tableColumn id="2" name="Fournisseur" totalsRowFunction="custom" dataDxfId="285">
      <totalsRowFormula>SUMPRODUCT((B390:B399&lt;&gt;"")/COUNTIF(B390:B399,B390:B399&amp;""))</totalsRowFormula>
    </tableColumn>
    <tableColumn id="3" name="Habillement" totalsRowFunction="custom" dataDxfId="284">
      <totalsRowFormula>COUNTA(Tableau15936[Habillement])</totalsRowFormula>
    </tableColumn>
    <tableColumn id="4" name="Nature des Dépenses" totalsRowFunction="custom" dataDxfId="283">
      <totalsRowFormula>COUNTA(Tableau15936[Nature des Dépenses])</totalsRowFormula>
    </tableColumn>
    <tableColumn id="5" name="Mode de Paiment" dataDxfId="282"/>
    <tableColumn id="6" name="Total Du Poste" totalsRowFunction="custom" dataDxfId="281" totalsRowDxfId="280">
      <calculatedColumnFormula>$J390/J$400</calculatedColumnFormula>
      <totalsRowFormula>SUM(F390:F399)</totalsRowFormula>
    </tableColumn>
    <tableColumn id="7" name="Total Global" totalsRowFunction="custom" dataDxfId="279" totalsRowDxfId="278">
      <calculatedColumnFormula>$J390/J$57</calculatedColumnFormula>
      <totalsRowFormula>SUM(G390:G399)</totalsRowFormula>
    </tableColumn>
    <tableColumn id="8" name="Différence" totalsRowFunction="custom" dataDxfId="277" totalsRowDxfId="276">
      <calculatedColumnFormula>$J390-$I390</calculatedColumnFormula>
      <totalsRowFormula>SUM(H390:H399)</totalsRowFormula>
    </tableColumn>
    <tableColumn id="9" name="Coût prévu" totalsRowFunction="custom" dataDxfId="275" totalsRowDxfId="274">
      <calculatedColumnFormula>$M390+$N390</calculatedColumnFormula>
      <totalsRowFormula>SUM(I390:I399)</totalsRowFormula>
    </tableColumn>
    <tableColumn id="10" name="Coût réel" totalsRowFunction="custom" dataDxfId="273" totalsRowDxfId="272">
      <calculatedColumnFormula>$M390+$N390</calculatedColumnFormula>
      <totalsRowFormula>SUM(J390:J399)</totalsRowFormula>
    </tableColumn>
    <tableColumn id="11" name="TVA" totalsRowFunction="custom" dataDxfId="271" totalsRowDxfId="270">
      <calculatedColumnFormula>IF(($K390)&gt;=$N390+$M390,"",($L390-$M390-$N390))</calculatedColumnFormula>
      <totalsRowFormula>SUM(K390:K399)</totalsRowFormula>
    </tableColumn>
    <tableColumn id="12" name="HT" totalsRowFunction="custom" dataDxfId="269" totalsRowDxfId="268">
      <calculatedColumnFormula>M390+N390-K390</calculatedColumnFormula>
      <totalsRowFormula>SUM(L390:L399)</totalsRowFormula>
    </tableColumn>
    <tableColumn id="13" name="Alexis" totalsRowFunction="custom" dataDxfId="267" totalsRowDxfId="266">
      <totalsRowFormula>SUM(M390:M399)</totalsRowFormula>
    </tableColumn>
    <tableColumn id="14" name="Emeline" totalsRowFunction="custom" dataDxfId="265" totalsRowDxfId="264">
      <totalsRowFormula>SUM(N390:N399)</totalsRowFormula>
    </tableColumn>
    <tableColumn id="15" name="A Partager" totalsRowFunction="custom" dataDxfId="263" totalsRowDxfId="262">
      <calculatedColumnFormula>$J390-($P390+$Q390)</calculatedColumnFormula>
      <totalsRowFormula>SUM(O390:O399)</totalsRowFormula>
    </tableColumn>
    <tableColumn id="16" name="Pour Alexis" totalsRowFunction="custom" dataDxfId="261" totalsRowDxfId="260">
      <totalsRowFormula>SUM(P390:P399)</totalsRowFormula>
    </tableColumn>
    <tableColumn id="17" name="Pour Emeline" totalsRowFunction="custom" dataDxfId="259" totalsRowDxfId="258">
      <totalsRowFormula>SUM(Q390:Q399)</totalsRowFormula>
    </tableColumn>
    <tableColumn id="18" name="DP Alexis" totalsRowFunction="custom" dataDxfId="257" totalsRowDxfId="256">
      <calculatedColumnFormula>IF(($M390+$P390)&gt;=$N390+$Q390,"",($O390/2)+$P390-$M390)</calculatedColumnFormula>
      <totalsRowFormula>SUM(R390:R399)</totalsRowFormula>
    </tableColumn>
    <tableColumn id="19" name="DP Emeline" totalsRowFunction="custom" dataDxfId="255" totalsRowDxfId="254">
      <calculatedColumnFormula>IF(($M390+$P390)&gt;=$N390+$Q390,($O390/2)+$Q390-$N390,"")</calculatedColumnFormula>
      <totalsRowFormula>SUM(S390:S399)</totalsRowFormula>
    </tableColumn>
  </tableColumns>
  <tableStyleInfo name="TableStyleMedium9 2" showFirstColumn="0" showLastColumn="0" showRowStripes="1" showColumnStripes="0"/>
</table>
</file>

<file path=xl/tables/table23.xml><?xml version="1.0" encoding="utf-8"?>
<table xmlns="http://schemas.openxmlformats.org/spreadsheetml/2006/main" id="23" name="Tableau15938" displayName="Tableau15938" ref="A405:S416" totalsRowCount="1" headerRowDxfId="253" dataDxfId="252">
  <autoFilter ref="A405:S415"/>
  <tableColumns count="19">
    <tableColumn id="1" name="Date" dataDxfId="251" totalsRowDxfId="250"/>
    <tableColumn id="2" name="Fournisseur" totalsRowFunction="custom" dataDxfId="249">
      <totalsRowFormula>SUMPRODUCT((B406:B415&lt;&gt;"")/COUNTIF(B406:B415,B406:B415&amp;""))</totalsRowFormula>
    </tableColumn>
    <tableColumn id="3" name="Mobilier" totalsRowFunction="custom" dataDxfId="248">
      <totalsRowFormula>COUNTA(Tableau15938[Mobilier])</totalsRowFormula>
    </tableColumn>
    <tableColumn id="4" name="Nature des Dépenses" totalsRowFunction="custom" dataDxfId="247">
      <totalsRowFormula>COUNTA(Tableau15938[Nature des Dépenses])</totalsRowFormula>
    </tableColumn>
    <tableColumn id="5" name="Mode de Paiment" dataDxfId="246"/>
    <tableColumn id="6" name="Total Du Poste" totalsRowFunction="custom" dataDxfId="245" totalsRowDxfId="244">
      <calculatedColumnFormula>$J406/J$416</calculatedColumnFormula>
      <totalsRowFormula>SUM(F406:F415)</totalsRowFormula>
    </tableColumn>
    <tableColumn id="7" name="Total Global" totalsRowFunction="custom" dataDxfId="243" totalsRowDxfId="242">
      <calculatedColumnFormula>$J406/J$57</calculatedColumnFormula>
      <totalsRowFormula>SUM(G406:G415)</totalsRowFormula>
    </tableColumn>
    <tableColumn id="8" name="Différence" totalsRowFunction="custom" dataDxfId="241" totalsRowDxfId="240">
      <calculatedColumnFormula>$J406-$I406</calculatedColumnFormula>
      <totalsRowFormula>SUM(H406:H415)</totalsRowFormula>
    </tableColumn>
    <tableColumn id="9" name="Coût prévu" totalsRowFunction="custom" dataDxfId="239" totalsRowDxfId="238">
      <calculatedColumnFormula>$M406+$N406</calculatedColumnFormula>
      <totalsRowFormula>SUM(I406:I415)</totalsRowFormula>
    </tableColumn>
    <tableColumn id="10" name="Coût réel" totalsRowFunction="custom" dataDxfId="237" totalsRowDxfId="236">
      <calculatedColumnFormula>$M406+$N406</calculatedColumnFormula>
      <totalsRowFormula>SUM(J406:J415)</totalsRowFormula>
    </tableColumn>
    <tableColumn id="11" name="TVA" totalsRowFunction="custom" dataDxfId="235" totalsRowDxfId="234">
      <calculatedColumnFormula>IF(($K406)&gt;=$N406+$M406,"",($L406-$M406-$N406))</calculatedColumnFormula>
      <totalsRowFormula>SUM(K406:K415)</totalsRowFormula>
    </tableColumn>
    <tableColumn id="12" name="HT" totalsRowFunction="custom" dataDxfId="233" totalsRowDxfId="232">
      <calculatedColumnFormula>M406+N406-K406</calculatedColumnFormula>
      <totalsRowFormula>SUM(L406:L415)</totalsRowFormula>
    </tableColumn>
    <tableColumn id="13" name="Alexis" totalsRowFunction="custom" dataDxfId="231" totalsRowDxfId="230">
      <totalsRowFormula>SUM(M406:M415)</totalsRowFormula>
    </tableColumn>
    <tableColumn id="14" name="Emeline" totalsRowFunction="custom" dataDxfId="229" totalsRowDxfId="228">
      <totalsRowFormula>SUM(N406:N415)</totalsRowFormula>
    </tableColumn>
    <tableColumn id="15" name="A Partager" totalsRowFunction="custom" dataDxfId="227" totalsRowDxfId="226">
      <calculatedColumnFormula>$J406-($P406+$Q406)</calculatedColumnFormula>
      <totalsRowFormula>SUM(O406:O415)</totalsRowFormula>
    </tableColumn>
    <tableColumn id="16" name="Pour Alexis" totalsRowFunction="custom" dataDxfId="225" totalsRowDxfId="224">
      <totalsRowFormula>SUM(P406:P415)</totalsRowFormula>
    </tableColumn>
    <tableColumn id="17" name="Pour Emeline" totalsRowFunction="custom" dataDxfId="223" totalsRowDxfId="222">
      <totalsRowFormula>SUM(Q406:Q415)</totalsRowFormula>
    </tableColumn>
    <tableColumn id="18" name="DP Alexis" totalsRowFunction="custom" dataDxfId="221" totalsRowDxfId="220">
      <calculatedColumnFormula>IF(($M406+$P406)&gt;=$N406+$Q406,"",($O406/2)+$P406-$M406)</calculatedColumnFormula>
      <totalsRowFormula>SUM(R406:R415)</totalsRowFormula>
    </tableColumn>
    <tableColumn id="19" name="DP Emeline" totalsRowFunction="custom" dataDxfId="219" totalsRowDxfId="218">
      <calculatedColumnFormula>IF(($M406+$P406)&gt;=$N406+$Q406,($O406/2)+$Q406-$N406,"")</calculatedColumnFormula>
      <totalsRowFormula>SUM(S406:S415)</totalsRowFormula>
    </tableColumn>
  </tableColumns>
  <tableStyleInfo name="TableStyleMedium9 2" showFirstColumn="0" showLastColumn="0" showRowStripes="1" showColumnStripes="0"/>
</table>
</file>

<file path=xl/tables/table24.xml><?xml version="1.0" encoding="utf-8"?>
<table xmlns="http://schemas.openxmlformats.org/spreadsheetml/2006/main" id="24" name="Tableau15940" displayName="Tableau15940" ref="A421:S432" totalsRowCount="1" headerRowDxfId="217" dataDxfId="216">
  <autoFilter ref="A421:S431"/>
  <tableColumns count="19">
    <tableColumn id="1" name="Date" dataDxfId="215" totalsRowDxfId="214"/>
    <tableColumn id="2" name="Fournisseur" totalsRowFunction="custom" dataDxfId="213">
      <totalsRowFormula>SUMPRODUCT((B422:B431&lt;&gt;"")/COUNTIF(B422:B431,B422:B431&amp;""))</totalsRowFormula>
    </tableColumn>
    <tableColumn id="3" name="Travaux" totalsRowFunction="custom" dataDxfId="212">
      <totalsRowFormula>COUNTA(Tableau15940[Travaux])</totalsRowFormula>
    </tableColumn>
    <tableColumn id="4" name="Nature des Dépenses" totalsRowFunction="custom" dataDxfId="211">
      <totalsRowFormula>COUNTA(Tableau15940[Nature des Dépenses])</totalsRowFormula>
    </tableColumn>
    <tableColumn id="5" name="Mode de Paiment" dataDxfId="210"/>
    <tableColumn id="6" name="Total Du Poste" totalsRowFunction="custom" dataDxfId="209" totalsRowDxfId="208">
      <calculatedColumnFormula>$J422/J$432</calculatedColumnFormula>
      <totalsRowFormula>SUM(F422:F431)</totalsRowFormula>
    </tableColumn>
    <tableColumn id="7" name="Total Global" totalsRowFunction="custom" dataDxfId="207" totalsRowDxfId="206">
      <calculatedColumnFormula>$J422/J$57</calculatedColumnFormula>
      <totalsRowFormula>SUM(G422:G431)</totalsRowFormula>
    </tableColumn>
    <tableColumn id="8" name="Différence" totalsRowFunction="custom" dataDxfId="205" totalsRowDxfId="204">
      <calculatedColumnFormula>$J422-$I422</calculatedColumnFormula>
      <totalsRowFormula>SUM(H422:H431)</totalsRowFormula>
    </tableColumn>
    <tableColumn id="9" name="Coût prévu" totalsRowFunction="custom" dataDxfId="203" totalsRowDxfId="202">
      <calculatedColumnFormula>$M422+$N422</calculatedColumnFormula>
      <totalsRowFormula>SUM(I422:I431)</totalsRowFormula>
    </tableColumn>
    <tableColumn id="10" name="Coût réel" totalsRowFunction="custom" dataDxfId="201" totalsRowDxfId="200">
      <calculatedColumnFormula>$M422+$N422</calculatedColumnFormula>
      <totalsRowFormula>SUM(J422:J431)</totalsRowFormula>
    </tableColumn>
    <tableColumn id="11" name="TVA" totalsRowFunction="custom" dataDxfId="199" totalsRowDxfId="198">
      <calculatedColumnFormula>IF(($K422)&gt;=$N422+$M422,"",($L422-$M422-$N422))</calculatedColumnFormula>
      <totalsRowFormula>SUM(K422:K431)</totalsRowFormula>
    </tableColumn>
    <tableColumn id="12" name="HT" totalsRowFunction="custom" dataDxfId="197" totalsRowDxfId="196">
      <calculatedColumnFormula>M422+N422-K422</calculatedColumnFormula>
      <totalsRowFormula>SUM(L422:L431)</totalsRowFormula>
    </tableColumn>
    <tableColumn id="13" name="Alexis" totalsRowFunction="custom" dataDxfId="195" totalsRowDxfId="194">
      <totalsRowFormula>SUM(M422:M431)</totalsRowFormula>
    </tableColumn>
    <tableColumn id="14" name="Emeline" totalsRowFunction="custom" dataDxfId="193" totalsRowDxfId="192">
      <totalsRowFormula>SUM(N422:N431)</totalsRowFormula>
    </tableColumn>
    <tableColumn id="15" name="A Partager" totalsRowFunction="custom" dataDxfId="191" totalsRowDxfId="190">
      <calculatedColumnFormula>$J422-($P422+$Q422)</calculatedColumnFormula>
      <totalsRowFormula>SUM(O422:O431)</totalsRowFormula>
    </tableColumn>
    <tableColumn id="16" name="Pour Alexis" totalsRowFunction="custom" dataDxfId="189" totalsRowDxfId="188">
      <totalsRowFormula>SUM(P422:P431)</totalsRowFormula>
    </tableColumn>
    <tableColumn id="17" name="Pour Emeline" totalsRowFunction="custom" dataDxfId="187" totalsRowDxfId="186">
      <totalsRowFormula>SUM(Q422:Q431)</totalsRowFormula>
    </tableColumn>
    <tableColumn id="18" name="DP Alexis" totalsRowFunction="custom" dataDxfId="185" totalsRowDxfId="184">
      <calculatedColumnFormula>IF(($M422+$P422)&gt;=$N422+$Q422,"",($O422/2)+$P422-$M422)</calculatedColumnFormula>
      <totalsRowFormula>SUM(R422:R431)</totalsRowFormula>
    </tableColumn>
    <tableColumn id="19" name="DP Emeline" totalsRowFunction="custom" dataDxfId="183" totalsRowDxfId="182">
      <calculatedColumnFormula>IF(($M422+$P422)&gt;=$N422+$Q422,($O422/2)+$Q422-$N422,"")</calculatedColumnFormula>
      <totalsRowFormula>SUM(S422:S431)</totalsRowFormula>
    </tableColumn>
  </tableColumns>
  <tableStyleInfo name="TableStyleMedium9 2" showFirstColumn="0" showLastColumn="0" showRowStripes="1" showColumnStripes="0"/>
</table>
</file>

<file path=xl/tables/table25.xml><?xml version="1.0" encoding="utf-8"?>
<table xmlns="http://schemas.openxmlformats.org/spreadsheetml/2006/main" id="25" name="Tableau15942" displayName="Tableau15942" ref="A437:S448" totalsRowCount="1" headerRowDxfId="181" dataDxfId="180">
  <autoFilter ref="A437:S447"/>
  <tableColumns count="19">
    <tableColumn id="1" name="Date" dataDxfId="179" totalsRowDxfId="178"/>
    <tableColumn id="2" name="Fournisseur" totalsRowFunction="custom" dataDxfId="177">
      <totalsRowFormula>SUMPRODUCT((B438:B447&lt;&gt;"")/COUNTIF(B438:B447,B438:B447&amp;""))</totalsRowFormula>
    </tableColumn>
    <tableColumn id="3" name="Matériel Régie / Outils de Travail" totalsRowFunction="custom" dataDxfId="176">
      <totalsRowFormula>COUNTA(Tableau15942[Matériel Régie / Outils de Travail])</totalsRowFormula>
    </tableColumn>
    <tableColumn id="4" name="Nature des Dépenses" totalsRowFunction="custom" dataDxfId="175">
      <totalsRowFormula>COUNTA(Tableau15942[Nature des Dépenses])</totalsRowFormula>
    </tableColumn>
    <tableColumn id="5" name="Mode de Paiment" dataDxfId="174"/>
    <tableColumn id="6" name="Total Du Poste" totalsRowFunction="custom" dataDxfId="173" totalsRowDxfId="172">
      <calculatedColumnFormula>$J438/J$448</calculatedColumnFormula>
      <totalsRowFormula>SUM(F438:F447)</totalsRowFormula>
    </tableColumn>
    <tableColumn id="7" name="Total Global" totalsRowFunction="custom" dataDxfId="171" totalsRowDxfId="170">
      <calculatedColumnFormula>$J438/J$57</calculatedColumnFormula>
      <totalsRowFormula>SUM(G438:G447)</totalsRowFormula>
    </tableColumn>
    <tableColumn id="8" name="Différence" totalsRowFunction="custom" dataDxfId="169" totalsRowDxfId="168">
      <calculatedColumnFormula>$J438-$I438</calculatedColumnFormula>
      <totalsRowFormula>SUM(H438:H447)</totalsRowFormula>
    </tableColumn>
    <tableColumn id="9" name="Coût prévu" totalsRowFunction="custom" dataDxfId="167" totalsRowDxfId="166">
      <calculatedColumnFormula>$M438+$N438</calculatedColumnFormula>
      <totalsRowFormula>SUM(I438:I447)</totalsRowFormula>
    </tableColumn>
    <tableColumn id="10" name="Coût réel" totalsRowFunction="custom" dataDxfId="165" totalsRowDxfId="164">
      <calculatedColumnFormula>$M438+$N438</calculatedColumnFormula>
      <totalsRowFormula>SUM(J438:J447)</totalsRowFormula>
    </tableColumn>
    <tableColumn id="11" name="TVA" totalsRowFunction="custom" dataDxfId="163" totalsRowDxfId="162">
      <calculatedColumnFormula>IF(($K438)&gt;=$N438+$M438,"",($L438-$M438-$N438))</calculatedColumnFormula>
      <totalsRowFormula>SUM(K438:K447)</totalsRowFormula>
    </tableColumn>
    <tableColumn id="12" name="HT" totalsRowFunction="custom" dataDxfId="161" totalsRowDxfId="160">
      <calculatedColumnFormula>M438+N438-K438</calculatedColumnFormula>
      <totalsRowFormula>SUM(L438:L447)</totalsRowFormula>
    </tableColumn>
    <tableColumn id="13" name="Alexis" totalsRowFunction="custom" dataDxfId="159" totalsRowDxfId="158">
      <totalsRowFormula>SUM(M438:M447)</totalsRowFormula>
    </tableColumn>
    <tableColumn id="14" name="Emeline" totalsRowFunction="custom" dataDxfId="157" totalsRowDxfId="156">
      <totalsRowFormula>SUM(N438:N447)</totalsRowFormula>
    </tableColumn>
    <tableColumn id="15" name="A Partager" totalsRowFunction="custom" dataDxfId="155" totalsRowDxfId="154">
      <calculatedColumnFormula>$J438-($P438+$Q438)</calculatedColumnFormula>
      <totalsRowFormula>SUM(O438:O447)</totalsRowFormula>
    </tableColumn>
    <tableColumn id="16" name="Pour Alexis" totalsRowFunction="custom" dataDxfId="153" totalsRowDxfId="152">
      <totalsRowFormula>SUM(P438:P447)</totalsRowFormula>
    </tableColumn>
    <tableColumn id="17" name="Pour Emeline" totalsRowFunction="custom" dataDxfId="151" totalsRowDxfId="150">
      <totalsRowFormula>SUM(Q438:Q447)</totalsRowFormula>
    </tableColumn>
    <tableColumn id="18" name="DP Alexis" totalsRowFunction="custom" dataDxfId="149" totalsRowDxfId="148">
      <calculatedColumnFormula>IF(($M438+$P438)&gt;=$N438+$Q438,"",($O438/2)+$P438-$M438)</calculatedColumnFormula>
      <totalsRowFormula>SUM(R438:R447)</totalsRowFormula>
    </tableColumn>
    <tableColumn id="19" name="DP Emeline" totalsRowFunction="custom" dataDxfId="147" totalsRowDxfId="146">
      <calculatedColumnFormula>IF(($M438+$P438)&gt;=$N438+$Q438,($O438/2)+$Q438-$N438,"")</calculatedColumnFormula>
      <totalsRowFormula>SUM(S438:S447)</totalsRowFormula>
    </tableColumn>
  </tableColumns>
  <tableStyleInfo name="TableStyleMedium9 2" showFirstColumn="0" showLastColumn="0" showRowStripes="1" showColumnStripes="0"/>
</table>
</file>

<file path=xl/tables/table26.xml><?xml version="1.0" encoding="utf-8"?>
<table xmlns="http://schemas.openxmlformats.org/spreadsheetml/2006/main" id="26" name="Tableau15944" displayName="Tableau15944" ref="A453:S464" totalsRowCount="1" headerRowDxfId="145" dataDxfId="144">
  <autoFilter ref="A453:S463"/>
  <tableColumns count="19">
    <tableColumn id="1" name="Date" dataDxfId="143" totalsRowDxfId="142"/>
    <tableColumn id="2" name="Fournisseur" totalsRowFunction="custom" dataDxfId="141">
      <totalsRowFormula>SUMPRODUCT((B454:B463&lt;&gt;"")/COUNTIF(B454:B463,B454:B463&amp;""))</totalsRowFormula>
    </tableColumn>
    <tableColumn id="3" name="Divers" totalsRowFunction="custom" dataDxfId="140">
      <totalsRowFormula>COUNTA(Tableau15944[Divers])</totalsRowFormula>
    </tableColumn>
    <tableColumn id="4" name="Nature des Dépenses" totalsRowFunction="custom" dataDxfId="139">
      <totalsRowFormula>COUNTA(Tableau15944[Nature des Dépenses])</totalsRowFormula>
    </tableColumn>
    <tableColumn id="5" name="Mode de Paiment" dataDxfId="138"/>
    <tableColumn id="6" name="Total Du Poste" totalsRowFunction="custom" dataDxfId="137" totalsRowDxfId="136">
      <calculatedColumnFormula>$J454/J$464</calculatedColumnFormula>
      <totalsRowFormula>SUM(F454:F463)</totalsRowFormula>
    </tableColumn>
    <tableColumn id="7" name="Total Global" totalsRowFunction="custom" dataDxfId="135" totalsRowDxfId="134">
      <calculatedColumnFormula>$J454/J$57</calculatedColumnFormula>
      <totalsRowFormula>SUM(G454:G463)</totalsRowFormula>
    </tableColumn>
    <tableColumn id="8" name="Différence" totalsRowFunction="custom" dataDxfId="133" totalsRowDxfId="132">
      <calculatedColumnFormula>$J454-$I454</calculatedColumnFormula>
      <totalsRowFormula>SUM(H454:H463)</totalsRowFormula>
    </tableColumn>
    <tableColumn id="9" name="Coût prévu" totalsRowFunction="custom" dataDxfId="131" totalsRowDxfId="130">
      <calculatedColumnFormula>$M454+$N454</calculatedColumnFormula>
      <totalsRowFormula>SUM(I454:I463)</totalsRowFormula>
    </tableColumn>
    <tableColumn id="10" name="Coût réel" totalsRowFunction="custom" dataDxfId="129" totalsRowDxfId="128">
      <calculatedColumnFormula>$M454+$N454</calculatedColumnFormula>
      <totalsRowFormula>SUM(J454:J463)</totalsRowFormula>
    </tableColumn>
    <tableColumn id="11" name="TVA" totalsRowFunction="custom" dataDxfId="127" totalsRowDxfId="126">
      <calculatedColumnFormula>IF(($K454)&gt;=$N454+$M454,"",($L454-$M454-$N454))</calculatedColumnFormula>
      <totalsRowFormula>SUM(K454:K463)</totalsRowFormula>
    </tableColumn>
    <tableColumn id="12" name="HT" totalsRowFunction="custom" dataDxfId="125" totalsRowDxfId="124">
      <calculatedColumnFormula>M454+N454-K454</calculatedColumnFormula>
      <totalsRowFormula>SUM(L454:L463)</totalsRowFormula>
    </tableColumn>
    <tableColumn id="13" name="Alexis" totalsRowFunction="custom" dataDxfId="123" totalsRowDxfId="122">
      <totalsRowFormula>SUM(M454:M463)</totalsRowFormula>
    </tableColumn>
    <tableColumn id="14" name="Emeline" totalsRowFunction="custom" dataDxfId="121" totalsRowDxfId="120">
      <totalsRowFormula>SUM(N454:N463)</totalsRowFormula>
    </tableColumn>
    <tableColumn id="15" name="A Partager" totalsRowFunction="custom" dataDxfId="119" totalsRowDxfId="118">
      <calculatedColumnFormula>$J454-($P454+$Q454)</calculatedColumnFormula>
      <totalsRowFormula>SUM(O454:O463)</totalsRowFormula>
    </tableColumn>
    <tableColumn id="16" name="Pour Alexis" totalsRowFunction="custom" dataDxfId="117" totalsRowDxfId="116">
      <totalsRowFormula>SUM(P454:P463)</totalsRowFormula>
    </tableColumn>
    <tableColumn id="17" name="Pour Emeline" totalsRowFunction="custom" dataDxfId="115" totalsRowDxfId="114">
      <totalsRowFormula>SUM(Q454:Q463)</totalsRowFormula>
    </tableColumn>
    <tableColumn id="18" name="DP Alexis" totalsRowFunction="custom" dataDxfId="113" totalsRowDxfId="112">
      <calculatedColumnFormula>IF(($M454+$P454)&gt;=$N454+$Q454,"",($O454/2)+$P454-$M454)</calculatedColumnFormula>
      <totalsRowFormula>SUM(R454:R463)</totalsRowFormula>
    </tableColumn>
    <tableColumn id="19" name="DP Emeline" totalsRowFunction="custom" dataDxfId="111" totalsRowDxfId="110">
      <calculatedColumnFormula>IF(($M454+$P454)&gt;=$N454+$Q454,($O454/2)+$Q454-$N454,"")</calculatedColumnFormula>
      <totalsRowFormula>SUM(S454:S463)</totalsRowFormula>
    </tableColumn>
  </tableColumns>
  <tableStyleInfo name="TableStyleMedium9 2" showFirstColumn="0" showLastColumn="0" showRowStripes="1" showColumnStripes="0"/>
</table>
</file>

<file path=xl/tables/table27.xml><?xml version="1.0" encoding="utf-8"?>
<table xmlns="http://schemas.openxmlformats.org/spreadsheetml/2006/main" id="27" name="Tableau1594445" displayName="Tableau1594445" ref="A469:S480" totalsRowCount="1" headerRowDxfId="109" dataDxfId="108">
  <autoFilter ref="A469:S479"/>
  <tableColumns count="19">
    <tableColumn id="1" name="Date" dataDxfId="107" totalsRowDxfId="106"/>
    <tableColumn id="2" name="Fournisseur" totalsRowFunction="custom" dataDxfId="105">
      <totalsRowFormula>SUMPRODUCT((B470:B479&lt;&gt;"")/COUNTIF(B470:B479,B470:B479&amp;""))</totalsRowFormula>
    </tableColumn>
    <tableColumn id="3" name="Poste de dépense" totalsRowFunction="custom" dataDxfId="104">
      <totalsRowFormula>COUNTA(Tableau1594445[Poste de dépense])</totalsRowFormula>
    </tableColumn>
    <tableColumn id="4" name="Nature des Dépenses" totalsRowFunction="custom" dataDxfId="103">
      <totalsRowFormula>COUNTA(Tableau1594445[Nature des Dépenses])</totalsRowFormula>
    </tableColumn>
    <tableColumn id="5" name="Mode de Paiment" dataDxfId="102"/>
    <tableColumn id="6" name="Total Du Poste" totalsRowFunction="custom" dataDxfId="101" totalsRowDxfId="100">
      <calculatedColumnFormula>$J470/J$480</calculatedColumnFormula>
      <totalsRowFormula>SUM(F470:F479)</totalsRowFormula>
    </tableColumn>
    <tableColumn id="7" name="Total Global" totalsRowFunction="custom" dataDxfId="99" totalsRowDxfId="98">
      <calculatedColumnFormula>$J470/J$57</calculatedColumnFormula>
      <totalsRowFormula>SUM(G470:G479)</totalsRowFormula>
    </tableColumn>
    <tableColumn id="8" name="Différence" totalsRowFunction="custom" dataDxfId="97" totalsRowDxfId="96">
      <calculatedColumnFormula>$J470-$I470</calculatedColumnFormula>
      <totalsRowFormula>SUM(H470:H479)</totalsRowFormula>
    </tableColumn>
    <tableColumn id="9" name="Coût prévu" totalsRowFunction="custom" dataDxfId="95" totalsRowDxfId="94">
      <calculatedColumnFormula>$M470+$N470</calculatedColumnFormula>
      <totalsRowFormula>SUM(I470:I479)</totalsRowFormula>
    </tableColumn>
    <tableColumn id="10" name="Coût réel" totalsRowFunction="custom" dataDxfId="93" totalsRowDxfId="92">
      <calculatedColumnFormula>$M470+$N470</calculatedColumnFormula>
      <totalsRowFormula>SUM(J470:J479)</totalsRowFormula>
    </tableColumn>
    <tableColumn id="11" name="TVA" totalsRowFunction="custom" dataDxfId="91" totalsRowDxfId="90">
      <calculatedColumnFormula>IF(($K470)&gt;=$N470+$M470,"",($L470-$M470-$N470))</calculatedColumnFormula>
      <totalsRowFormula>SUM(K470:K479)</totalsRowFormula>
    </tableColumn>
    <tableColumn id="12" name="HT" totalsRowFunction="custom" dataDxfId="89" totalsRowDxfId="88">
      <calculatedColumnFormula>M470+N470-K470</calculatedColumnFormula>
      <totalsRowFormula>SUM(L470:L479)</totalsRowFormula>
    </tableColumn>
    <tableColumn id="13" name="Alexis" totalsRowFunction="custom" dataDxfId="87" totalsRowDxfId="86">
      <totalsRowFormula>SUM(M470:M479)</totalsRowFormula>
    </tableColumn>
    <tableColumn id="14" name="Emeline" totalsRowFunction="custom" dataDxfId="85" totalsRowDxfId="84">
      <totalsRowFormula>SUM(N470:N479)</totalsRowFormula>
    </tableColumn>
    <tableColumn id="15" name="A Partager" totalsRowFunction="custom" dataDxfId="83" totalsRowDxfId="82">
      <calculatedColumnFormula>$J470-($P470+$Q470)</calculatedColumnFormula>
      <totalsRowFormula>SUM(O470:O479)</totalsRowFormula>
    </tableColumn>
    <tableColumn id="16" name="Pour Alexis" totalsRowFunction="custom" dataDxfId="81" totalsRowDxfId="80">
      <totalsRowFormula>SUM(P470:P479)</totalsRowFormula>
    </tableColumn>
    <tableColumn id="17" name="Pour Emeline" totalsRowFunction="custom" dataDxfId="79" totalsRowDxfId="78">
      <totalsRowFormula>SUM(Q470:Q479)</totalsRowFormula>
    </tableColumn>
    <tableColumn id="18" name="DP Alexis" totalsRowFunction="custom" dataDxfId="77" totalsRowDxfId="76">
      <calculatedColumnFormula>IF(($M470+$P470)&gt;=$N470+$Q470,"",($O470/2)+$P470-$M470)</calculatedColumnFormula>
      <totalsRowFormula>SUM(R470:R479)</totalsRowFormula>
    </tableColumn>
    <tableColumn id="19" name="DP Emeline" totalsRowFunction="custom" dataDxfId="75" totalsRowDxfId="74">
      <calculatedColumnFormula>IF(($M470+$P470)&gt;=$N470+$Q470,($O470/2)+$Q470-$N470,"")</calculatedColumnFormula>
      <totalsRowFormula>SUM(S470:S479)</totalsRowFormula>
    </tableColumn>
  </tableColumns>
  <tableStyleInfo name="TableStyleMedium9 2" showFirstColumn="0" showLastColumn="0" showRowStripes="1" showColumnStripes="0"/>
</table>
</file>

<file path=xl/tables/table28.xml><?xml version="1.0" encoding="utf-8"?>
<table xmlns="http://schemas.openxmlformats.org/spreadsheetml/2006/main" id="28" name="Tableau159444546" displayName="Tableau159444546" ref="A485:S496" totalsRowCount="1" headerRowDxfId="73" dataDxfId="72">
  <autoFilter ref="A485:S495"/>
  <tableColumns count="19">
    <tableColumn id="1" name="Date" dataDxfId="71" totalsRowDxfId="70"/>
    <tableColumn id="2" name="Fournisseur" totalsRowFunction="custom" dataDxfId="69">
      <totalsRowFormula>SUMPRODUCT((B486:B495&lt;&gt;"")/COUNTIF(B486:B495,B486:B495&amp;""))</totalsRowFormula>
    </tableColumn>
    <tableColumn id="3" name="Poste de dépense" totalsRowFunction="custom" dataDxfId="68">
      <totalsRowFormula>COUNTA(Tableau159444546[Poste de dépense])</totalsRowFormula>
    </tableColumn>
    <tableColumn id="4" name="Nature des Dépenses" totalsRowFunction="custom" dataDxfId="67">
      <totalsRowFormula>COUNTA(Tableau159444546[Nature des Dépenses])</totalsRowFormula>
    </tableColumn>
    <tableColumn id="5" name="Mode de Paiment" dataDxfId="66"/>
    <tableColumn id="6" name="Total Du Poste" totalsRowFunction="custom" dataDxfId="65" totalsRowDxfId="64">
      <calculatedColumnFormula>$J486/J$496</calculatedColumnFormula>
      <totalsRowFormula>SUM(F486:F495)</totalsRowFormula>
    </tableColumn>
    <tableColumn id="7" name="Total Global" totalsRowFunction="custom" dataDxfId="63" totalsRowDxfId="62">
      <calculatedColumnFormula>$J486/J$57</calculatedColumnFormula>
      <totalsRowFormula>SUM(G486:G495)</totalsRowFormula>
    </tableColumn>
    <tableColumn id="8" name="Différence" totalsRowFunction="custom" dataDxfId="61" totalsRowDxfId="60">
      <calculatedColumnFormula>$J486-$I486</calculatedColumnFormula>
      <totalsRowFormula>SUM(H486:H495)</totalsRowFormula>
    </tableColumn>
    <tableColumn id="9" name="Coût prévu" totalsRowFunction="custom" dataDxfId="59" totalsRowDxfId="58">
      <calculatedColumnFormula>$M486+$N486</calculatedColumnFormula>
      <totalsRowFormula>SUM(I486:I495)</totalsRowFormula>
    </tableColumn>
    <tableColumn id="10" name="Coût réel" totalsRowFunction="custom" dataDxfId="57" totalsRowDxfId="56">
      <calculatedColumnFormula>$M486+$N486</calculatedColumnFormula>
      <totalsRowFormula>SUM(J486:J495)</totalsRowFormula>
    </tableColumn>
    <tableColumn id="11" name="TVA" totalsRowFunction="custom" dataDxfId="55" totalsRowDxfId="54">
      <calculatedColumnFormula>IF(($K486)&gt;=$N486+$M486,"",($L486-$M486-$N486))</calculatedColumnFormula>
      <totalsRowFormula>SUM(K486:K495)</totalsRowFormula>
    </tableColumn>
    <tableColumn id="12" name="HT" totalsRowFunction="custom" dataDxfId="53" totalsRowDxfId="52">
      <calculatedColumnFormula>M486+N486-K486</calculatedColumnFormula>
      <totalsRowFormula>SUM(L486:L495)</totalsRowFormula>
    </tableColumn>
    <tableColumn id="13" name="Alexis" totalsRowFunction="custom" dataDxfId="51" totalsRowDxfId="50">
      <totalsRowFormula>SUM(M486:M495)</totalsRowFormula>
    </tableColumn>
    <tableColumn id="14" name="Emeline" totalsRowFunction="custom" dataDxfId="49" totalsRowDxfId="48">
      <totalsRowFormula>SUM(N486:N495)</totalsRowFormula>
    </tableColumn>
    <tableColumn id="15" name="A Partager" totalsRowFunction="custom" dataDxfId="47" totalsRowDxfId="46">
      <calculatedColumnFormula>$J486-($P486+$Q486)</calculatedColumnFormula>
      <totalsRowFormula>SUM(O486:O495)</totalsRowFormula>
    </tableColumn>
    <tableColumn id="16" name="Pour Alexis" totalsRowFunction="custom" dataDxfId="45" totalsRowDxfId="44">
      <totalsRowFormula>SUM(P486:P495)</totalsRowFormula>
    </tableColumn>
    <tableColumn id="17" name="Pour Emeline" totalsRowFunction="custom" dataDxfId="43" totalsRowDxfId="42">
      <totalsRowFormula>SUM(Q486:Q495)</totalsRowFormula>
    </tableColumn>
    <tableColumn id="18" name="DP Alexis" totalsRowFunction="custom" dataDxfId="41" totalsRowDxfId="40">
      <calculatedColumnFormula>IF(($M486+$P486)&gt;=$N486+$Q486,"",($O486/2)+$P486-$M486)</calculatedColumnFormula>
      <totalsRowFormula>SUM(R486:R495)</totalsRowFormula>
    </tableColumn>
    <tableColumn id="19" name="DP Emeline" totalsRowFunction="custom" dataDxfId="39" totalsRowDxfId="38">
      <calculatedColumnFormula>IF(($M486+$P486)&gt;=$N486+$Q486,($O486/2)+$Q486-$N486,"")</calculatedColumnFormula>
      <totalsRowFormula>SUM(S486:S495)</totalsRowFormula>
    </tableColumn>
  </tableColumns>
  <tableStyleInfo name="TableStyleMedium9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26" Type="http://schemas.openxmlformats.org/officeDocument/2006/relationships/table" Target="../tables/table26.xml"/><Relationship Id="rId3" Type="http://schemas.openxmlformats.org/officeDocument/2006/relationships/table" Target="../tables/table3.xml"/><Relationship Id="rId21" Type="http://schemas.openxmlformats.org/officeDocument/2006/relationships/table" Target="../tables/table21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5" Type="http://schemas.openxmlformats.org/officeDocument/2006/relationships/table" Target="../tables/table25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20" Type="http://schemas.openxmlformats.org/officeDocument/2006/relationships/table" Target="../tables/table20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24" Type="http://schemas.openxmlformats.org/officeDocument/2006/relationships/table" Target="../tables/table24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23" Type="http://schemas.openxmlformats.org/officeDocument/2006/relationships/table" Target="../tables/table23.xml"/><Relationship Id="rId28" Type="http://schemas.openxmlformats.org/officeDocument/2006/relationships/table" Target="../tables/table28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Relationship Id="rId22" Type="http://schemas.openxmlformats.org/officeDocument/2006/relationships/table" Target="../tables/table22.xml"/><Relationship Id="rId27" Type="http://schemas.openxmlformats.org/officeDocument/2006/relationships/table" Target="../tables/table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S496"/>
  <sheetViews>
    <sheetView tabSelected="1" topLeftCell="A384" zoomScale="85" zoomScaleNormal="85" workbookViewId="0">
      <selection activeCell="S335" sqref="R326:S335"/>
    </sheetView>
  </sheetViews>
  <sheetFormatPr baseColWidth="10" defaultRowHeight="15" x14ac:dyDescent="0.25"/>
  <cols>
    <col min="1" max="1" width="11.5703125" style="20" customWidth="1"/>
    <col min="2" max="2" width="13.85546875" style="1" customWidth="1"/>
    <col min="3" max="3" width="29.7109375" style="1" customWidth="1"/>
    <col min="4" max="4" width="29.28515625" style="1" customWidth="1"/>
    <col min="5" max="5" width="13" style="1" customWidth="1"/>
    <col min="6" max="6" width="11" style="1" customWidth="1"/>
    <col min="7" max="9" width="11.5703125" style="1" customWidth="1"/>
    <col min="10" max="19" width="12.5703125" style="1" customWidth="1"/>
    <col min="20" max="16384" width="11.42578125" style="1"/>
  </cols>
  <sheetData>
    <row r="10" spans="1:19" ht="15.75" thickBot="1" x14ac:dyDescent="0.3"/>
    <row r="11" spans="1:19" ht="15.75" thickBot="1" x14ac:dyDescent="0.3">
      <c r="M11" s="23" t="s">
        <v>0</v>
      </c>
      <c r="N11" s="24"/>
      <c r="O11" s="2" t="s">
        <v>1</v>
      </c>
      <c r="P11" s="25" t="s">
        <v>2</v>
      </c>
      <c r="Q11" s="26"/>
      <c r="R11" s="23" t="s">
        <v>3</v>
      </c>
      <c r="S11" s="24"/>
    </row>
    <row r="12" spans="1:19" s="6" customFormat="1" ht="14.1" customHeight="1" x14ac:dyDescent="0.2">
      <c r="A12" s="21" t="s">
        <v>4</v>
      </c>
      <c r="B12" s="4" t="s">
        <v>5</v>
      </c>
      <c r="C12" s="3" t="s">
        <v>6</v>
      </c>
      <c r="D12" s="3" t="s">
        <v>7</v>
      </c>
      <c r="E12" s="3" t="s">
        <v>8</v>
      </c>
      <c r="F12" s="5" t="s">
        <v>9</v>
      </c>
      <c r="G12" s="5" t="s">
        <v>10</v>
      </c>
      <c r="H12" s="4" t="s">
        <v>11</v>
      </c>
      <c r="I12" s="3" t="s">
        <v>12</v>
      </c>
      <c r="J12" s="3" t="s">
        <v>13</v>
      </c>
      <c r="K12" s="3" t="s">
        <v>14</v>
      </c>
      <c r="L12" s="3" t="s">
        <v>15</v>
      </c>
      <c r="M12" s="3" t="s">
        <v>16</v>
      </c>
      <c r="N12" s="3" t="s">
        <v>17</v>
      </c>
      <c r="O12" s="3" t="s">
        <v>1</v>
      </c>
      <c r="P12" s="3" t="s">
        <v>18</v>
      </c>
      <c r="Q12" s="3" t="s">
        <v>19</v>
      </c>
      <c r="R12" s="3" t="s">
        <v>20</v>
      </c>
      <c r="S12" s="3" t="s">
        <v>21</v>
      </c>
    </row>
    <row r="13" spans="1:19" x14ac:dyDescent="0.25">
      <c r="F13" s="7">
        <f t="shared" ref="F13:F22" si="0">$J13/J$73</f>
        <v>0</v>
      </c>
      <c r="G13" s="7">
        <f t="shared" ref="G13:G22" si="1">$J13/J$57</f>
        <v>0</v>
      </c>
      <c r="H13" s="8">
        <f t="shared" ref="H13:H22" si="2">$J13-$I13</f>
        <v>0</v>
      </c>
      <c r="I13" s="8">
        <f t="shared" ref="I13:J22" si="3">$M13+$N13</f>
        <v>0</v>
      </c>
      <c r="J13" s="8">
        <f t="shared" si="3"/>
        <v>0</v>
      </c>
      <c r="K13" s="8">
        <f t="shared" ref="K13:K22" ca="1" si="4">IF(($K13)&gt;=$N13+$M13,"",($L13-$M13-$N13))</f>
        <v>0</v>
      </c>
      <c r="L13" s="8">
        <f ca="1">M13+N13-K13</f>
        <v>0</v>
      </c>
      <c r="M13" s="8"/>
      <c r="N13" s="8"/>
      <c r="O13" s="8">
        <f>$J13-($P13+$Q13)</f>
        <v>0</v>
      </c>
      <c r="P13" s="8"/>
      <c r="Q13" s="8"/>
      <c r="R13" s="9" t="str">
        <f>IF(($M13+$P13)&gt;=$N13+$Q13,"",($O13/2)+$P13-$M13)</f>
        <v/>
      </c>
      <c r="S13" s="9">
        <f>IF(($M13+$P13)&gt;=$N13+$Q13,($O13/2)+$Q13-$N13,"")</f>
        <v>0</v>
      </c>
    </row>
    <row r="14" spans="1:19" x14ac:dyDescent="0.25">
      <c r="F14" s="7">
        <f t="shared" si="0"/>
        <v>0</v>
      </c>
      <c r="G14" s="7">
        <f t="shared" si="1"/>
        <v>0</v>
      </c>
      <c r="H14" s="8">
        <f t="shared" si="2"/>
        <v>0</v>
      </c>
      <c r="I14" s="8">
        <f t="shared" si="3"/>
        <v>0</v>
      </c>
      <c r="J14" s="8">
        <f t="shared" si="3"/>
        <v>0</v>
      </c>
      <c r="K14" s="8">
        <f t="shared" ca="1" si="4"/>
        <v>0</v>
      </c>
      <c r="L14" s="8">
        <f t="shared" ref="L14:L22" ca="1" si="5">M14+N14-K14</f>
        <v>0</v>
      </c>
      <c r="M14" s="8"/>
      <c r="N14" s="8"/>
      <c r="O14" s="8">
        <f>$J14-($P14+$Q14)</f>
        <v>0</v>
      </c>
      <c r="P14" s="8"/>
      <c r="Q14" s="8"/>
      <c r="R14" s="9" t="str">
        <f t="shared" ref="R14:R22" si="6">IF(($M14+$P14)&gt;=$N14+$Q14,"",($O14/2)+$P14-$M14)</f>
        <v/>
      </c>
      <c r="S14" s="9">
        <f t="shared" ref="S14:S22" si="7">IF(($M14+$P14)&gt;=$N14+$Q14,($O14/2)+$Q14-$N14,"")</f>
        <v>0</v>
      </c>
    </row>
    <row r="15" spans="1:19" x14ac:dyDescent="0.25">
      <c r="F15" s="7">
        <f t="shared" si="0"/>
        <v>0</v>
      </c>
      <c r="G15" s="7">
        <f t="shared" si="1"/>
        <v>0</v>
      </c>
      <c r="H15" s="8">
        <f t="shared" si="2"/>
        <v>0</v>
      </c>
      <c r="I15" s="8">
        <f t="shared" si="3"/>
        <v>0</v>
      </c>
      <c r="J15" s="8">
        <f t="shared" si="3"/>
        <v>0</v>
      </c>
      <c r="K15" s="8">
        <f t="shared" ca="1" si="4"/>
        <v>0</v>
      </c>
      <c r="L15" s="8">
        <f t="shared" ca="1" si="5"/>
        <v>0</v>
      </c>
      <c r="M15" s="8"/>
      <c r="N15" s="8"/>
      <c r="O15" s="8">
        <f>$J15-($P15+$Q15)</f>
        <v>0</v>
      </c>
      <c r="P15" s="8"/>
      <c r="Q15" s="8"/>
      <c r="R15" s="9" t="str">
        <f t="shared" si="6"/>
        <v/>
      </c>
      <c r="S15" s="9">
        <f t="shared" si="7"/>
        <v>0</v>
      </c>
    </row>
    <row r="16" spans="1:19" x14ac:dyDescent="0.25">
      <c r="F16" s="7">
        <f t="shared" si="0"/>
        <v>0</v>
      </c>
      <c r="G16" s="7">
        <f t="shared" si="1"/>
        <v>0</v>
      </c>
      <c r="H16" s="8">
        <f t="shared" si="2"/>
        <v>0</v>
      </c>
      <c r="I16" s="8">
        <f t="shared" si="3"/>
        <v>0</v>
      </c>
      <c r="J16" s="8">
        <f t="shared" si="3"/>
        <v>0</v>
      </c>
      <c r="K16" s="8">
        <f t="shared" ca="1" si="4"/>
        <v>0</v>
      </c>
      <c r="L16" s="8">
        <f t="shared" ca="1" si="5"/>
        <v>0</v>
      </c>
      <c r="M16" s="8"/>
      <c r="N16" s="8"/>
      <c r="O16" s="8">
        <f>$J16-($P16+$Q16)</f>
        <v>0</v>
      </c>
      <c r="P16" s="8"/>
      <c r="Q16" s="8"/>
      <c r="R16" s="9" t="str">
        <f t="shared" si="6"/>
        <v/>
      </c>
      <c r="S16" s="9">
        <f t="shared" si="7"/>
        <v>0</v>
      </c>
    </row>
    <row r="17" spans="1:19" x14ac:dyDescent="0.25">
      <c r="F17" s="7">
        <f t="shared" si="0"/>
        <v>0</v>
      </c>
      <c r="G17" s="7">
        <f t="shared" si="1"/>
        <v>0</v>
      </c>
      <c r="H17" s="8">
        <f t="shared" si="2"/>
        <v>0</v>
      </c>
      <c r="I17" s="8">
        <f t="shared" si="3"/>
        <v>0</v>
      </c>
      <c r="J17" s="8">
        <f t="shared" si="3"/>
        <v>0</v>
      </c>
      <c r="K17" s="8">
        <f t="shared" ca="1" si="4"/>
        <v>0</v>
      </c>
      <c r="L17" s="8">
        <f t="shared" ca="1" si="5"/>
        <v>0</v>
      </c>
      <c r="M17" s="8"/>
      <c r="N17" s="8"/>
      <c r="O17" s="8">
        <f t="shared" ref="O17:O21" si="8">$J17-($P17+$Q17)</f>
        <v>0</v>
      </c>
      <c r="P17" s="8"/>
      <c r="Q17" s="8"/>
      <c r="R17" s="9" t="str">
        <f t="shared" si="6"/>
        <v/>
      </c>
      <c r="S17" s="9">
        <f t="shared" si="7"/>
        <v>0</v>
      </c>
    </row>
    <row r="18" spans="1:19" x14ac:dyDescent="0.25">
      <c r="F18" s="7">
        <f t="shared" si="0"/>
        <v>0</v>
      </c>
      <c r="G18" s="7">
        <f t="shared" si="1"/>
        <v>0</v>
      </c>
      <c r="H18" s="8">
        <f t="shared" si="2"/>
        <v>0</v>
      </c>
      <c r="I18" s="8">
        <f t="shared" si="3"/>
        <v>0</v>
      </c>
      <c r="J18" s="8">
        <f t="shared" si="3"/>
        <v>0</v>
      </c>
      <c r="K18" s="8">
        <f t="shared" ca="1" si="4"/>
        <v>0</v>
      </c>
      <c r="L18" s="8">
        <f t="shared" ca="1" si="5"/>
        <v>0</v>
      </c>
      <c r="M18" s="8"/>
      <c r="N18" s="8"/>
      <c r="O18" s="8">
        <f>$J18-($P18+$Q18)</f>
        <v>0</v>
      </c>
      <c r="P18" s="8"/>
      <c r="Q18" s="8"/>
      <c r="R18" s="9" t="str">
        <f t="shared" si="6"/>
        <v/>
      </c>
      <c r="S18" s="9">
        <f t="shared" si="7"/>
        <v>0</v>
      </c>
    </row>
    <row r="19" spans="1:19" x14ac:dyDescent="0.25">
      <c r="F19" s="7">
        <f t="shared" si="0"/>
        <v>0</v>
      </c>
      <c r="G19" s="7">
        <f t="shared" si="1"/>
        <v>0</v>
      </c>
      <c r="H19" s="8">
        <f t="shared" si="2"/>
        <v>0</v>
      </c>
      <c r="I19" s="8">
        <f t="shared" si="3"/>
        <v>0</v>
      </c>
      <c r="J19" s="8">
        <f t="shared" si="3"/>
        <v>0</v>
      </c>
      <c r="K19" s="8">
        <f t="shared" ca="1" si="4"/>
        <v>0</v>
      </c>
      <c r="L19" s="8">
        <f t="shared" ca="1" si="5"/>
        <v>0</v>
      </c>
      <c r="M19" s="8"/>
      <c r="N19" s="8"/>
      <c r="O19" s="8">
        <f t="shared" si="8"/>
        <v>0</v>
      </c>
      <c r="P19" s="8"/>
      <c r="Q19" s="8"/>
      <c r="R19" s="9" t="str">
        <f t="shared" si="6"/>
        <v/>
      </c>
      <c r="S19" s="9">
        <f t="shared" si="7"/>
        <v>0</v>
      </c>
    </row>
    <row r="20" spans="1:19" x14ac:dyDescent="0.25">
      <c r="F20" s="7">
        <f t="shared" si="0"/>
        <v>0</v>
      </c>
      <c r="G20" s="7">
        <f t="shared" si="1"/>
        <v>0</v>
      </c>
      <c r="H20" s="8">
        <f t="shared" si="2"/>
        <v>0</v>
      </c>
      <c r="I20" s="8">
        <f t="shared" si="3"/>
        <v>0</v>
      </c>
      <c r="J20" s="8">
        <f t="shared" si="3"/>
        <v>0</v>
      </c>
      <c r="K20" s="8">
        <f t="shared" ca="1" si="4"/>
        <v>0</v>
      </c>
      <c r="L20" s="8">
        <f t="shared" ca="1" si="5"/>
        <v>0</v>
      </c>
      <c r="M20" s="8"/>
      <c r="N20" s="8"/>
      <c r="O20" s="8">
        <f>$J20-($P20+$Q20)</f>
        <v>0</v>
      </c>
      <c r="P20" s="8"/>
      <c r="Q20" s="8"/>
      <c r="R20" s="9" t="str">
        <f t="shared" si="6"/>
        <v/>
      </c>
      <c r="S20" s="9">
        <f t="shared" si="7"/>
        <v>0</v>
      </c>
    </row>
    <row r="21" spans="1:19" x14ac:dyDescent="0.25">
      <c r="F21" s="7">
        <f t="shared" si="0"/>
        <v>0</v>
      </c>
      <c r="G21" s="7">
        <f t="shared" si="1"/>
        <v>0</v>
      </c>
      <c r="H21" s="8">
        <f t="shared" si="2"/>
        <v>0</v>
      </c>
      <c r="I21" s="8">
        <f t="shared" si="3"/>
        <v>0</v>
      </c>
      <c r="J21" s="8">
        <f t="shared" si="3"/>
        <v>0</v>
      </c>
      <c r="K21" s="8">
        <f t="shared" ca="1" si="4"/>
        <v>0</v>
      </c>
      <c r="L21" s="8">
        <f t="shared" ca="1" si="5"/>
        <v>0</v>
      </c>
      <c r="M21" s="8"/>
      <c r="N21" s="8"/>
      <c r="O21" s="8">
        <f t="shared" si="8"/>
        <v>0</v>
      </c>
      <c r="P21" s="8"/>
      <c r="Q21" s="8"/>
      <c r="R21" s="9" t="str">
        <f t="shared" si="6"/>
        <v/>
      </c>
      <c r="S21" s="9">
        <f t="shared" si="7"/>
        <v>0</v>
      </c>
    </row>
    <row r="22" spans="1:19" x14ac:dyDescent="0.25">
      <c r="F22" s="7">
        <f t="shared" si="0"/>
        <v>0</v>
      </c>
      <c r="G22" s="7">
        <f t="shared" si="1"/>
        <v>0</v>
      </c>
      <c r="H22" s="8">
        <f t="shared" si="2"/>
        <v>0</v>
      </c>
      <c r="I22" s="8">
        <f t="shared" si="3"/>
        <v>0</v>
      </c>
      <c r="J22" s="8">
        <f t="shared" si="3"/>
        <v>0</v>
      </c>
      <c r="K22" s="8">
        <f t="shared" ca="1" si="4"/>
        <v>0</v>
      </c>
      <c r="L22" s="8">
        <f t="shared" ca="1" si="5"/>
        <v>0</v>
      </c>
      <c r="M22" s="8"/>
      <c r="N22" s="8"/>
      <c r="O22" s="8">
        <f>$J22-($P22+$Q22)</f>
        <v>0</v>
      </c>
      <c r="P22" s="8"/>
      <c r="Q22" s="8"/>
      <c r="R22" s="9" t="str">
        <f t="shared" si="6"/>
        <v/>
      </c>
      <c r="S22" s="9">
        <f t="shared" si="7"/>
        <v>0</v>
      </c>
    </row>
    <row r="23" spans="1:19" x14ac:dyDescent="0.25">
      <c r="C23" s="1">
        <f>COUNTA(Tableau157[Balance Alexis/Emline])</f>
        <v>0</v>
      </c>
      <c r="D23" s="1">
        <f>COUNTA(Tableau157[Nature des Dépenses])</f>
        <v>0</v>
      </c>
      <c r="F23" s="7"/>
      <c r="G23" s="7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</row>
    <row r="24" spans="1:19" x14ac:dyDescent="0.25">
      <c r="F24" s="7"/>
      <c r="G24" s="7"/>
    </row>
    <row r="25" spans="1:19" x14ac:dyDescent="0.25">
      <c r="F25" s="7"/>
      <c r="G25" s="7"/>
    </row>
    <row r="26" spans="1:19" ht="15.75" thickBot="1" x14ac:dyDescent="0.3">
      <c r="F26" s="7"/>
      <c r="G26" s="7"/>
    </row>
    <row r="27" spans="1:19" ht="15.75" thickBot="1" x14ac:dyDescent="0.3">
      <c r="F27" s="7"/>
      <c r="G27" s="7"/>
      <c r="M27" s="23" t="s">
        <v>0</v>
      </c>
      <c r="N27" s="24"/>
      <c r="O27" s="2" t="s">
        <v>1</v>
      </c>
      <c r="P27" s="25" t="s">
        <v>2</v>
      </c>
      <c r="Q27" s="26"/>
      <c r="R27" s="23" t="s">
        <v>3</v>
      </c>
      <c r="S27" s="24"/>
    </row>
    <row r="28" spans="1:19" s="6" customFormat="1" ht="14.1" customHeight="1" x14ac:dyDescent="0.2">
      <c r="A28" s="21" t="s">
        <v>22</v>
      </c>
      <c r="B28" s="4" t="s">
        <v>23</v>
      </c>
      <c r="C28" s="3" t="s">
        <v>24</v>
      </c>
      <c r="D28" s="3" t="s">
        <v>25</v>
      </c>
      <c r="E28" s="3" t="s">
        <v>8</v>
      </c>
      <c r="F28" s="5" t="s">
        <v>9</v>
      </c>
      <c r="G28" s="5" t="s">
        <v>10</v>
      </c>
      <c r="H28" s="4" t="s">
        <v>11</v>
      </c>
      <c r="I28" s="3" t="s">
        <v>12</v>
      </c>
      <c r="J28" s="3" t="s">
        <v>13</v>
      </c>
      <c r="K28" s="3" t="s">
        <v>14</v>
      </c>
      <c r="L28" s="3" t="s">
        <v>15</v>
      </c>
      <c r="M28" s="3" t="s">
        <v>16</v>
      </c>
      <c r="N28" s="3" t="s">
        <v>17</v>
      </c>
      <c r="O28" s="3" t="s">
        <v>1</v>
      </c>
      <c r="P28" s="3" t="s">
        <v>18</v>
      </c>
      <c r="Q28" s="3" t="s">
        <v>19</v>
      </c>
      <c r="R28" s="3" t="s">
        <v>20</v>
      </c>
      <c r="S28" s="3" t="s">
        <v>21</v>
      </c>
    </row>
    <row r="29" spans="1:19" x14ac:dyDescent="0.25">
      <c r="A29" s="10">
        <v>1</v>
      </c>
      <c r="B29" s="11">
        <f>B$23</f>
        <v>0</v>
      </c>
      <c r="C29" s="12" t="str">
        <f t="shared" ref="C29" si="9">C12</f>
        <v>Balance Alexis/Emline</v>
      </c>
      <c r="D29" s="11">
        <f>D$23</f>
        <v>0</v>
      </c>
      <c r="F29" s="7"/>
      <c r="G29" s="7">
        <f>G$23</f>
        <v>0</v>
      </c>
      <c r="H29" s="8">
        <f>H$23</f>
        <v>0</v>
      </c>
      <c r="I29" s="8">
        <f t="shared" ref="I29:S29" si="10">I$23</f>
        <v>0</v>
      </c>
      <c r="J29" s="8">
        <f t="shared" si="10"/>
        <v>0</v>
      </c>
      <c r="K29" s="8">
        <f t="shared" si="10"/>
        <v>0</v>
      </c>
      <c r="L29" s="8">
        <f t="shared" si="10"/>
        <v>0</v>
      </c>
      <c r="M29" s="8">
        <f t="shared" si="10"/>
        <v>0</v>
      </c>
      <c r="N29" s="8">
        <f t="shared" si="10"/>
        <v>0</v>
      </c>
      <c r="O29" s="8">
        <f t="shared" si="10"/>
        <v>0</v>
      </c>
      <c r="P29" s="8">
        <f t="shared" si="10"/>
        <v>0</v>
      </c>
      <c r="Q29" s="8">
        <f t="shared" si="10"/>
        <v>0</v>
      </c>
      <c r="R29" s="8">
        <f t="shared" si="10"/>
        <v>0</v>
      </c>
      <c r="S29" s="8">
        <f t="shared" si="10"/>
        <v>0</v>
      </c>
    </row>
    <row r="30" spans="1:19" x14ac:dyDescent="0.25">
      <c r="A30" s="10">
        <v>2</v>
      </c>
      <c r="B30" s="11">
        <f t="shared" ref="B30:D30" si="11">B$73</f>
        <v>1.0000000000000002</v>
      </c>
      <c r="C30" s="13" t="str">
        <f>C$62</f>
        <v>Logement</v>
      </c>
      <c r="D30" s="11">
        <f t="shared" si="11"/>
        <v>9</v>
      </c>
      <c r="F30" s="7"/>
      <c r="G30" s="7">
        <f>G$73</f>
        <v>0.86981135751309591</v>
      </c>
      <c r="H30" s="8">
        <f t="shared" ref="H30:S30" si="12">H$73</f>
        <v>0</v>
      </c>
      <c r="I30" s="8">
        <f t="shared" si="12"/>
        <v>7590</v>
      </c>
      <c r="J30" s="8">
        <f t="shared" si="12"/>
        <v>7590</v>
      </c>
      <c r="K30" s="8">
        <f t="shared" ca="1" si="12"/>
        <v>0</v>
      </c>
      <c r="L30" s="8">
        <f t="shared" ca="1" si="12"/>
        <v>0</v>
      </c>
      <c r="M30" s="8">
        <f t="shared" si="12"/>
        <v>7590</v>
      </c>
      <c r="N30" s="8">
        <f t="shared" si="12"/>
        <v>0</v>
      </c>
      <c r="O30" s="8">
        <f t="shared" si="12"/>
        <v>0</v>
      </c>
      <c r="P30" s="8">
        <f t="shared" si="12"/>
        <v>7590</v>
      </c>
      <c r="Q30" s="8">
        <f t="shared" si="12"/>
        <v>0</v>
      </c>
      <c r="R30" s="8">
        <f t="shared" si="12"/>
        <v>0</v>
      </c>
      <c r="S30" s="8">
        <f t="shared" si="12"/>
        <v>0</v>
      </c>
    </row>
    <row r="31" spans="1:19" x14ac:dyDescent="0.25">
      <c r="A31" s="10">
        <v>3</v>
      </c>
      <c r="B31" s="11">
        <f t="shared" ref="B31:D31" si="13">B$92</f>
        <v>1</v>
      </c>
      <c r="C31" s="13" t="str">
        <f>C$78</f>
        <v>Energies</v>
      </c>
      <c r="D31" s="11">
        <f t="shared" si="13"/>
        <v>12</v>
      </c>
      <c r="F31" s="7"/>
      <c r="G31" s="7">
        <f t="shared" ref="G31:S31" si="14">G$92</f>
        <v>1.8960512397963328E-2</v>
      </c>
      <c r="H31" s="8">
        <f t="shared" si="14"/>
        <v>-22.65</v>
      </c>
      <c r="I31" s="8">
        <f t="shared" si="14"/>
        <v>188.09999999999997</v>
      </c>
      <c r="J31" s="8">
        <f t="shared" si="14"/>
        <v>165.44999999999996</v>
      </c>
      <c r="K31" s="8">
        <f t="shared" ca="1" si="14"/>
        <v>0</v>
      </c>
      <c r="L31" s="8">
        <f t="shared" ca="1" si="14"/>
        <v>0</v>
      </c>
      <c r="M31" s="8">
        <f t="shared" si="14"/>
        <v>165.44999999999996</v>
      </c>
      <c r="N31" s="8">
        <f t="shared" si="14"/>
        <v>0</v>
      </c>
      <c r="O31" s="8">
        <f t="shared" si="14"/>
        <v>0</v>
      </c>
      <c r="P31" s="8">
        <f t="shared" si="14"/>
        <v>165.44999999999996</v>
      </c>
      <c r="Q31" s="8">
        <f t="shared" si="14"/>
        <v>0</v>
      </c>
      <c r="R31" s="8">
        <f t="shared" si="14"/>
        <v>0</v>
      </c>
      <c r="S31" s="8">
        <f t="shared" si="14"/>
        <v>0</v>
      </c>
    </row>
    <row r="32" spans="1:19" x14ac:dyDescent="0.25">
      <c r="A32" s="10">
        <v>4</v>
      </c>
      <c r="B32" s="11">
        <f t="shared" ref="B32:D32" si="15">B$128</f>
        <v>4.0000000000000018</v>
      </c>
      <c r="C32" s="13" t="str">
        <f>C$97</f>
        <v>Téléphonie/Internet</v>
      </c>
      <c r="D32" s="11">
        <f t="shared" si="15"/>
        <v>28</v>
      </c>
      <c r="F32" s="7"/>
      <c r="G32" s="7">
        <f>G$128</f>
        <v>9.5930222563983869E-2</v>
      </c>
      <c r="H32" s="8">
        <f t="shared" ref="H32:S32" si="16">H$128</f>
        <v>68.72999999999999</v>
      </c>
      <c r="I32" s="8">
        <f t="shared" si="16"/>
        <v>768.36000000000013</v>
      </c>
      <c r="J32" s="8">
        <f t="shared" si="16"/>
        <v>837.09000000000015</v>
      </c>
      <c r="K32" s="8">
        <f t="shared" ca="1" si="16"/>
        <v>0</v>
      </c>
      <c r="L32" s="8">
        <f t="shared" ca="1" si="16"/>
        <v>0</v>
      </c>
      <c r="M32" s="8">
        <f t="shared" si="16"/>
        <v>837.09000000000015</v>
      </c>
      <c r="N32" s="8">
        <f t="shared" si="16"/>
        <v>0</v>
      </c>
      <c r="O32" s="8">
        <f t="shared" si="16"/>
        <v>0</v>
      </c>
      <c r="P32" s="8">
        <f t="shared" si="16"/>
        <v>837.09000000000015</v>
      </c>
      <c r="Q32" s="8">
        <f t="shared" si="16"/>
        <v>0</v>
      </c>
      <c r="R32" s="8">
        <f t="shared" si="16"/>
        <v>0</v>
      </c>
      <c r="S32" s="8">
        <f t="shared" si="16"/>
        <v>0</v>
      </c>
    </row>
    <row r="33" spans="1:19" x14ac:dyDescent="0.25">
      <c r="A33" s="10">
        <v>5</v>
      </c>
      <c r="B33" s="11">
        <f t="shared" ref="B33:D33" si="17">B$144</f>
        <v>2</v>
      </c>
      <c r="C33" s="14" t="str">
        <f>C$133</f>
        <v>Assurance</v>
      </c>
      <c r="D33" s="11">
        <f t="shared" si="17"/>
        <v>3</v>
      </c>
      <c r="F33" s="7"/>
      <c r="G33" s="7">
        <f>G$144</f>
        <v>0</v>
      </c>
      <c r="H33" s="8">
        <f t="shared" ref="H33:S33" si="18">H$144</f>
        <v>0</v>
      </c>
      <c r="I33" s="8">
        <f t="shared" si="18"/>
        <v>0</v>
      </c>
      <c r="J33" s="8">
        <f t="shared" si="18"/>
        <v>0</v>
      </c>
      <c r="K33" s="8">
        <f t="shared" ca="1" si="18"/>
        <v>0</v>
      </c>
      <c r="L33" s="8">
        <f t="shared" ca="1" si="18"/>
        <v>0</v>
      </c>
      <c r="M33" s="8">
        <f t="shared" si="18"/>
        <v>0</v>
      </c>
      <c r="N33" s="8">
        <f t="shared" si="18"/>
        <v>0</v>
      </c>
      <c r="O33" s="8">
        <f t="shared" si="18"/>
        <v>0</v>
      </c>
      <c r="P33" s="8">
        <f t="shared" si="18"/>
        <v>0</v>
      </c>
      <c r="Q33" s="8">
        <f t="shared" si="18"/>
        <v>0</v>
      </c>
      <c r="R33" s="8">
        <f t="shared" si="18"/>
        <v>0</v>
      </c>
      <c r="S33" s="8">
        <f t="shared" si="18"/>
        <v>0</v>
      </c>
    </row>
    <row r="34" spans="1:19" x14ac:dyDescent="0.25">
      <c r="A34" s="10">
        <v>6</v>
      </c>
      <c r="B34" s="11">
        <f t="shared" ref="B34:D34" si="19">B$160</f>
        <v>1</v>
      </c>
      <c r="C34" s="14" t="str">
        <f>C$149</f>
        <v>Banques</v>
      </c>
      <c r="D34" s="11">
        <f t="shared" si="19"/>
        <v>1</v>
      </c>
      <c r="F34" s="7"/>
      <c r="G34" s="7">
        <f>G$160</f>
        <v>7.5979569174068845E-4</v>
      </c>
      <c r="H34" s="8">
        <f t="shared" ref="H34:S34" si="20">H$160</f>
        <v>0</v>
      </c>
      <c r="I34" s="8">
        <f t="shared" si="20"/>
        <v>6.63</v>
      </c>
      <c r="J34" s="8">
        <f t="shared" si="20"/>
        <v>6.63</v>
      </c>
      <c r="K34" s="8">
        <f t="shared" ca="1" si="20"/>
        <v>0</v>
      </c>
      <c r="L34" s="8">
        <f t="shared" ca="1" si="20"/>
        <v>0</v>
      </c>
      <c r="M34" s="8">
        <f t="shared" si="20"/>
        <v>6.63</v>
      </c>
      <c r="N34" s="8">
        <f t="shared" si="20"/>
        <v>0</v>
      </c>
      <c r="O34" s="8">
        <f t="shared" si="20"/>
        <v>6.63</v>
      </c>
      <c r="P34" s="8">
        <f t="shared" si="20"/>
        <v>0</v>
      </c>
      <c r="Q34" s="8">
        <f t="shared" si="20"/>
        <v>0</v>
      </c>
      <c r="R34" s="8">
        <f t="shared" si="20"/>
        <v>0</v>
      </c>
      <c r="S34" s="8">
        <f t="shared" si="20"/>
        <v>3.3149999999999999</v>
      </c>
    </row>
    <row r="35" spans="1:19" x14ac:dyDescent="0.25">
      <c r="A35" s="10">
        <v>7</v>
      </c>
      <c r="B35" s="11">
        <f t="shared" ref="B35:D35" si="21">B$176</f>
        <v>0</v>
      </c>
      <c r="C35" s="14" t="str">
        <f>C$165</f>
        <v>Impôts</v>
      </c>
      <c r="D35" s="11">
        <f t="shared" si="21"/>
        <v>0</v>
      </c>
      <c r="F35" s="7"/>
      <c r="G35" s="7">
        <f>G$176</f>
        <v>0</v>
      </c>
      <c r="H35" s="8">
        <f t="shared" ref="H35:S35" si="22">H$176</f>
        <v>0</v>
      </c>
      <c r="I35" s="8">
        <f t="shared" si="22"/>
        <v>0</v>
      </c>
      <c r="J35" s="8">
        <f t="shared" si="22"/>
        <v>0</v>
      </c>
      <c r="K35" s="8">
        <f t="shared" ca="1" si="22"/>
        <v>0</v>
      </c>
      <c r="L35" s="8">
        <f t="shared" ca="1" si="22"/>
        <v>0</v>
      </c>
      <c r="M35" s="8">
        <f t="shared" si="22"/>
        <v>0</v>
      </c>
      <c r="N35" s="8">
        <f t="shared" si="22"/>
        <v>0</v>
      </c>
      <c r="O35" s="8">
        <f t="shared" si="22"/>
        <v>0</v>
      </c>
      <c r="P35" s="8">
        <f t="shared" si="22"/>
        <v>0</v>
      </c>
      <c r="Q35" s="8">
        <f t="shared" si="22"/>
        <v>0</v>
      </c>
      <c r="R35" s="8">
        <f t="shared" si="22"/>
        <v>0</v>
      </c>
      <c r="S35" s="8">
        <f t="shared" si="22"/>
        <v>0</v>
      </c>
    </row>
    <row r="36" spans="1:19" x14ac:dyDescent="0.25">
      <c r="A36" s="10">
        <v>8</v>
      </c>
      <c r="B36" s="11">
        <f t="shared" ref="B36:D36" si="23">B$192</f>
        <v>3.0000000000000004</v>
      </c>
      <c r="C36" s="13" t="str">
        <f>C$181</f>
        <v>Transport</v>
      </c>
      <c r="D36" s="11">
        <f t="shared" si="23"/>
        <v>5</v>
      </c>
      <c r="F36" s="7"/>
      <c r="G36" s="7">
        <f>G$192</f>
        <v>4.7982874228028093E-3</v>
      </c>
      <c r="H36" s="8">
        <f t="shared" ref="H36:S36" si="24">H$192</f>
        <v>0</v>
      </c>
      <c r="I36" s="8">
        <f t="shared" si="24"/>
        <v>41.87</v>
      </c>
      <c r="J36" s="8">
        <f t="shared" si="24"/>
        <v>41.87</v>
      </c>
      <c r="K36" s="8">
        <f t="shared" ca="1" si="24"/>
        <v>0</v>
      </c>
      <c r="L36" s="8">
        <f t="shared" ca="1" si="24"/>
        <v>0</v>
      </c>
      <c r="M36" s="8">
        <f t="shared" si="24"/>
        <v>41.87</v>
      </c>
      <c r="N36" s="8">
        <f t="shared" si="24"/>
        <v>0</v>
      </c>
      <c r="O36" s="8">
        <f t="shared" si="24"/>
        <v>0</v>
      </c>
      <c r="P36" s="8">
        <f t="shared" si="24"/>
        <v>41.87</v>
      </c>
      <c r="Q36" s="8">
        <f t="shared" si="24"/>
        <v>0</v>
      </c>
      <c r="R36" s="8">
        <f t="shared" si="24"/>
        <v>0</v>
      </c>
      <c r="S36" s="8">
        <f t="shared" si="24"/>
        <v>0</v>
      </c>
    </row>
    <row r="37" spans="1:19" x14ac:dyDescent="0.25">
      <c r="A37" s="10">
        <v>9</v>
      </c>
      <c r="B37" s="11">
        <f t="shared" ref="B37:D37" si="25">B$208</f>
        <v>0</v>
      </c>
      <c r="C37" s="14" t="str">
        <f>C$197</f>
        <v>Alimentation</v>
      </c>
      <c r="D37" s="11">
        <f t="shared" si="25"/>
        <v>1</v>
      </c>
      <c r="F37" s="7"/>
      <c r="G37" s="7">
        <f>G$208</f>
        <v>0</v>
      </c>
      <c r="H37" s="8">
        <f t="shared" ref="H37:S37" si="26">H$208</f>
        <v>0</v>
      </c>
      <c r="I37" s="8">
        <f t="shared" si="26"/>
        <v>0</v>
      </c>
      <c r="J37" s="8">
        <f t="shared" si="26"/>
        <v>0</v>
      </c>
      <c r="K37" s="8">
        <f t="shared" ca="1" si="26"/>
        <v>0</v>
      </c>
      <c r="L37" s="8">
        <f t="shared" ca="1" si="26"/>
        <v>0</v>
      </c>
      <c r="M37" s="8">
        <f t="shared" si="26"/>
        <v>0</v>
      </c>
      <c r="N37" s="8">
        <f t="shared" si="26"/>
        <v>0</v>
      </c>
      <c r="O37" s="8">
        <f t="shared" si="26"/>
        <v>0</v>
      </c>
      <c r="P37" s="8">
        <f t="shared" si="26"/>
        <v>0</v>
      </c>
      <c r="Q37" s="8">
        <f t="shared" si="26"/>
        <v>0</v>
      </c>
      <c r="R37" s="8">
        <f t="shared" si="26"/>
        <v>0</v>
      </c>
      <c r="S37" s="8">
        <f t="shared" si="26"/>
        <v>0</v>
      </c>
    </row>
    <row r="38" spans="1:19" x14ac:dyDescent="0.25">
      <c r="A38" s="10">
        <v>10</v>
      </c>
      <c r="B38" s="11">
        <f t="shared" ref="B38:D38" si="27">B$224</f>
        <v>0</v>
      </c>
      <c r="C38" s="14" t="str">
        <f>C$213</f>
        <v>Restaurants</v>
      </c>
      <c r="D38" s="11">
        <f t="shared" si="27"/>
        <v>0</v>
      </c>
      <c r="F38" s="7"/>
      <c r="G38" s="7">
        <f>G$224</f>
        <v>0</v>
      </c>
      <c r="H38" s="8">
        <f t="shared" ref="H38:S38" si="28">H$224</f>
        <v>0</v>
      </c>
      <c r="I38" s="8">
        <f t="shared" si="28"/>
        <v>0</v>
      </c>
      <c r="J38" s="8">
        <f t="shared" si="28"/>
        <v>0</v>
      </c>
      <c r="K38" s="8">
        <f t="shared" ca="1" si="28"/>
        <v>0</v>
      </c>
      <c r="L38" s="8">
        <f t="shared" ca="1" si="28"/>
        <v>0</v>
      </c>
      <c r="M38" s="8">
        <f t="shared" si="28"/>
        <v>0</v>
      </c>
      <c r="N38" s="8">
        <f t="shared" si="28"/>
        <v>0</v>
      </c>
      <c r="O38" s="8">
        <f t="shared" si="28"/>
        <v>0</v>
      </c>
      <c r="P38" s="8">
        <f t="shared" si="28"/>
        <v>0</v>
      </c>
      <c r="Q38" s="8">
        <f t="shared" si="28"/>
        <v>0</v>
      </c>
      <c r="R38" s="8">
        <f t="shared" si="28"/>
        <v>0</v>
      </c>
      <c r="S38" s="8">
        <f t="shared" si="28"/>
        <v>0</v>
      </c>
    </row>
    <row r="39" spans="1:19" x14ac:dyDescent="0.25">
      <c r="A39" s="10">
        <v>11</v>
      </c>
      <c r="B39" s="11">
        <f t="shared" ref="B39:D39" si="29">B$240</f>
        <v>0</v>
      </c>
      <c r="C39" s="13" t="str">
        <f>C$229</f>
        <v>Animaux</v>
      </c>
      <c r="D39" s="11">
        <f t="shared" si="29"/>
        <v>0</v>
      </c>
      <c r="F39" s="7"/>
      <c r="G39" s="7">
        <f>G$240</f>
        <v>0</v>
      </c>
      <c r="H39" s="8">
        <f t="shared" ref="H39:S39" si="30">H$240</f>
        <v>0</v>
      </c>
      <c r="I39" s="8">
        <f t="shared" si="30"/>
        <v>0</v>
      </c>
      <c r="J39" s="8">
        <f t="shared" si="30"/>
        <v>0</v>
      </c>
      <c r="K39" s="8">
        <f t="shared" ca="1" si="30"/>
        <v>0</v>
      </c>
      <c r="L39" s="8">
        <f t="shared" ca="1" si="30"/>
        <v>0</v>
      </c>
      <c r="M39" s="8">
        <f t="shared" si="30"/>
        <v>0</v>
      </c>
      <c r="N39" s="8">
        <f t="shared" si="30"/>
        <v>0</v>
      </c>
      <c r="O39" s="8">
        <f t="shared" si="30"/>
        <v>0</v>
      </c>
      <c r="P39" s="8">
        <f t="shared" si="30"/>
        <v>0</v>
      </c>
      <c r="Q39" s="8">
        <f t="shared" si="30"/>
        <v>0</v>
      </c>
      <c r="R39" s="8">
        <f t="shared" si="30"/>
        <v>0</v>
      </c>
      <c r="S39" s="8">
        <f t="shared" si="30"/>
        <v>0</v>
      </c>
    </row>
    <row r="40" spans="1:19" x14ac:dyDescent="0.25">
      <c r="A40" s="10">
        <v>12</v>
      </c>
      <c r="B40" s="11">
        <f t="shared" ref="B40:D40" si="31">B$256</f>
        <v>0</v>
      </c>
      <c r="C40" s="14" t="str">
        <f>C$245</f>
        <v>Divertissement</v>
      </c>
      <c r="D40" s="11">
        <f t="shared" si="31"/>
        <v>0</v>
      </c>
      <c r="F40" s="7"/>
      <c r="G40" s="7">
        <f>G$256</f>
        <v>0</v>
      </c>
      <c r="H40" s="8">
        <f t="shared" ref="H40:S40" si="32">H$256</f>
        <v>0</v>
      </c>
      <c r="I40" s="8">
        <f t="shared" si="32"/>
        <v>0</v>
      </c>
      <c r="J40" s="8">
        <f t="shared" si="32"/>
        <v>0</v>
      </c>
      <c r="K40" s="8">
        <f t="shared" ca="1" si="32"/>
        <v>0</v>
      </c>
      <c r="L40" s="8">
        <f t="shared" ca="1" si="32"/>
        <v>0</v>
      </c>
      <c r="M40" s="8">
        <f t="shared" si="32"/>
        <v>0</v>
      </c>
      <c r="N40" s="8">
        <f t="shared" si="32"/>
        <v>0</v>
      </c>
      <c r="O40" s="8">
        <f t="shared" si="32"/>
        <v>0</v>
      </c>
      <c r="P40" s="8">
        <f t="shared" si="32"/>
        <v>0</v>
      </c>
      <c r="Q40" s="8">
        <f t="shared" si="32"/>
        <v>0</v>
      </c>
      <c r="R40" s="8">
        <f t="shared" si="32"/>
        <v>0</v>
      </c>
      <c r="S40" s="8">
        <f t="shared" si="32"/>
        <v>0</v>
      </c>
    </row>
    <row r="41" spans="1:19" x14ac:dyDescent="0.25">
      <c r="A41" s="10">
        <v>13</v>
      </c>
      <c r="B41" s="11">
        <f t="shared" ref="B41:D41" si="33">B$272</f>
        <v>0</v>
      </c>
      <c r="C41" s="14" t="str">
        <f>C$261</f>
        <v>Culture / Livres / DvD ...</v>
      </c>
      <c r="D41" s="11">
        <f t="shared" si="33"/>
        <v>0</v>
      </c>
      <c r="F41" s="7"/>
      <c r="G41" s="7">
        <f>G$272</f>
        <v>0</v>
      </c>
      <c r="H41" s="8">
        <f t="shared" ref="H41:S41" si="34">H$272</f>
        <v>0</v>
      </c>
      <c r="I41" s="8">
        <f t="shared" si="34"/>
        <v>0</v>
      </c>
      <c r="J41" s="8">
        <f t="shared" si="34"/>
        <v>0</v>
      </c>
      <c r="K41" s="8">
        <f t="shared" ca="1" si="34"/>
        <v>0</v>
      </c>
      <c r="L41" s="8">
        <f t="shared" ca="1" si="34"/>
        <v>0</v>
      </c>
      <c r="M41" s="8">
        <f t="shared" si="34"/>
        <v>0</v>
      </c>
      <c r="N41" s="8">
        <f t="shared" si="34"/>
        <v>0</v>
      </c>
      <c r="O41" s="8">
        <f t="shared" si="34"/>
        <v>0</v>
      </c>
      <c r="P41" s="8">
        <f t="shared" si="34"/>
        <v>0</v>
      </c>
      <c r="Q41" s="8">
        <f t="shared" si="34"/>
        <v>0</v>
      </c>
      <c r="R41" s="8">
        <f t="shared" si="34"/>
        <v>0</v>
      </c>
      <c r="S41" s="8">
        <f t="shared" si="34"/>
        <v>0</v>
      </c>
    </row>
    <row r="42" spans="1:19" x14ac:dyDescent="0.25">
      <c r="A42" s="10">
        <v>14</v>
      </c>
      <c r="B42" s="11">
        <f t="shared" ref="B42:D42" si="35">B$288</f>
        <v>0</v>
      </c>
      <c r="C42" s="14" t="str">
        <f>C$277</f>
        <v>Informatique/Medias Digitaux</v>
      </c>
      <c r="D42" s="11">
        <f t="shared" si="35"/>
        <v>0</v>
      </c>
      <c r="F42" s="7"/>
      <c r="G42" s="7">
        <f>G$288</f>
        <v>0</v>
      </c>
      <c r="H42" s="8">
        <f t="shared" ref="H42:S42" si="36">H$288</f>
        <v>0</v>
      </c>
      <c r="I42" s="8">
        <f t="shared" si="36"/>
        <v>0</v>
      </c>
      <c r="J42" s="8">
        <f t="shared" si="36"/>
        <v>0</v>
      </c>
      <c r="K42" s="8">
        <f t="shared" ca="1" si="36"/>
        <v>0</v>
      </c>
      <c r="L42" s="8">
        <f t="shared" ca="1" si="36"/>
        <v>0</v>
      </c>
      <c r="M42" s="8">
        <f t="shared" si="36"/>
        <v>0</v>
      </c>
      <c r="N42" s="8">
        <f t="shared" si="36"/>
        <v>0</v>
      </c>
      <c r="O42" s="8">
        <f t="shared" si="36"/>
        <v>0</v>
      </c>
      <c r="P42" s="8">
        <f t="shared" si="36"/>
        <v>0</v>
      </c>
      <c r="Q42" s="8">
        <f t="shared" si="36"/>
        <v>0</v>
      </c>
      <c r="R42" s="8">
        <f t="shared" si="36"/>
        <v>0</v>
      </c>
      <c r="S42" s="8">
        <f t="shared" si="36"/>
        <v>0</v>
      </c>
    </row>
    <row r="43" spans="1:19" x14ac:dyDescent="0.25">
      <c r="A43" s="10">
        <v>15</v>
      </c>
      <c r="B43" s="11">
        <f t="shared" ref="B43:D43" si="37">B$304</f>
        <v>3</v>
      </c>
      <c r="C43" s="14" t="str">
        <f>C$293</f>
        <v>Voyages</v>
      </c>
      <c r="D43" s="11">
        <f t="shared" si="37"/>
        <v>5</v>
      </c>
      <c r="F43" s="7"/>
      <c r="G43" s="7">
        <f>G$304</f>
        <v>9.0533724958543563E-3</v>
      </c>
      <c r="H43" s="8">
        <f t="shared" ref="H43:S43" si="38">H$304</f>
        <v>0</v>
      </c>
      <c r="I43" s="8">
        <f t="shared" si="38"/>
        <v>79</v>
      </c>
      <c r="J43" s="8">
        <f t="shared" si="38"/>
        <v>79</v>
      </c>
      <c r="K43" s="8">
        <f t="shared" ca="1" si="38"/>
        <v>0</v>
      </c>
      <c r="L43" s="8">
        <f t="shared" ca="1" si="38"/>
        <v>0</v>
      </c>
      <c r="M43" s="8">
        <f t="shared" si="38"/>
        <v>79</v>
      </c>
      <c r="N43" s="8">
        <f t="shared" si="38"/>
        <v>0</v>
      </c>
      <c r="O43" s="8">
        <f t="shared" si="38"/>
        <v>0</v>
      </c>
      <c r="P43" s="8">
        <f t="shared" si="38"/>
        <v>79</v>
      </c>
      <c r="Q43" s="8">
        <f t="shared" si="38"/>
        <v>0</v>
      </c>
      <c r="R43" s="8">
        <f t="shared" si="38"/>
        <v>0</v>
      </c>
      <c r="S43" s="8">
        <f t="shared" si="38"/>
        <v>0</v>
      </c>
    </row>
    <row r="44" spans="1:19" x14ac:dyDescent="0.25">
      <c r="A44" s="10">
        <v>16</v>
      </c>
      <c r="B44" s="11">
        <f t="shared" ref="B44:D44" si="39">B$320</f>
        <v>0</v>
      </c>
      <c r="C44" s="14" t="str">
        <f>C$309</f>
        <v>Moto</v>
      </c>
      <c r="D44" s="11">
        <f t="shared" si="39"/>
        <v>0</v>
      </c>
      <c r="F44" s="7"/>
      <c r="G44" s="7">
        <f>G$320</f>
        <v>0</v>
      </c>
      <c r="H44" s="8">
        <f t="shared" ref="H44:S44" si="40">H$320</f>
        <v>0</v>
      </c>
      <c r="I44" s="8">
        <f t="shared" si="40"/>
        <v>0</v>
      </c>
      <c r="J44" s="8">
        <f t="shared" si="40"/>
        <v>0</v>
      </c>
      <c r="K44" s="8">
        <f t="shared" ca="1" si="40"/>
        <v>0</v>
      </c>
      <c r="L44" s="8">
        <f t="shared" ca="1" si="40"/>
        <v>0</v>
      </c>
      <c r="M44" s="8">
        <f t="shared" si="40"/>
        <v>0</v>
      </c>
      <c r="N44" s="8">
        <f t="shared" si="40"/>
        <v>0</v>
      </c>
      <c r="O44" s="8">
        <f t="shared" si="40"/>
        <v>0</v>
      </c>
      <c r="P44" s="8">
        <f t="shared" si="40"/>
        <v>0</v>
      </c>
      <c r="Q44" s="8">
        <f t="shared" si="40"/>
        <v>0</v>
      </c>
      <c r="R44" s="8">
        <f t="shared" si="40"/>
        <v>0</v>
      </c>
      <c r="S44" s="8">
        <f t="shared" si="40"/>
        <v>0</v>
      </c>
    </row>
    <row r="45" spans="1:19" x14ac:dyDescent="0.25">
      <c r="A45" s="10">
        <v>17</v>
      </c>
      <c r="B45" s="11">
        <f t="shared" ref="B45:D45" si="41">B$336</f>
        <v>1</v>
      </c>
      <c r="C45" s="14" t="str">
        <f>C$325</f>
        <v>Cadeaux</v>
      </c>
      <c r="D45" s="11">
        <f t="shared" si="41"/>
        <v>1</v>
      </c>
      <c r="F45" s="7"/>
      <c r="G45" s="7">
        <f>G$336</f>
        <v>6.8645191455908355E-4</v>
      </c>
      <c r="H45" s="8">
        <f t="shared" ref="H45:S45" si="42">H$336</f>
        <v>0</v>
      </c>
      <c r="I45" s="8">
        <f t="shared" si="42"/>
        <v>5.99</v>
      </c>
      <c r="J45" s="8">
        <f t="shared" si="42"/>
        <v>5.99</v>
      </c>
      <c r="K45" s="8">
        <f t="shared" ca="1" si="42"/>
        <v>0</v>
      </c>
      <c r="L45" s="8">
        <f t="shared" ca="1" si="42"/>
        <v>0</v>
      </c>
      <c r="M45" s="8">
        <f t="shared" si="42"/>
        <v>5.99</v>
      </c>
      <c r="N45" s="8">
        <f t="shared" si="42"/>
        <v>0</v>
      </c>
      <c r="O45" s="8">
        <f t="shared" si="42"/>
        <v>0</v>
      </c>
      <c r="P45" s="8">
        <f t="shared" si="42"/>
        <v>5.99</v>
      </c>
      <c r="Q45" s="8">
        <f t="shared" si="42"/>
        <v>0</v>
      </c>
      <c r="R45" s="8">
        <f t="shared" si="42"/>
        <v>0</v>
      </c>
      <c r="S45" s="8">
        <f t="shared" si="42"/>
        <v>0</v>
      </c>
    </row>
    <row r="46" spans="1:19" x14ac:dyDescent="0.25">
      <c r="A46" s="10">
        <v>18</v>
      </c>
      <c r="B46" s="11">
        <f t="shared" ref="B46:D46" si="43">B$352</f>
        <v>0</v>
      </c>
      <c r="C46" s="13" t="str">
        <f>C$341</f>
        <v>Soins Médicaux</v>
      </c>
      <c r="D46" s="11">
        <f t="shared" si="43"/>
        <v>0</v>
      </c>
      <c r="F46" s="7"/>
      <c r="G46" s="7">
        <f>G$352</f>
        <v>0</v>
      </c>
      <c r="H46" s="8">
        <f t="shared" ref="H46:S46" si="44">H$352</f>
        <v>0</v>
      </c>
      <c r="I46" s="8">
        <f t="shared" si="44"/>
        <v>0</v>
      </c>
      <c r="J46" s="8">
        <f t="shared" si="44"/>
        <v>0</v>
      </c>
      <c r="K46" s="8">
        <f t="shared" ca="1" si="44"/>
        <v>0</v>
      </c>
      <c r="L46" s="8">
        <f t="shared" ca="1" si="44"/>
        <v>0</v>
      </c>
      <c r="M46" s="8">
        <f t="shared" si="44"/>
        <v>0</v>
      </c>
      <c r="N46" s="8">
        <f t="shared" si="44"/>
        <v>0</v>
      </c>
      <c r="O46" s="8">
        <f t="shared" si="44"/>
        <v>0</v>
      </c>
      <c r="P46" s="8">
        <f t="shared" si="44"/>
        <v>0</v>
      </c>
      <c r="Q46" s="8">
        <f t="shared" si="44"/>
        <v>0</v>
      </c>
      <c r="R46" s="8">
        <f t="shared" si="44"/>
        <v>0</v>
      </c>
      <c r="S46" s="8">
        <f t="shared" si="44"/>
        <v>0</v>
      </c>
    </row>
    <row r="47" spans="1:19" x14ac:dyDescent="0.25">
      <c r="A47" s="10">
        <v>19</v>
      </c>
      <c r="B47" s="11">
        <f t="shared" ref="B47:D47" si="45">B$368</f>
        <v>0</v>
      </c>
      <c r="C47" s="13" t="str">
        <f>C$357</f>
        <v>Soins de la personne</v>
      </c>
      <c r="D47" s="11">
        <f t="shared" si="45"/>
        <v>0</v>
      </c>
      <c r="F47" s="7"/>
      <c r="G47" s="7">
        <f>G$368</f>
        <v>0</v>
      </c>
      <c r="H47" s="8">
        <f t="shared" ref="H47:S47" si="46">H$368</f>
        <v>0</v>
      </c>
      <c r="I47" s="8">
        <f t="shared" si="46"/>
        <v>0</v>
      </c>
      <c r="J47" s="8">
        <f t="shared" si="46"/>
        <v>0</v>
      </c>
      <c r="K47" s="8">
        <f t="shared" ca="1" si="46"/>
        <v>0</v>
      </c>
      <c r="L47" s="8">
        <f t="shared" ca="1" si="46"/>
        <v>0</v>
      </c>
      <c r="M47" s="8">
        <f t="shared" si="46"/>
        <v>0</v>
      </c>
      <c r="N47" s="8">
        <f t="shared" si="46"/>
        <v>0</v>
      </c>
      <c r="O47" s="8">
        <f t="shared" si="46"/>
        <v>0</v>
      </c>
      <c r="P47" s="8">
        <f t="shared" si="46"/>
        <v>0</v>
      </c>
      <c r="Q47" s="8">
        <f t="shared" si="46"/>
        <v>0</v>
      </c>
      <c r="R47" s="8">
        <f t="shared" si="46"/>
        <v>0</v>
      </c>
      <c r="S47" s="8">
        <f t="shared" si="46"/>
        <v>0</v>
      </c>
    </row>
    <row r="48" spans="1:19" x14ac:dyDescent="0.25">
      <c r="A48" s="10">
        <v>20</v>
      </c>
      <c r="B48" s="11">
        <f t="shared" ref="B48:D48" si="47">B$384</f>
        <v>0</v>
      </c>
      <c r="C48" s="13" t="str">
        <f>C$373</f>
        <v>Erotisme</v>
      </c>
      <c r="D48" s="11">
        <f t="shared" si="47"/>
        <v>0</v>
      </c>
      <c r="F48" s="7"/>
      <c r="G48" s="7">
        <f>G$384</f>
        <v>0</v>
      </c>
      <c r="H48" s="8">
        <f t="shared" ref="H48:S48" si="48">H$384</f>
        <v>0</v>
      </c>
      <c r="I48" s="8">
        <f t="shared" si="48"/>
        <v>0</v>
      </c>
      <c r="J48" s="8">
        <f t="shared" si="48"/>
        <v>0</v>
      </c>
      <c r="K48" s="8">
        <f t="shared" ca="1" si="48"/>
        <v>0</v>
      </c>
      <c r="L48" s="8">
        <f t="shared" ca="1" si="48"/>
        <v>0</v>
      </c>
      <c r="M48" s="8">
        <f t="shared" si="48"/>
        <v>0</v>
      </c>
      <c r="N48" s="8">
        <f t="shared" si="48"/>
        <v>0</v>
      </c>
      <c r="O48" s="8">
        <f t="shared" si="48"/>
        <v>0</v>
      </c>
      <c r="P48" s="8">
        <f t="shared" si="48"/>
        <v>0</v>
      </c>
      <c r="Q48" s="8">
        <f t="shared" si="48"/>
        <v>0</v>
      </c>
      <c r="R48" s="8">
        <f t="shared" si="48"/>
        <v>0</v>
      </c>
      <c r="S48" s="8">
        <f t="shared" si="48"/>
        <v>0</v>
      </c>
    </row>
    <row r="49" spans="1:19" x14ac:dyDescent="0.25">
      <c r="A49" s="10">
        <v>21</v>
      </c>
      <c r="B49" s="11">
        <f t="shared" ref="B49:D49" si="49">B$400</f>
        <v>0</v>
      </c>
      <c r="C49" s="13" t="str">
        <f>C$389</f>
        <v>Habillement</v>
      </c>
      <c r="D49" s="11">
        <f t="shared" si="49"/>
        <v>0</v>
      </c>
      <c r="F49" s="7"/>
      <c r="G49" s="7">
        <f>G$400</f>
        <v>0</v>
      </c>
      <c r="H49" s="8">
        <f t="shared" ref="H49:S49" si="50">H$400</f>
        <v>0</v>
      </c>
      <c r="I49" s="8">
        <f t="shared" si="50"/>
        <v>0</v>
      </c>
      <c r="J49" s="8">
        <f t="shared" si="50"/>
        <v>0</v>
      </c>
      <c r="K49" s="8">
        <f t="shared" ca="1" si="50"/>
        <v>0</v>
      </c>
      <c r="L49" s="8">
        <f t="shared" ca="1" si="50"/>
        <v>0</v>
      </c>
      <c r="M49" s="8">
        <f t="shared" si="50"/>
        <v>0</v>
      </c>
      <c r="N49" s="8">
        <f t="shared" si="50"/>
        <v>0</v>
      </c>
      <c r="O49" s="8">
        <f t="shared" si="50"/>
        <v>0</v>
      </c>
      <c r="P49" s="8">
        <f t="shared" si="50"/>
        <v>0</v>
      </c>
      <c r="Q49" s="8">
        <f t="shared" si="50"/>
        <v>0</v>
      </c>
      <c r="R49" s="8">
        <f t="shared" si="50"/>
        <v>0</v>
      </c>
      <c r="S49" s="8">
        <f t="shared" si="50"/>
        <v>0</v>
      </c>
    </row>
    <row r="50" spans="1:19" x14ac:dyDescent="0.25">
      <c r="A50" s="10">
        <v>22</v>
      </c>
      <c r="B50" s="11">
        <f t="shared" ref="B50:D50" si="51">B$416</f>
        <v>0</v>
      </c>
      <c r="C50" s="13" t="str">
        <f>C$405</f>
        <v>Mobilier</v>
      </c>
      <c r="D50" s="11">
        <f t="shared" si="51"/>
        <v>0</v>
      </c>
      <c r="F50" s="7"/>
      <c r="G50" s="7">
        <f>G$416</f>
        <v>0</v>
      </c>
      <c r="H50" s="8">
        <f t="shared" ref="H50:S50" si="52">H$416</f>
        <v>0</v>
      </c>
      <c r="I50" s="8">
        <f t="shared" si="52"/>
        <v>0</v>
      </c>
      <c r="J50" s="8">
        <f t="shared" si="52"/>
        <v>0</v>
      </c>
      <c r="K50" s="8">
        <f t="shared" ca="1" si="52"/>
        <v>0</v>
      </c>
      <c r="L50" s="8">
        <f t="shared" ca="1" si="52"/>
        <v>0</v>
      </c>
      <c r="M50" s="8">
        <f t="shared" si="52"/>
        <v>0</v>
      </c>
      <c r="N50" s="8">
        <f t="shared" si="52"/>
        <v>0</v>
      </c>
      <c r="O50" s="8">
        <f t="shared" si="52"/>
        <v>0</v>
      </c>
      <c r="P50" s="8">
        <f t="shared" si="52"/>
        <v>0</v>
      </c>
      <c r="Q50" s="8">
        <f t="shared" si="52"/>
        <v>0</v>
      </c>
      <c r="R50" s="8">
        <f t="shared" si="52"/>
        <v>0</v>
      </c>
      <c r="S50" s="8">
        <f t="shared" si="52"/>
        <v>0</v>
      </c>
    </row>
    <row r="51" spans="1:19" x14ac:dyDescent="0.25">
      <c r="A51" s="10">
        <v>23</v>
      </c>
      <c r="B51" s="11">
        <f t="shared" ref="B51:D51" si="53">B$432</f>
        <v>0</v>
      </c>
      <c r="C51" s="13" t="str">
        <f>C$421</f>
        <v>Travaux</v>
      </c>
      <c r="D51" s="11">
        <f t="shared" si="53"/>
        <v>0</v>
      </c>
      <c r="F51" s="7"/>
      <c r="G51" s="7">
        <f>G$432</f>
        <v>0</v>
      </c>
      <c r="H51" s="8">
        <f t="shared" ref="H51:S51" si="54">H$432</f>
        <v>0</v>
      </c>
      <c r="I51" s="8">
        <f t="shared" si="54"/>
        <v>0</v>
      </c>
      <c r="J51" s="8">
        <f t="shared" si="54"/>
        <v>0</v>
      </c>
      <c r="K51" s="8">
        <f t="shared" ca="1" si="54"/>
        <v>0</v>
      </c>
      <c r="L51" s="8">
        <f t="shared" ca="1" si="54"/>
        <v>0</v>
      </c>
      <c r="M51" s="8">
        <f t="shared" si="54"/>
        <v>0</v>
      </c>
      <c r="N51" s="8">
        <f t="shared" si="54"/>
        <v>0</v>
      </c>
      <c r="O51" s="8">
        <f t="shared" si="54"/>
        <v>0</v>
      </c>
      <c r="P51" s="8">
        <f t="shared" si="54"/>
        <v>0</v>
      </c>
      <c r="Q51" s="8">
        <f t="shared" si="54"/>
        <v>0</v>
      </c>
      <c r="R51" s="8">
        <f t="shared" si="54"/>
        <v>0</v>
      </c>
      <c r="S51" s="8">
        <f t="shared" si="54"/>
        <v>0</v>
      </c>
    </row>
    <row r="52" spans="1:19" x14ac:dyDescent="0.25">
      <c r="A52" s="10">
        <v>24</v>
      </c>
      <c r="B52" s="11">
        <f t="shared" ref="B52:D52" si="55">B$448</f>
        <v>0</v>
      </c>
      <c r="C52" s="14" t="str">
        <f>C$437</f>
        <v>Matériel Régie / Outils de Travail</v>
      </c>
      <c r="D52" s="11">
        <f t="shared" si="55"/>
        <v>0</v>
      </c>
      <c r="F52" s="7"/>
      <c r="G52" s="7">
        <f>G$448</f>
        <v>0</v>
      </c>
      <c r="H52" s="8">
        <f t="shared" ref="H52:S52" si="56">H$448</f>
        <v>0</v>
      </c>
      <c r="I52" s="8">
        <f t="shared" si="56"/>
        <v>0</v>
      </c>
      <c r="J52" s="8">
        <f t="shared" si="56"/>
        <v>0</v>
      </c>
      <c r="K52" s="8">
        <f t="shared" ca="1" si="56"/>
        <v>0</v>
      </c>
      <c r="L52" s="8">
        <f t="shared" ca="1" si="56"/>
        <v>0</v>
      </c>
      <c r="M52" s="8">
        <f t="shared" si="56"/>
        <v>0</v>
      </c>
      <c r="N52" s="8">
        <f t="shared" si="56"/>
        <v>0</v>
      </c>
      <c r="O52" s="8">
        <f t="shared" si="56"/>
        <v>0</v>
      </c>
      <c r="P52" s="8">
        <f t="shared" si="56"/>
        <v>0</v>
      </c>
      <c r="Q52" s="8">
        <f t="shared" si="56"/>
        <v>0</v>
      </c>
      <c r="R52" s="8">
        <f t="shared" si="56"/>
        <v>0</v>
      </c>
      <c r="S52" s="8">
        <f t="shared" si="56"/>
        <v>0</v>
      </c>
    </row>
    <row r="53" spans="1:19" x14ac:dyDescent="0.25">
      <c r="A53" s="10">
        <v>25</v>
      </c>
      <c r="B53" s="11">
        <f t="shared" ref="B53:D53" si="57">B$464</f>
        <v>0</v>
      </c>
      <c r="C53" s="13" t="str">
        <f>C$453</f>
        <v>Divers</v>
      </c>
      <c r="D53" s="11">
        <f t="shared" si="57"/>
        <v>0</v>
      </c>
      <c r="F53" s="7"/>
      <c r="G53" s="7">
        <f>G$464</f>
        <v>0</v>
      </c>
      <c r="H53" s="8">
        <f t="shared" ref="H53:S53" si="58">H$464</f>
        <v>0</v>
      </c>
      <c r="I53" s="8">
        <f t="shared" si="58"/>
        <v>0</v>
      </c>
      <c r="J53" s="8">
        <f t="shared" si="58"/>
        <v>0</v>
      </c>
      <c r="K53" s="8">
        <f t="shared" ca="1" si="58"/>
        <v>0</v>
      </c>
      <c r="L53" s="8">
        <f t="shared" ca="1" si="58"/>
        <v>0</v>
      </c>
      <c r="M53" s="8">
        <f t="shared" si="58"/>
        <v>0</v>
      </c>
      <c r="N53" s="8">
        <f t="shared" si="58"/>
        <v>0</v>
      </c>
      <c r="O53" s="8">
        <f t="shared" si="58"/>
        <v>0</v>
      </c>
      <c r="P53" s="8">
        <f t="shared" si="58"/>
        <v>0</v>
      </c>
      <c r="Q53" s="8">
        <f t="shared" si="58"/>
        <v>0</v>
      </c>
      <c r="R53" s="8">
        <f t="shared" si="58"/>
        <v>0</v>
      </c>
      <c r="S53" s="8">
        <f t="shared" si="58"/>
        <v>0</v>
      </c>
    </row>
    <row r="54" spans="1:19" x14ac:dyDescent="0.25">
      <c r="A54" s="10">
        <v>26</v>
      </c>
      <c r="C54" s="11"/>
      <c r="D54" s="11"/>
      <c r="F54" s="7"/>
      <c r="G54" s="7"/>
      <c r="H54" s="8"/>
      <c r="I54" s="8"/>
      <c r="J54" s="8"/>
      <c r="K54" s="8"/>
      <c r="L54" s="8"/>
      <c r="M54" s="8"/>
      <c r="N54" s="8"/>
      <c r="O54" s="8"/>
      <c r="P54" s="8"/>
      <c r="Q54" s="8"/>
      <c r="R54" s="9"/>
      <c r="S54" s="9"/>
    </row>
    <row r="55" spans="1:19" x14ac:dyDescent="0.25">
      <c r="A55" s="10">
        <v>27</v>
      </c>
      <c r="C55" s="11"/>
      <c r="D55" s="11"/>
      <c r="F55" s="7"/>
      <c r="G55" s="7"/>
      <c r="H55" s="8"/>
      <c r="I55" s="8"/>
      <c r="J55" s="8"/>
      <c r="K55" s="8"/>
      <c r="L55" s="8"/>
      <c r="M55" s="8"/>
      <c r="N55" s="8"/>
      <c r="O55" s="8"/>
      <c r="P55" s="8"/>
      <c r="Q55" s="8"/>
      <c r="R55" s="9"/>
      <c r="S55" s="9"/>
    </row>
    <row r="56" spans="1:19" x14ac:dyDescent="0.25">
      <c r="A56" s="10">
        <v>28</v>
      </c>
      <c r="C56" s="11"/>
      <c r="D56" s="11"/>
      <c r="F56" s="7"/>
      <c r="G56" s="7"/>
      <c r="H56" s="8"/>
      <c r="I56" s="8"/>
      <c r="J56" s="8"/>
      <c r="K56" s="8"/>
      <c r="L56" s="8"/>
      <c r="M56" s="8"/>
      <c r="N56" s="8"/>
      <c r="O56" s="8"/>
      <c r="P56" s="8"/>
      <c r="Q56" s="8"/>
      <c r="R56" s="9"/>
      <c r="S56" s="9"/>
    </row>
    <row r="57" spans="1:19" x14ac:dyDescent="0.25">
      <c r="B57" s="1">
        <f>SUM(B29:B56)</f>
        <v>16</v>
      </c>
      <c r="D57" s="1">
        <f>SUM(D29:D56)</f>
        <v>65</v>
      </c>
      <c r="E57" s="1">
        <f>SUM(E29:E56)</f>
        <v>0</v>
      </c>
      <c r="F57" s="7">
        <f t="shared" ref="F57:S57" si="59">SUM(F29:F56)</f>
        <v>0</v>
      </c>
      <c r="G57" s="7">
        <f>SUM(G29:G56)</f>
        <v>1.0000000000000002</v>
      </c>
      <c r="H57" s="15">
        <f t="shared" si="59"/>
        <v>46.079999999999991</v>
      </c>
      <c r="I57" s="15">
        <f t="shared" si="59"/>
        <v>8679.9500000000007</v>
      </c>
      <c r="J57" s="15">
        <f t="shared" si="59"/>
        <v>8726.0300000000007</v>
      </c>
      <c r="K57" s="15">
        <f t="shared" ca="1" si="59"/>
        <v>0</v>
      </c>
      <c r="L57" s="15">
        <f t="shared" ca="1" si="59"/>
        <v>0</v>
      </c>
      <c r="M57" s="15">
        <f t="shared" si="59"/>
        <v>8726.0300000000007</v>
      </c>
      <c r="N57" s="15">
        <f t="shared" si="59"/>
        <v>0</v>
      </c>
      <c r="O57" s="15">
        <f t="shared" si="59"/>
        <v>6.63</v>
      </c>
      <c r="P57" s="15">
        <f t="shared" si="59"/>
        <v>8719.4000000000015</v>
      </c>
      <c r="Q57" s="15">
        <f t="shared" si="59"/>
        <v>0</v>
      </c>
      <c r="R57" s="15">
        <f t="shared" si="59"/>
        <v>0</v>
      </c>
      <c r="S57" s="15">
        <f t="shared" si="59"/>
        <v>3.3149999999999999</v>
      </c>
    </row>
    <row r="58" spans="1:19" x14ac:dyDescent="0.25">
      <c r="F58" s="7"/>
      <c r="G58" s="7"/>
    </row>
    <row r="59" spans="1:19" x14ac:dyDescent="0.25">
      <c r="F59" s="7"/>
      <c r="G59" s="7"/>
    </row>
    <row r="60" spans="1:19" ht="15.75" thickBot="1" x14ac:dyDescent="0.3">
      <c r="F60" s="7"/>
      <c r="G60" s="7"/>
    </row>
    <row r="61" spans="1:19" ht="15.75" thickBot="1" x14ac:dyDescent="0.3">
      <c r="F61" s="7"/>
      <c r="G61" s="7"/>
      <c r="M61" s="23" t="s">
        <v>0</v>
      </c>
      <c r="N61" s="24"/>
      <c r="O61" s="2" t="s">
        <v>1</v>
      </c>
      <c r="P61" s="25" t="s">
        <v>2</v>
      </c>
      <c r="Q61" s="26"/>
      <c r="R61" s="23" t="s">
        <v>3</v>
      </c>
      <c r="S61" s="24"/>
    </row>
    <row r="62" spans="1:19" s="6" customFormat="1" ht="14.1" customHeight="1" x14ac:dyDescent="0.2">
      <c r="A62" s="21" t="s">
        <v>4</v>
      </c>
      <c r="B62" s="4" t="s">
        <v>5</v>
      </c>
      <c r="C62" s="16" t="s">
        <v>26</v>
      </c>
      <c r="D62" s="3" t="s">
        <v>7</v>
      </c>
      <c r="E62" s="3" t="s">
        <v>8</v>
      </c>
      <c r="F62" s="5" t="s">
        <v>9</v>
      </c>
      <c r="G62" s="5" t="s">
        <v>10</v>
      </c>
      <c r="H62" s="4" t="s">
        <v>11</v>
      </c>
      <c r="I62" s="3" t="s">
        <v>12</v>
      </c>
      <c r="J62" s="3" t="s">
        <v>13</v>
      </c>
      <c r="K62" s="3" t="s">
        <v>14</v>
      </c>
      <c r="L62" s="3" t="s">
        <v>15</v>
      </c>
      <c r="M62" s="3" t="s">
        <v>16</v>
      </c>
      <c r="N62" s="3" t="s">
        <v>17</v>
      </c>
      <c r="O62" s="3" t="s">
        <v>1</v>
      </c>
      <c r="P62" s="3" t="s">
        <v>18</v>
      </c>
      <c r="Q62" s="3" t="s">
        <v>19</v>
      </c>
      <c r="R62" s="3" t="s">
        <v>20</v>
      </c>
      <c r="S62" s="3" t="s">
        <v>21</v>
      </c>
    </row>
    <row r="63" spans="1:19" x14ac:dyDescent="0.25">
      <c r="A63" s="20">
        <v>40725</v>
      </c>
      <c r="B63" s="1" t="s">
        <v>50</v>
      </c>
      <c r="C63" s="1" t="s">
        <v>51</v>
      </c>
      <c r="D63" s="1" t="s">
        <v>52</v>
      </c>
      <c r="E63" s="1" t="s">
        <v>53</v>
      </c>
      <c r="F63" s="7">
        <f t="shared" ref="F63:F71" si="60">$J63/J$73</f>
        <v>0.27272727272727271</v>
      </c>
      <c r="G63" s="7">
        <f t="shared" ref="G63:G71" si="61">$J63/J$57</f>
        <v>0.23722127932175341</v>
      </c>
      <c r="H63" s="8">
        <f t="shared" ref="H63:H72" si="62">$J63-$I63</f>
        <v>0</v>
      </c>
      <c r="I63" s="8">
        <f t="shared" ref="I63:J72" si="63">$M63+$N63</f>
        <v>2070</v>
      </c>
      <c r="J63" s="8">
        <f t="shared" si="63"/>
        <v>2070</v>
      </c>
      <c r="K63" s="8">
        <f t="shared" ref="K63:K72" ca="1" si="64">IF(($K63)&gt;=$N63+$M63,"",($L63-$M63-$N63))</f>
        <v>0</v>
      </c>
      <c r="L63" s="8">
        <f t="shared" ref="L63:L71" ca="1" si="65">M63+N63-K63</f>
        <v>0</v>
      </c>
      <c r="M63" s="8">
        <v>2070</v>
      </c>
      <c r="N63" s="8"/>
      <c r="O63" s="8">
        <f t="shared" ref="O63:O71" si="66">$J63-($P63+$Q63)</f>
        <v>0</v>
      </c>
      <c r="P63" s="8">
        <v>2070</v>
      </c>
      <c r="Q63" s="8"/>
      <c r="R63" s="9" t="str">
        <f t="shared" ref="R63:R72" si="67">IF(($M63+$P63)&gt;=$N63+$Q63,"",($O63/2)+$P63-$M63)</f>
        <v/>
      </c>
      <c r="S63" s="9">
        <f t="shared" ref="S63:S72" si="68">IF(($M63+$P63)&gt;=$N63+$Q63,($O63/2)+$Q63-$N63,"")</f>
        <v>0</v>
      </c>
    </row>
    <row r="64" spans="1:19" x14ac:dyDescent="0.25">
      <c r="A64" s="20">
        <v>40817</v>
      </c>
      <c r="B64" s="1" t="s">
        <v>50</v>
      </c>
      <c r="C64" s="1" t="s">
        <v>51</v>
      </c>
      <c r="D64" s="1" t="s">
        <v>55</v>
      </c>
      <c r="E64" s="1" t="s">
        <v>56</v>
      </c>
      <c r="F64" s="7">
        <f t="shared" si="60"/>
        <v>9.0909090909090912E-2</v>
      </c>
      <c r="G64" s="7">
        <f t="shared" si="61"/>
        <v>7.9073759773917798E-2</v>
      </c>
      <c r="H64" s="8">
        <f t="shared" si="62"/>
        <v>0</v>
      </c>
      <c r="I64" s="8">
        <f t="shared" si="63"/>
        <v>690</v>
      </c>
      <c r="J64" s="8">
        <f t="shared" si="63"/>
        <v>690</v>
      </c>
      <c r="K64" s="8">
        <f t="shared" ca="1" si="64"/>
        <v>0</v>
      </c>
      <c r="L64" s="8">
        <f t="shared" ca="1" si="65"/>
        <v>0</v>
      </c>
      <c r="M64" s="8">
        <v>690</v>
      </c>
      <c r="N64" s="8"/>
      <c r="O64" s="8">
        <f t="shared" si="66"/>
        <v>0</v>
      </c>
      <c r="P64" s="8">
        <v>690</v>
      </c>
      <c r="Q64" s="8"/>
      <c r="R64" s="9" t="str">
        <f t="shared" si="67"/>
        <v/>
      </c>
      <c r="S64" s="9">
        <f t="shared" si="68"/>
        <v>0</v>
      </c>
    </row>
    <row r="65" spans="1:19" x14ac:dyDescent="0.25">
      <c r="A65" s="20">
        <v>40848</v>
      </c>
      <c r="B65" s="1" t="s">
        <v>50</v>
      </c>
      <c r="C65" s="1" t="s">
        <v>51</v>
      </c>
      <c r="D65" s="1" t="s">
        <v>57</v>
      </c>
      <c r="E65" s="1" t="s">
        <v>56</v>
      </c>
      <c r="F65" s="7">
        <f t="shared" si="60"/>
        <v>9.0909090909090912E-2</v>
      </c>
      <c r="G65" s="7">
        <f t="shared" si="61"/>
        <v>7.9073759773917798E-2</v>
      </c>
      <c r="H65" s="8">
        <f t="shared" si="62"/>
        <v>0</v>
      </c>
      <c r="I65" s="8">
        <f t="shared" si="63"/>
        <v>690</v>
      </c>
      <c r="J65" s="8">
        <f t="shared" si="63"/>
        <v>690</v>
      </c>
      <c r="K65" s="8">
        <f t="shared" ca="1" si="64"/>
        <v>0</v>
      </c>
      <c r="L65" s="8">
        <f t="shared" ca="1" si="65"/>
        <v>0</v>
      </c>
      <c r="M65" s="8">
        <v>690</v>
      </c>
      <c r="N65" s="8"/>
      <c r="O65" s="8">
        <f t="shared" si="66"/>
        <v>0</v>
      </c>
      <c r="P65" s="8">
        <v>690</v>
      </c>
      <c r="Q65" s="8"/>
      <c r="R65" s="9" t="str">
        <f t="shared" si="67"/>
        <v/>
      </c>
      <c r="S65" s="9">
        <f t="shared" si="68"/>
        <v>0</v>
      </c>
    </row>
    <row r="66" spans="1:19" x14ac:dyDescent="0.25">
      <c r="A66" s="20">
        <v>40878</v>
      </c>
      <c r="B66" s="1" t="s">
        <v>50</v>
      </c>
      <c r="C66" s="1" t="s">
        <v>51</v>
      </c>
      <c r="D66" s="1" t="s">
        <v>58</v>
      </c>
      <c r="E66" s="1" t="s">
        <v>56</v>
      </c>
      <c r="F66" s="7">
        <f t="shared" si="60"/>
        <v>9.0909090909090912E-2</v>
      </c>
      <c r="G66" s="7">
        <f t="shared" si="61"/>
        <v>7.9073759773917798E-2</v>
      </c>
      <c r="H66" s="8">
        <f t="shared" si="62"/>
        <v>0</v>
      </c>
      <c r="I66" s="8">
        <f t="shared" si="63"/>
        <v>690</v>
      </c>
      <c r="J66" s="8">
        <f t="shared" si="63"/>
        <v>690</v>
      </c>
      <c r="K66" s="8">
        <f t="shared" ca="1" si="64"/>
        <v>0</v>
      </c>
      <c r="L66" s="8">
        <f t="shared" ca="1" si="65"/>
        <v>0</v>
      </c>
      <c r="M66" s="8">
        <v>690</v>
      </c>
      <c r="N66" s="8"/>
      <c r="O66" s="8">
        <f t="shared" si="66"/>
        <v>0</v>
      </c>
      <c r="P66" s="8">
        <v>690</v>
      </c>
      <c r="Q66" s="8"/>
      <c r="R66" s="9" t="str">
        <f t="shared" si="67"/>
        <v/>
      </c>
      <c r="S66" s="9">
        <f t="shared" si="68"/>
        <v>0</v>
      </c>
    </row>
    <row r="67" spans="1:19" x14ac:dyDescent="0.25">
      <c r="A67" s="20">
        <v>40909</v>
      </c>
      <c r="B67" s="1" t="s">
        <v>50</v>
      </c>
      <c r="C67" s="1" t="s">
        <v>51</v>
      </c>
      <c r="D67" s="1" t="s">
        <v>59</v>
      </c>
      <c r="E67" s="1" t="s">
        <v>56</v>
      </c>
      <c r="F67" s="7">
        <f t="shared" si="60"/>
        <v>9.0909090909090912E-2</v>
      </c>
      <c r="G67" s="7">
        <f t="shared" si="61"/>
        <v>7.9073759773917798E-2</v>
      </c>
      <c r="H67" s="8">
        <f t="shared" si="62"/>
        <v>0</v>
      </c>
      <c r="I67" s="8">
        <f t="shared" si="63"/>
        <v>690</v>
      </c>
      <c r="J67" s="8">
        <f t="shared" si="63"/>
        <v>690</v>
      </c>
      <c r="K67" s="8">
        <f t="shared" ca="1" si="64"/>
        <v>0</v>
      </c>
      <c r="L67" s="8">
        <f t="shared" ca="1" si="65"/>
        <v>0</v>
      </c>
      <c r="M67" s="8">
        <v>690</v>
      </c>
      <c r="N67" s="8"/>
      <c r="O67" s="8">
        <f t="shared" si="66"/>
        <v>0</v>
      </c>
      <c r="P67" s="8">
        <v>690</v>
      </c>
      <c r="Q67" s="8"/>
      <c r="R67" s="9" t="str">
        <f t="shared" si="67"/>
        <v/>
      </c>
      <c r="S67" s="9">
        <f t="shared" si="68"/>
        <v>0</v>
      </c>
    </row>
    <row r="68" spans="1:19" x14ac:dyDescent="0.25">
      <c r="A68" s="20">
        <v>40940</v>
      </c>
      <c r="B68" s="1" t="s">
        <v>50</v>
      </c>
      <c r="C68" s="1" t="s">
        <v>51</v>
      </c>
      <c r="D68" s="1" t="s">
        <v>60</v>
      </c>
      <c r="E68" s="1" t="s">
        <v>56</v>
      </c>
      <c r="F68" s="7">
        <f t="shared" si="60"/>
        <v>9.0909090909090912E-2</v>
      </c>
      <c r="G68" s="7">
        <f t="shared" si="61"/>
        <v>7.9073759773917798E-2</v>
      </c>
      <c r="H68" s="8">
        <f t="shared" si="62"/>
        <v>0</v>
      </c>
      <c r="I68" s="8">
        <f t="shared" si="63"/>
        <v>690</v>
      </c>
      <c r="J68" s="8">
        <f t="shared" si="63"/>
        <v>690</v>
      </c>
      <c r="K68" s="8">
        <f t="shared" ca="1" si="64"/>
        <v>0</v>
      </c>
      <c r="L68" s="8">
        <f t="shared" ca="1" si="65"/>
        <v>0</v>
      </c>
      <c r="M68" s="8">
        <v>690</v>
      </c>
      <c r="N68" s="8"/>
      <c r="O68" s="8">
        <f t="shared" si="66"/>
        <v>0</v>
      </c>
      <c r="P68" s="8">
        <v>690</v>
      </c>
      <c r="Q68" s="8"/>
      <c r="R68" s="9" t="str">
        <f t="shared" si="67"/>
        <v/>
      </c>
      <c r="S68" s="9">
        <f t="shared" si="68"/>
        <v>0</v>
      </c>
    </row>
    <row r="69" spans="1:19" x14ac:dyDescent="0.25">
      <c r="A69" s="20">
        <v>40969</v>
      </c>
      <c r="B69" s="1" t="s">
        <v>50</v>
      </c>
      <c r="C69" s="1" t="s">
        <v>51</v>
      </c>
      <c r="D69" s="1" t="s">
        <v>61</v>
      </c>
      <c r="E69" s="1" t="s">
        <v>56</v>
      </c>
      <c r="F69" s="7">
        <f t="shared" si="60"/>
        <v>9.0909090909090912E-2</v>
      </c>
      <c r="G69" s="7">
        <f t="shared" si="61"/>
        <v>7.9073759773917798E-2</v>
      </c>
      <c r="H69" s="8">
        <f t="shared" si="62"/>
        <v>0</v>
      </c>
      <c r="I69" s="8">
        <f t="shared" si="63"/>
        <v>690</v>
      </c>
      <c r="J69" s="8">
        <f t="shared" si="63"/>
        <v>690</v>
      </c>
      <c r="K69" s="8">
        <f t="shared" ca="1" si="64"/>
        <v>0</v>
      </c>
      <c r="L69" s="8">
        <f t="shared" ca="1" si="65"/>
        <v>0</v>
      </c>
      <c r="M69" s="8">
        <v>690</v>
      </c>
      <c r="N69" s="8"/>
      <c r="O69" s="8">
        <f t="shared" si="66"/>
        <v>0</v>
      </c>
      <c r="P69" s="8">
        <v>690</v>
      </c>
      <c r="Q69" s="8"/>
      <c r="R69" s="9" t="str">
        <f t="shared" si="67"/>
        <v/>
      </c>
      <c r="S69" s="9">
        <f t="shared" si="68"/>
        <v>0</v>
      </c>
    </row>
    <row r="70" spans="1:19" x14ac:dyDescent="0.25">
      <c r="A70" s="20">
        <v>41000</v>
      </c>
      <c r="B70" s="1" t="s">
        <v>50</v>
      </c>
      <c r="C70" s="1" t="s">
        <v>51</v>
      </c>
      <c r="D70" s="1" t="s">
        <v>62</v>
      </c>
      <c r="E70" s="1" t="s">
        <v>56</v>
      </c>
      <c r="F70" s="7">
        <f t="shared" si="60"/>
        <v>9.0909090909090912E-2</v>
      </c>
      <c r="G70" s="7">
        <f t="shared" si="61"/>
        <v>7.9073759773917798E-2</v>
      </c>
      <c r="H70" s="8">
        <f t="shared" si="62"/>
        <v>0</v>
      </c>
      <c r="I70" s="8">
        <f t="shared" si="63"/>
        <v>690</v>
      </c>
      <c r="J70" s="8">
        <f t="shared" si="63"/>
        <v>690</v>
      </c>
      <c r="K70" s="8">
        <f t="shared" ca="1" si="64"/>
        <v>0</v>
      </c>
      <c r="L70" s="8">
        <f t="shared" ca="1" si="65"/>
        <v>0</v>
      </c>
      <c r="M70" s="8">
        <v>690</v>
      </c>
      <c r="N70" s="8"/>
      <c r="O70" s="8">
        <f t="shared" si="66"/>
        <v>0</v>
      </c>
      <c r="P70" s="8">
        <v>690</v>
      </c>
      <c r="Q70" s="8"/>
      <c r="R70" s="9" t="str">
        <f t="shared" si="67"/>
        <v/>
      </c>
      <c r="S70" s="9">
        <f t="shared" si="68"/>
        <v>0</v>
      </c>
    </row>
    <row r="71" spans="1:19" x14ac:dyDescent="0.25">
      <c r="A71" s="20">
        <v>41030</v>
      </c>
      <c r="B71" s="1" t="s">
        <v>50</v>
      </c>
      <c r="C71" s="1" t="s">
        <v>51</v>
      </c>
      <c r="D71" s="1" t="s">
        <v>63</v>
      </c>
      <c r="E71" s="1" t="s">
        <v>56</v>
      </c>
      <c r="F71" s="7">
        <f t="shared" si="60"/>
        <v>9.0909090909090912E-2</v>
      </c>
      <c r="G71" s="7">
        <f t="shared" si="61"/>
        <v>7.9073759773917798E-2</v>
      </c>
      <c r="H71" s="8">
        <f t="shared" si="62"/>
        <v>0</v>
      </c>
      <c r="I71" s="8">
        <f t="shared" si="63"/>
        <v>690</v>
      </c>
      <c r="J71" s="8">
        <f t="shared" si="63"/>
        <v>690</v>
      </c>
      <c r="K71" s="8">
        <f t="shared" ca="1" si="64"/>
        <v>0</v>
      </c>
      <c r="L71" s="8">
        <f t="shared" ca="1" si="65"/>
        <v>0</v>
      </c>
      <c r="M71" s="8">
        <v>690</v>
      </c>
      <c r="N71" s="8"/>
      <c r="O71" s="8">
        <f t="shared" si="66"/>
        <v>0</v>
      </c>
      <c r="P71" s="8">
        <v>690</v>
      </c>
      <c r="Q71" s="8"/>
      <c r="R71" s="9" t="str">
        <f t="shared" si="67"/>
        <v/>
      </c>
      <c r="S71" s="9">
        <f t="shared" si="68"/>
        <v>0</v>
      </c>
    </row>
    <row r="72" spans="1:19" x14ac:dyDescent="0.25">
      <c r="F72" s="7">
        <f t="shared" ref="F72" si="69">$J72/J$73</f>
        <v>0</v>
      </c>
      <c r="G72" s="7">
        <f t="shared" ref="G72" si="70">$J72/J$57</f>
        <v>0</v>
      </c>
      <c r="H72" s="8">
        <f t="shared" si="62"/>
        <v>0</v>
      </c>
      <c r="I72" s="8">
        <f t="shared" si="63"/>
        <v>0</v>
      </c>
      <c r="J72" s="8">
        <f t="shared" si="63"/>
        <v>0</v>
      </c>
      <c r="K72" s="8">
        <f t="shared" ca="1" si="64"/>
        <v>0</v>
      </c>
      <c r="L72" s="8">
        <f t="shared" ref="L72" ca="1" si="71">M72+N72-K72</f>
        <v>0</v>
      </c>
      <c r="M72" s="8"/>
      <c r="N72" s="8"/>
      <c r="O72" s="8">
        <f>$J72-($P72+$Q72)</f>
        <v>0</v>
      </c>
      <c r="P72" s="8"/>
      <c r="Q72" s="8"/>
      <c r="R72" s="9" t="str">
        <f t="shared" si="67"/>
        <v/>
      </c>
      <c r="S72" s="9">
        <f t="shared" si="68"/>
        <v>0</v>
      </c>
    </row>
    <row r="73" spans="1:19" x14ac:dyDescent="0.25">
      <c r="B73" s="1">
        <f>SUMPRODUCT((B63:B72&lt;&gt;"")/COUNTIF(B63:B72,B63:B72&amp;""))</f>
        <v>1.0000000000000002</v>
      </c>
      <c r="C73" s="1">
        <f>COUNTA(Tableau15[Logement])</f>
        <v>9</v>
      </c>
      <c r="D73" s="1">
        <f>COUNTA(Tableau15[Nature des Dépenses])</f>
        <v>9</v>
      </c>
      <c r="F73" s="7">
        <f t="shared" ref="F73:S73" si="72">SUM(F63:F72)</f>
        <v>1.0000000000000002</v>
      </c>
      <c r="G73" s="7">
        <f t="shared" si="72"/>
        <v>0.86981135751309591</v>
      </c>
      <c r="H73" s="8">
        <f t="shared" si="72"/>
        <v>0</v>
      </c>
      <c r="I73" s="8">
        <f t="shared" si="72"/>
        <v>7590</v>
      </c>
      <c r="J73" s="8">
        <f t="shared" si="72"/>
        <v>7590</v>
      </c>
      <c r="K73" s="8">
        <f t="shared" ca="1" si="72"/>
        <v>0</v>
      </c>
      <c r="L73" s="8">
        <f t="shared" ca="1" si="72"/>
        <v>0</v>
      </c>
      <c r="M73" s="8">
        <f t="shared" si="72"/>
        <v>7590</v>
      </c>
      <c r="N73" s="8">
        <f t="shared" si="72"/>
        <v>0</v>
      </c>
      <c r="O73" s="8">
        <f t="shared" si="72"/>
        <v>0</v>
      </c>
      <c r="P73" s="8">
        <f t="shared" si="72"/>
        <v>7590</v>
      </c>
      <c r="Q73" s="8">
        <f t="shared" si="72"/>
        <v>0</v>
      </c>
      <c r="R73" s="8">
        <f t="shared" si="72"/>
        <v>0</v>
      </c>
      <c r="S73" s="8">
        <f t="shared" si="72"/>
        <v>0</v>
      </c>
    </row>
    <row r="74" spans="1:19" x14ac:dyDescent="0.25">
      <c r="F74" s="7"/>
      <c r="G74" s="7"/>
    </row>
    <row r="75" spans="1:19" x14ac:dyDescent="0.25">
      <c r="F75" s="7"/>
      <c r="G75" s="7"/>
    </row>
    <row r="76" spans="1:19" ht="15.75" thickBot="1" x14ac:dyDescent="0.3">
      <c r="F76" s="7"/>
      <c r="G76" s="7"/>
    </row>
    <row r="77" spans="1:19" ht="15.75" thickBot="1" x14ac:dyDescent="0.3">
      <c r="F77" s="7"/>
      <c r="G77" s="7"/>
      <c r="M77" s="23" t="s">
        <v>0</v>
      </c>
      <c r="N77" s="24"/>
      <c r="O77" s="2" t="s">
        <v>1</v>
      </c>
      <c r="P77" s="25" t="s">
        <v>2</v>
      </c>
      <c r="Q77" s="26"/>
      <c r="R77" s="23" t="s">
        <v>3</v>
      </c>
      <c r="S77" s="24"/>
    </row>
    <row r="78" spans="1:19" s="6" customFormat="1" ht="14.1" customHeight="1" x14ac:dyDescent="0.2">
      <c r="A78" s="21" t="s">
        <v>4</v>
      </c>
      <c r="B78" s="4" t="s">
        <v>5</v>
      </c>
      <c r="C78" s="16" t="s">
        <v>27</v>
      </c>
      <c r="D78" s="3" t="s">
        <v>7</v>
      </c>
      <c r="E78" s="3" t="s">
        <v>8</v>
      </c>
      <c r="F78" s="5" t="s">
        <v>9</v>
      </c>
      <c r="G78" s="5" t="s">
        <v>10</v>
      </c>
      <c r="H78" s="4" t="s">
        <v>11</v>
      </c>
      <c r="I78" s="3" t="s">
        <v>12</v>
      </c>
      <c r="J78" s="3" t="s">
        <v>13</v>
      </c>
      <c r="K78" s="3" t="s">
        <v>14</v>
      </c>
      <c r="L78" s="3" t="s">
        <v>15</v>
      </c>
      <c r="M78" s="3" t="s">
        <v>16</v>
      </c>
      <c r="N78" s="3" t="s">
        <v>17</v>
      </c>
      <c r="O78" s="3" t="s">
        <v>1</v>
      </c>
      <c r="P78" s="3" t="s">
        <v>18</v>
      </c>
      <c r="Q78" s="3" t="s">
        <v>19</v>
      </c>
      <c r="R78" s="3" t="s">
        <v>20</v>
      </c>
      <c r="S78" s="3" t="s">
        <v>21</v>
      </c>
    </row>
    <row r="79" spans="1:19" x14ac:dyDescent="0.25">
      <c r="A79" s="20">
        <v>40756</v>
      </c>
      <c r="B79" s="1" t="s">
        <v>64</v>
      </c>
      <c r="C79" s="1" t="s">
        <v>65</v>
      </c>
      <c r="D79" s="1" t="s">
        <v>66</v>
      </c>
      <c r="F79" s="7">
        <f t="shared" ref="F79:F90" si="73">$J79/J$92</f>
        <v>0.1033544877606528</v>
      </c>
      <c r="G79" s="7">
        <f t="shared" ref="G79:G90" si="74">$J79/J$57</f>
        <v>1.9596540465710065E-3</v>
      </c>
      <c r="H79" s="8">
        <f t="shared" ref="H79:H91" si="75">$J79-$I79</f>
        <v>0</v>
      </c>
      <c r="I79" s="8">
        <f t="shared" ref="I79:J91" si="76">$M79+$N79</f>
        <v>17.100000000000001</v>
      </c>
      <c r="J79" s="8">
        <f t="shared" si="76"/>
        <v>17.100000000000001</v>
      </c>
      <c r="K79" s="8"/>
      <c r="L79" s="8"/>
      <c r="M79" s="8">
        <v>17.100000000000001</v>
      </c>
      <c r="N79" s="8"/>
      <c r="O79" s="8">
        <f t="shared" ref="O79:O90" si="77">$J79-($P79+$Q79)</f>
        <v>0</v>
      </c>
      <c r="P79" s="8">
        <v>17.100000000000001</v>
      </c>
      <c r="Q79" s="8"/>
      <c r="R79" s="9" t="str">
        <f t="shared" ref="R79:R91" si="78">IF(($M79+$P79)&gt;=$N79+$Q79,"",($O79/2)+$P79-$M79)</f>
        <v/>
      </c>
      <c r="S79" s="9">
        <f t="shared" ref="S79:S91" si="79">IF(($M79+$P79)&gt;=$N79+$Q79,($O79/2)+$Q79-$N79,"")</f>
        <v>0</v>
      </c>
    </row>
    <row r="80" spans="1:19" x14ac:dyDescent="0.25">
      <c r="A80" s="20">
        <v>40787</v>
      </c>
      <c r="B80" s="1" t="s">
        <v>64</v>
      </c>
      <c r="C80" s="1" t="s">
        <v>65</v>
      </c>
      <c r="D80" s="1" t="s">
        <v>66</v>
      </c>
      <c r="F80" s="7">
        <f t="shared" si="73"/>
        <v>0.1033544877606528</v>
      </c>
      <c r="G80" s="7">
        <f t="shared" si="74"/>
        <v>1.9596540465710065E-3</v>
      </c>
      <c r="H80" s="8">
        <f t="shared" si="75"/>
        <v>0</v>
      </c>
      <c r="I80" s="8">
        <f t="shared" si="76"/>
        <v>17.100000000000001</v>
      </c>
      <c r="J80" s="8">
        <f t="shared" si="76"/>
        <v>17.100000000000001</v>
      </c>
      <c r="K80" s="8"/>
      <c r="L80" s="8"/>
      <c r="M80" s="8">
        <v>17.100000000000001</v>
      </c>
      <c r="N80" s="8"/>
      <c r="O80" s="8">
        <f t="shared" si="77"/>
        <v>0</v>
      </c>
      <c r="P80" s="8">
        <v>17.100000000000001</v>
      </c>
      <c r="Q80" s="8"/>
      <c r="R80" s="9" t="str">
        <f t="shared" si="78"/>
        <v/>
      </c>
      <c r="S80" s="9">
        <f t="shared" si="79"/>
        <v>0</v>
      </c>
    </row>
    <row r="81" spans="1:19" x14ac:dyDescent="0.25">
      <c r="A81" s="20">
        <v>40787</v>
      </c>
      <c r="B81" s="1" t="s">
        <v>64</v>
      </c>
      <c r="C81" s="1" t="s">
        <v>65</v>
      </c>
      <c r="D81" s="1" t="s">
        <v>66</v>
      </c>
      <c r="F81" s="7">
        <f t="shared" si="73"/>
        <v>0.1033544877606528</v>
      </c>
      <c r="G81" s="7">
        <f t="shared" si="74"/>
        <v>1.9596540465710065E-3</v>
      </c>
      <c r="H81" s="8">
        <f t="shared" si="75"/>
        <v>0</v>
      </c>
      <c r="I81" s="8">
        <f t="shared" si="76"/>
        <v>17.100000000000001</v>
      </c>
      <c r="J81" s="8">
        <f t="shared" si="76"/>
        <v>17.100000000000001</v>
      </c>
      <c r="K81" s="8"/>
      <c r="L81" s="8"/>
      <c r="M81" s="8">
        <v>17.100000000000001</v>
      </c>
      <c r="N81" s="8"/>
      <c r="O81" s="8">
        <f t="shared" si="77"/>
        <v>0</v>
      </c>
      <c r="P81" s="8">
        <v>17.100000000000001</v>
      </c>
      <c r="Q81" s="8"/>
      <c r="R81" s="9" t="str">
        <f t="shared" si="78"/>
        <v/>
      </c>
      <c r="S81" s="9">
        <f t="shared" si="79"/>
        <v>0</v>
      </c>
    </row>
    <row r="82" spans="1:19" x14ac:dyDescent="0.25">
      <c r="A82" s="20">
        <v>40817</v>
      </c>
      <c r="B82" s="1" t="s">
        <v>64</v>
      </c>
      <c r="C82" s="1" t="s">
        <v>65</v>
      </c>
      <c r="D82" s="1" t="s">
        <v>66</v>
      </c>
      <c r="F82" s="7">
        <f t="shared" si="73"/>
        <v>0.1033544877606528</v>
      </c>
      <c r="G82" s="7">
        <f t="shared" si="74"/>
        <v>1.9596540465710065E-3</v>
      </c>
      <c r="H82" s="8">
        <f t="shared" si="75"/>
        <v>0</v>
      </c>
      <c r="I82" s="8">
        <f t="shared" si="76"/>
        <v>17.100000000000001</v>
      </c>
      <c r="J82" s="8">
        <f t="shared" si="76"/>
        <v>17.100000000000001</v>
      </c>
      <c r="K82" s="8"/>
      <c r="L82" s="8"/>
      <c r="M82" s="8">
        <v>17.100000000000001</v>
      </c>
      <c r="N82" s="8"/>
      <c r="O82" s="8">
        <f t="shared" si="77"/>
        <v>0</v>
      </c>
      <c r="P82" s="8">
        <v>17.100000000000001</v>
      </c>
      <c r="Q82" s="8"/>
      <c r="R82" s="9" t="str">
        <f t="shared" si="78"/>
        <v/>
      </c>
      <c r="S82" s="9">
        <f t="shared" si="79"/>
        <v>0</v>
      </c>
    </row>
    <row r="83" spans="1:19" x14ac:dyDescent="0.25">
      <c r="A83" s="20">
        <v>40848</v>
      </c>
      <c r="B83" s="1" t="s">
        <v>64</v>
      </c>
      <c r="C83" s="1" t="s">
        <v>65</v>
      </c>
      <c r="D83" s="1" t="s">
        <v>66</v>
      </c>
      <c r="F83" s="7">
        <f t="shared" si="73"/>
        <v>0.1033544877606528</v>
      </c>
      <c r="G83" s="7">
        <f t="shared" si="74"/>
        <v>1.9596540465710065E-3</v>
      </c>
      <c r="H83" s="8">
        <f t="shared" si="75"/>
        <v>0</v>
      </c>
      <c r="I83" s="8">
        <f t="shared" si="76"/>
        <v>17.100000000000001</v>
      </c>
      <c r="J83" s="8">
        <f t="shared" si="76"/>
        <v>17.100000000000001</v>
      </c>
      <c r="K83" s="8"/>
      <c r="L83" s="8"/>
      <c r="M83" s="8">
        <v>17.100000000000001</v>
      </c>
      <c r="N83" s="8"/>
      <c r="O83" s="8">
        <f t="shared" si="77"/>
        <v>0</v>
      </c>
      <c r="P83" s="8">
        <v>17.100000000000001</v>
      </c>
      <c r="Q83" s="8"/>
      <c r="R83" s="9" t="str">
        <f t="shared" si="78"/>
        <v/>
      </c>
      <c r="S83" s="9">
        <f t="shared" si="79"/>
        <v>0</v>
      </c>
    </row>
    <row r="84" spans="1:19" x14ac:dyDescent="0.25">
      <c r="A84" s="20">
        <v>40878</v>
      </c>
      <c r="B84" s="1" t="s">
        <v>64</v>
      </c>
      <c r="C84" s="1" t="s">
        <v>65</v>
      </c>
      <c r="D84" s="1" t="s">
        <v>66</v>
      </c>
      <c r="F84" s="7">
        <f t="shared" si="73"/>
        <v>0.1033544877606528</v>
      </c>
      <c r="G84" s="7">
        <f t="shared" si="74"/>
        <v>1.9596540465710065E-3</v>
      </c>
      <c r="H84" s="8">
        <f t="shared" si="75"/>
        <v>0</v>
      </c>
      <c r="I84" s="8">
        <f t="shared" si="76"/>
        <v>17.100000000000001</v>
      </c>
      <c r="J84" s="8">
        <f t="shared" si="76"/>
        <v>17.100000000000001</v>
      </c>
      <c r="K84" s="8"/>
      <c r="L84" s="8"/>
      <c r="M84" s="8">
        <v>17.100000000000001</v>
      </c>
      <c r="N84" s="8"/>
      <c r="O84" s="8">
        <f t="shared" si="77"/>
        <v>0</v>
      </c>
      <c r="P84" s="8">
        <v>17.100000000000001</v>
      </c>
      <c r="Q84" s="8"/>
      <c r="R84" s="9" t="str">
        <f t="shared" si="78"/>
        <v/>
      </c>
      <c r="S84" s="9">
        <f t="shared" si="79"/>
        <v>0</v>
      </c>
    </row>
    <row r="85" spans="1:19" x14ac:dyDescent="0.25">
      <c r="A85" s="20">
        <v>40909</v>
      </c>
      <c r="B85" s="1" t="s">
        <v>64</v>
      </c>
      <c r="C85" s="1" t="s">
        <v>65</v>
      </c>
      <c r="D85" s="1" t="s">
        <v>66</v>
      </c>
      <c r="F85" s="7">
        <f t="shared" si="73"/>
        <v>0.1033544877606528</v>
      </c>
      <c r="G85" s="7">
        <f t="shared" si="74"/>
        <v>1.9596540465710065E-3</v>
      </c>
      <c r="H85" s="8">
        <f t="shared" si="75"/>
        <v>0</v>
      </c>
      <c r="I85" s="8">
        <f t="shared" si="76"/>
        <v>17.100000000000001</v>
      </c>
      <c r="J85" s="8">
        <f t="shared" si="76"/>
        <v>17.100000000000001</v>
      </c>
      <c r="K85" s="8"/>
      <c r="L85" s="8"/>
      <c r="M85" s="8">
        <v>17.100000000000001</v>
      </c>
      <c r="N85" s="8"/>
      <c r="O85" s="8">
        <f t="shared" si="77"/>
        <v>0</v>
      </c>
      <c r="P85" s="8">
        <v>17.100000000000001</v>
      </c>
      <c r="Q85" s="8"/>
      <c r="R85" s="9" t="str">
        <f t="shared" si="78"/>
        <v/>
      </c>
      <c r="S85" s="9">
        <f t="shared" si="79"/>
        <v>0</v>
      </c>
    </row>
    <row r="86" spans="1:19" x14ac:dyDescent="0.25">
      <c r="A86" s="20">
        <v>40940</v>
      </c>
      <c r="B86" s="1" t="s">
        <v>64</v>
      </c>
      <c r="C86" s="1" t="s">
        <v>65</v>
      </c>
      <c r="D86" s="1" t="s">
        <v>66</v>
      </c>
      <c r="F86" s="7">
        <f t="shared" si="73"/>
        <v>0.1033544877606528</v>
      </c>
      <c r="G86" s="7">
        <f t="shared" si="74"/>
        <v>1.9596540465710065E-3</v>
      </c>
      <c r="H86" s="8">
        <f t="shared" si="75"/>
        <v>0</v>
      </c>
      <c r="I86" s="8">
        <f t="shared" si="76"/>
        <v>17.100000000000001</v>
      </c>
      <c r="J86" s="8">
        <f t="shared" si="76"/>
        <v>17.100000000000001</v>
      </c>
      <c r="K86" s="8"/>
      <c r="L86" s="8"/>
      <c r="M86" s="8">
        <v>17.100000000000001</v>
      </c>
      <c r="N86" s="8"/>
      <c r="O86" s="8">
        <f t="shared" si="77"/>
        <v>0</v>
      </c>
      <c r="P86" s="8">
        <v>17.100000000000001</v>
      </c>
      <c r="Q86" s="8"/>
      <c r="R86" s="9" t="str">
        <f t="shared" si="78"/>
        <v/>
      </c>
      <c r="S86" s="9">
        <f t="shared" si="79"/>
        <v>0</v>
      </c>
    </row>
    <row r="87" spans="1:19" x14ac:dyDescent="0.25">
      <c r="A87" s="20">
        <v>40969</v>
      </c>
      <c r="B87" s="1" t="s">
        <v>64</v>
      </c>
      <c r="C87" s="1" t="s">
        <v>65</v>
      </c>
      <c r="D87" s="1" t="s">
        <v>66</v>
      </c>
      <c r="F87" s="7">
        <f t="shared" si="73"/>
        <v>0.1033544877606528</v>
      </c>
      <c r="G87" s="7">
        <f t="shared" si="74"/>
        <v>1.9596540465710065E-3</v>
      </c>
      <c r="H87" s="8">
        <f t="shared" si="75"/>
        <v>0</v>
      </c>
      <c r="I87" s="8">
        <f t="shared" si="76"/>
        <v>17.100000000000001</v>
      </c>
      <c r="J87" s="8">
        <f t="shared" si="76"/>
        <v>17.100000000000001</v>
      </c>
      <c r="K87" s="8"/>
      <c r="L87" s="8"/>
      <c r="M87" s="8">
        <v>17.100000000000001</v>
      </c>
      <c r="N87" s="8"/>
      <c r="O87" s="8">
        <f t="shared" si="77"/>
        <v>0</v>
      </c>
      <c r="P87" s="8">
        <v>17.100000000000001</v>
      </c>
      <c r="Q87" s="8"/>
      <c r="R87" s="9" t="str">
        <f t="shared" si="78"/>
        <v/>
      </c>
      <c r="S87" s="9">
        <f t="shared" si="79"/>
        <v>0</v>
      </c>
    </row>
    <row r="88" spans="1:19" x14ac:dyDescent="0.25">
      <c r="A88" s="20">
        <v>41000</v>
      </c>
      <c r="B88" s="1" t="s">
        <v>64</v>
      </c>
      <c r="C88" s="1" t="s">
        <v>65</v>
      </c>
      <c r="D88" s="1" t="s">
        <v>66</v>
      </c>
      <c r="F88" s="7">
        <f t="shared" si="73"/>
        <v>0.1033544877606528</v>
      </c>
      <c r="G88" s="7">
        <f t="shared" si="74"/>
        <v>1.9596540465710065E-3</v>
      </c>
      <c r="H88" s="8">
        <f t="shared" si="75"/>
        <v>0</v>
      </c>
      <c r="I88" s="8">
        <f t="shared" si="76"/>
        <v>17.100000000000001</v>
      </c>
      <c r="J88" s="8">
        <f t="shared" si="76"/>
        <v>17.100000000000001</v>
      </c>
      <c r="K88" s="8"/>
      <c r="L88" s="8"/>
      <c r="M88" s="8">
        <v>17.100000000000001</v>
      </c>
      <c r="N88" s="8"/>
      <c r="O88" s="8">
        <f t="shared" si="77"/>
        <v>0</v>
      </c>
      <c r="P88" s="8">
        <v>17.100000000000001</v>
      </c>
      <c r="Q88" s="8"/>
      <c r="R88" s="9" t="str">
        <f t="shared" si="78"/>
        <v/>
      </c>
      <c r="S88" s="9">
        <f t="shared" si="79"/>
        <v>0</v>
      </c>
    </row>
    <row r="89" spans="1:19" x14ac:dyDescent="0.25">
      <c r="A89" s="20">
        <v>41030</v>
      </c>
      <c r="B89" s="1" t="s">
        <v>64</v>
      </c>
      <c r="C89" s="1" t="s">
        <v>65</v>
      </c>
      <c r="D89" s="1" t="s">
        <v>66</v>
      </c>
      <c r="F89" s="7">
        <f t="shared" si="73"/>
        <v>0.1033544877606528</v>
      </c>
      <c r="G89" s="7">
        <f t="shared" si="74"/>
        <v>1.9596540465710065E-3</v>
      </c>
      <c r="H89" s="8">
        <f t="shared" si="75"/>
        <v>0</v>
      </c>
      <c r="I89" s="8">
        <f t="shared" si="76"/>
        <v>17.100000000000001</v>
      </c>
      <c r="J89" s="8">
        <f t="shared" si="76"/>
        <v>17.100000000000001</v>
      </c>
      <c r="K89" s="8"/>
      <c r="L89" s="8"/>
      <c r="M89" s="8">
        <v>17.100000000000001</v>
      </c>
      <c r="N89" s="8"/>
      <c r="O89" s="8">
        <f t="shared" si="77"/>
        <v>0</v>
      </c>
      <c r="P89" s="8">
        <v>17.100000000000001</v>
      </c>
      <c r="Q89" s="8"/>
      <c r="R89" s="9" t="str">
        <f t="shared" si="78"/>
        <v/>
      </c>
      <c r="S89" s="9">
        <f t="shared" si="79"/>
        <v>0</v>
      </c>
    </row>
    <row r="90" spans="1:19" x14ac:dyDescent="0.25">
      <c r="A90" s="20">
        <v>41043</v>
      </c>
      <c r="B90" s="1" t="s">
        <v>64</v>
      </c>
      <c r="C90" s="1" t="s">
        <v>65</v>
      </c>
      <c r="D90" s="1" t="s">
        <v>67</v>
      </c>
      <c r="F90" s="7">
        <f t="shared" si="73"/>
        <v>-0.13689936536718045</v>
      </c>
      <c r="G90" s="7">
        <f t="shared" si="74"/>
        <v>-2.5956821143177365E-3</v>
      </c>
      <c r="H90" s="8">
        <f t="shared" si="75"/>
        <v>-22.65</v>
      </c>
      <c r="I90" s="8"/>
      <c r="J90" s="8">
        <f t="shared" si="76"/>
        <v>-22.65</v>
      </c>
      <c r="K90" s="8"/>
      <c r="L90" s="8"/>
      <c r="M90" s="8">
        <v>-22.65</v>
      </c>
      <c r="N90" s="8"/>
      <c r="O90" s="8">
        <f t="shared" si="77"/>
        <v>0</v>
      </c>
      <c r="P90" s="8">
        <v>-22.65</v>
      </c>
      <c r="Q90" s="8"/>
      <c r="R90" s="9">
        <f t="shared" si="78"/>
        <v>0</v>
      </c>
      <c r="S90" s="9" t="str">
        <f t="shared" si="79"/>
        <v/>
      </c>
    </row>
    <row r="91" spans="1:19" x14ac:dyDescent="0.25">
      <c r="F91" s="7">
        <f>$J91/J$92</f>
        <v>0</v>
      </c>
      <c r="G91" s="7">
        <f t="shared" ref="G91" si="80">$J91/J$57</f>
        <v>0</v>
      </c>
      <c r="H91" s="8">
        <f t="shared" si="75"/>
        <v>0</v>
      </c>
      <c r="I91" s="8">
        <f t="shared" si="76"/>
        <v>0</v>
      </c>
      <c r="J91" s="8">
        <f t="shared" si="76"/>
        <v>0</v>
      </c>
      <c r="K91" s="8">
        <f t="shared" ref="K91" ca="1" si="81">IF(($K91)&gt;=$N91+$M91,"",($L91-$M91-$N91))</f>
        <v>0</v>
      </c>
      <c r="L91" s="8">
        <f t="shared" ref="L91" ca="1" si="82">M91+N91-K91</f>
        <v>0</v>
      </c>
      <c r="M91" s="8"/>
      <c r="N91" s="8"/>
      <c r="O91" s="8">
        <f>$J91-($P91+$Q91)</f>
        <v>0</v>
      </c>
      <c r="P91" s="8"/>
      <c r="Q91" s="8"/>
      <c r="R91" s="9" t="str">
        <f t="shared" si="78"/>
        <v/>
      </c>
      <c r="S91" s="9">
        <f t="shared" si="79"/>
        <v>0</v>
      </c>
    </row>
    <row r="92" spans="1:19" x14ac:dyDescent="0.25">
      <c r="B92" s="1">
        <f>SUMPRODUCT((B79:B91&lt;&gt;"")/COUNTIF(B79:B91,B79:B91&amp;""))</f>
        <v>1</v>
      </c>
      <c r="C92" s="1">
        <f>COUNTA(Tableau159[Energies])</f>
        <v>12</v>
      </c>
      <c r="D92" s="1">
        <f>COUNTA(Tableau159[Nature des Dépenses])</f>
        <v>12</v>
      </c>
      <c r="F92" s="7">
        <f t="shared" ref="F92:S92" si="83">SUM(F79:F91)</f>
        <v>1.0000000000000002</v>
      </c>
      <c r="G92" s="7">
        <f t="shared" si="83"/>
        <v>1.8960512397963328E-2</v>
      </c>
      <c r="H92" s="8">
        <f t="shared" si="83"/>
        <v>-22.65</v>
      </c>
      <c r="I92" s="8">
        <f t="shared" si="83"/>
        <v>188.09999999999997</v>
      </c>
      <c r="J92" s="8">
        <f t="shared" si="83"/>
        <v>165.44999999999996</v>
      </c>
      <c r="K92" s="8">
        <f t="shared" ca="1" si="83"/>
        <v>0</v>
      </c>
      <c r="L92" s="8">
        <f t="shared" ca="1" si="83"/>
        <v>0</v>
      </c>
      <c r="M92" s="8">
        <f t="shared" si="83"/>
        <v>165.44999999999996</v>
      </c>
      <c r="N92" s="8">
        <f t="shared" si="83"/>
        <v>0</v>
      </c>
      <c r="O92" s="8">
        <f t="shared" si="83"/>
        <v>0</v>
      </c>
      <c r="P92" s="8">
        <f t="shared" si="83"/>
        <v>165.44999999999996</v>
      </c>
      <c r="Q92" s="8">
        <f t="shared" si="83"/>
        <v>0</v>
      </c>
      <c r="R92" s="8">
        <f t="shared" si="83"/>
        <v>0</v>
      </c>
      <c r="S92" s="8">
        <f t="shared" si="83"/>
        <v>0</v>
      </c>
    </row>
    <row r="93" spans="1:19" x14ac:dyDescent="0.25">
      <c r="F93" s="7"/>
      <c r="G93" s="7"/>
    </row>
    <row r="94" spans="1:19" x14ac:dyDescent="0.25">
      <c r="F94" s="7"/>
      <c r="G94" s="7"/>
    </row>
    <row r="95" spans="1:19" ht="15.75" thickBot="1" x14ac:dyDescent="0.3">
      <c r="F95" s="7"/>
      <c r="G95" s="7"/>
    </row>
    <row r="96" spans="1:19" ht="15.75" thickBot="1" x14ac:dyDescent="0.3">
      <c r="F96" s="7"/>
      <c r="G96" s="7"/>
      <c r="M96" s="23" t="s">
        <v>0</v>
      </c>
      <c r="N96" s="24"/>
      <c r="O96" s="2" t="s">
        <v>1</v>
      </c>
      <c r="P96" s="25" t="s">
        <v>2</v>
      </c>
      <c r="Q96" s="26"/>
      <c r="R96" s="23" t="s">
        <v>3</v>
      </c>
      <c r="S96" s="24"/>
    </row>
    <row r="97" spans="1:19" s="6" customFormat="1" ht="14.1" customHeight="1" x14ac:dyDescent="0.2">
      <c r="A97" s="21" t="s">
        <v>4</v>
      </c>
      <c r="B97" s="4" t="s">
        <v>5</v>
      </c>
      <c r="C97" s="16" t="s">
        <v>28</v>
      </c>
      <c r="D97" s="3" t="s">
        <v>7</v>
      </c>
      <c r="E97" s="3" t="s">
        <v>8</v>
      </c>
      <c r="F97" s="5" t="s">
        <v>9</v>
      </c>
      <c r="G97" s="5" t="s">
        <v>10</v>
      </c>
      <c r="H97" s="4" t="s">
        <v>11</v>
      </c>
      <c r="I97" s="3" t="s">
        <v>12</v>
      </c>
      <c r="J97" s="3" t="s">
        <v>13</v>
      </c>
      <c r="K97" s="3" t="s">
        <v>14</v>
      </c>
      <c r="L97" s="3" t="s">
        <v>15</v>
      </c>
      <c r="M97" s="3" t="s">
        <v>16</v>
      </c>
      <c r="N97" s="3" t="s">
        <v>17</v>
      </c>
      <c r="O97" s="3" t="s">
        <v>1</v>
      </c>
      <c r="P97" s="3" t="s">
        <v>18</v>
      </c>
      <c r="Q97" s="3" t="s">
        <v>19</v>
      </c>
      <c r="R97" s="3" t="s">
        <v>20</v>
      </c>
      <c r="S97" s="3" t="s">
        <v>21</v>
      </c>
    </row>
    <row r="98" spans="1:19" x14ac:dyDescent="0.25">
      <c r="A98" s="20">
        <v>40757</v>
      </c>
      <c r="B98" s="1" t="s">
        <v>73</v>
      </c>
      <c r="C98" s="1" t="s">
        <v>74</v>
      </c>
      <c r="D98" s="1" t="s">
        <v>75</v>
      </c>
      <c r="E98" s="1" t="s">
        <v>76</v>
      </c>
      <c r="F98" s="7">
        <f t="shared" ref="F98:F127" si="84">$J98/J$128</f>
        <v>7.8306992079704679E-2</v>
      </c>
      <c r="G98" s="7">
        <f t="shared" ref="G98:G127" si="85">$J98/J$57</f>
        <v>7.5120071785221912E-3</v>
      </c>
      <c r="H98" s="8">
        <f t="shared" ref="H98:H127" si="86">$J98-$I98</f>
        <v>29.57</v>
      </c>
      <c r="I98" s="8">
        <v>35.979999999999997</v>
      </c>
      <c r="J98" s="8">
        <v>65.55</v>
      </c>
      <c r="K98" s="8"/>
      <c r="L98" s="8"/>
      <c r="M98" s="8">
        <v>65.55</v>
      </c>
      <c r="N98" s="8"/>
      <c r="O98" s="8">
        <v>0</v>
      </c>
      <c r="P98" s="8">
        <v>65.55</v>
      </c>
      <c r="Q98" s="8"/>
      <c r="R98" s="9" t="s">
        <v>54</v>
      </c>
      <c r="S98" s="9">
        <v>0</v>
      </c>
    </row>
    <row r="99" spans="1:19" x14ac:dyDescent="0.25">
      <c r="A99" s="20">
        <v>40875</v>
      </c>
      <c r="B99" s="1" t="s">
        <v>78</v>
      </c>
      <c r="C99" s="1" t="s">
        <v>69</v>
      </c>
      <c r="D99" s="1" t="s">
        <v>79</v>
      </c>
      <c r="E99" s="1" t="s">
        <v>76</v>
      </c>
      <c r="F99" s="7">
        <f t="shared" si="84"/>
        <v>6.1797417243068233E-2</v>
      </c>
      <c r="G99" s="7">
        <f t="shared" si="85"/>
        <v>5.9282399900069099E-3</v>
      </c>
      <c r="H99" s="8">
        <f t="shared" si="86"/>
        <v>18.829999999999998</v>
      </c>
      <c r="I99" s="8">
        <v>32.9</v>
      </c>
      <c r="J99" s="8">
        <v>51.73</v>
      </c>
      <c r="K99" s="8"/>
      <c r="L99" s="8"/>
      <c r="M99" s="8">
        <v>51.73</v>
      </c>
      <c r="N99" s="8"/>
      <c r="O99" s="8">
        <v>0</v>
      </c>
      <c r="P99" s="8">
        <v>51.73</v>
      </c>
      <c r="Q99" s="8"/>
      <c r="R99" s="9" t="s">
        <v>54</v>
      </c>
      <c r="S99" s="9">
        <v>0</v>
      </c>
    </row>
    <row r="100" spans="1:19" x14ac:dyDescent="0.25">
      <c r="A100" s="20">
        <v>40814</v>
      </c>
      <c r="B100" s="1" t="s">
        <v>78</v>
      </c>
      <c r="C100" s="1" t="s">
        <v>69</v>
      </c>
      <c r="D100" s="1" t="s">
        <v>79</v>
      </c>
      <c r="E100" s="1" t="s">
        <v>76</v>
      </c>
      <c r="F100" s="7">
        <f t="shared" si="84"/>
        <v>5.273029184436559E-2</v>
      </c>
      <c r="G100" s="7">
        <f t="shared" si="85"/>
        <v>5.0584286324938145E-3</v>
      </c>
      <c r="H100" s="8">
        <f t="shared" si="86"/>
        <v>11.240000000000002</v>
      </c>
      <c r="I100" s="8">
        <v>32.9</v>
      </c>
      <c r="J100" s="8">
        <v>44.14</v>
      </c>
      <c r="K100" s="8"/>
      <c r="L100" s="8"/>
      <c r="M100" s="8">
        <v>44.14</v>
      </c>
      <c r="N100" s="8"/>
      <c r="O100" s="8">
        <v>0</v>
      </c>
      <c r="P100" s="8">
        <v>44.14</v>
      </c>
      <c r="Q100" s="8"/>
      <c r="R100" s="9" t="s">
        <v>54</v>
      </c>
      <c r="S100" s="9">
        <v>0</v>
      </c>
    </row>
    <row r="101" spans="1:19" x14ac:dyDescent="0.25">
      <c r="A101" s="20">
        <v>41002</v>
      </c>
      <c r="B101" s="1" t="s">
        <v>80</v>
      </c>
      <c r="C101" s="1" t="s">
        <v>69</v>
      </c>
      <c r="D101" s="1" t="s">
        <v>81</v>
      </c>
      <c r="E101" s="1" t="s">
        <v>76</v>
      </c>
      <c r="F101" s="7">
        <f t="shared" si="84"/>
        <v>2.3354716936052271E-2</v>
      </c>
      <c r="G101" s="7">
        <f t="shared" si="85"/>
        <v>2.2404231935943377E-3</v>
      </c>
      <c r="H101" s="8">
        <f t="shared" si="86"/>
        <v>3.5600000000000005</v>
      </c>
      <c r="I101" s="8">
        <v>15.99</v>
      </c>
      <c r="J101" s="8">
        <v>19.55</v>
      </c>
      <c r="K101" s="8">
        <v>6.1800000000000015</v>
      </c>
      <c r="L101" s="8">
        <v>13.37</v>
      </c>
      <c r="M101" s="8">
        <v>19.55</v>
      </c>
      <c r="N101" s="8"/>
      <c r="O101" s="8">
        <v>0</v>
      </c>
      <c r="P101" s="8">
        <v>19.55</v>
      </c>
      <c r="Q101" s="8"/>
      <c r="R101" s="9" t="s">
        <v>54</v>
      </c>
      <c r="S101" s="9">
        <v>0</v>
      </c>
    </row>
    <row r="102" spans="1:19" x14ac:dyDescent="0.25">
      <c r="A102" s="20">
        <v>40938</v>
      </c>
      <c r="B102" s="1" t="s">
        <v>78</v>
      </c>
      <c r="C102" s="1" t="s">
        <v>69</v>
      </c>
      <c r="D102" s="1" t="s">
        <v>79</v>
      </c>
      <c r="E102" s="1" t="s">
        <v>76</v>
      </c>
      <c r="F102" s="7">
        <f t="shared" si="84"/>
        <v>4.2803043878197077E-2</v>
      </c>
      <c r="G102" s="7">
        <f t="shared" si="85"/>
        <v>4.1061055256514127E-3</v>
      </c>
      <c r="H102" s="8">
        <f t="shared" si="86"/>
        <v>2.9299999999999997</v>
      </c>
      <c r="I102" s="8">
        <v>32.9</v>
      </c>
      <c r="J102" s="8">
        <v>35.83</v>
      </c>
      <c r="K102" s="8"/>
      <c r="L102" s="8"/>
      <c r="M102" s="8">
        <v>35.83</v>
      </c>
      <c r="N102" s="8"/>
      <c r="O102" s="8">
        <v>0</v>
      </c>
      <c r="P102" s="8">
        <v>35.83</v>
      </c>
      <c r="Q102" s="8"/>
      <c r="R102" s="9" t="s">
        <v>54</v>
      </c>
      <c r="S102" s="9">
        <v>0</v>
      </c>
    </row>
    <row r="103" spans="1:19" x14ac:dyDescent="0.25">
      <c r="A103" s="20">
        <v>41032</v>
      </c>
      <c r="B103" s="1" t="s">
        <v>80</v>
      </c>
      <c r="C103" s="1" t="s">
        <v>69</v>
      </c>
      <c r="D103" s="1" t="s">
        <v>81</v>
      </c>
      <c r="E103" s="1" t="s">
        <v>76</v>
      </c>
      <c r="F103" s="7">
        <f t="shared" si="84"/>
        <v>2.1252195104469049E-2</v>
      </c>
      <c r="G103" s="7">
        <f t="shared" si="85"/>
        <v>2.0387278063449242E-3</v>
      </c>
      <c r="H103" s="8">
        <f t="shared" si="86"/>
        <v>1.7999999999999989</v>
      </c>
      <c r="I103" s="8">
        <v>15.99</v>
      </c>
      <c r="J103" s="8">
        <v>17.79</v>
      </c>
      <c r="K103" s="8">
        <v>4.42</v>
      </c>
      <c r="L103" s="8">
        <v>13.37</v>
      </c>
      <c r="M103" s="8">
        <v>17.79</v>
      </c>
      <c r="N103" s="8"/>
      <c r="O103" s="8">
        <v>0</v>
      </c>
      <c r="P103" s="8">
        <v>17.79</v>
      </c>
      <c r="Q103" s="8"/>
      <c r="R103" s="9" t="s">
        <v>54</v>
      </c>
      <c r="S103" s="9">
        <v>0</v>
      </c>
    </row>
    <row r="104" spans="1:19" x14ac:dyDescent="0.25">
      <c r="A104" s="20">
        <v>40906</v>
      </c>
      <c r="B104" s="1" t="s">
        <v>78</v>
      </c>
      <c r="C104" s="1" t="s">
        <v>69</v>
      </c>
      <c r="D104" s="1" t="s">
        <v>79</v>
      </c>
      <c r="E104" s="1" t="s">
        <v>76</v>
      </c>
      <c r="F104" s="7">
        <f t="shared" si="84"/>
        <v>3.9864291772688708E-2</v>
      </c>
      <c r="G104" s="7">
        <f t="shared" si="85"/>
        <v>3.8241903821096186E-3</v>
      </c>
      <c r="H104" s="8">
        <f t="shared" si="86"/>
        <v>0.46999999999999886</v>
      </c>
      <c r="I104" s="8">
        <v>32.9</v>
      </c>
      <c r="J104" s="8">
        <v>33.369999999999997</v>
      </c>
      <c r="K104" s="8"/>
      <c r="L104" s="8"/>
      <c r="M104" s="8">
        <v>33.369999999999997</v>
      </c>
      <c r="N104" s="8"/>
      <c r="O104" s="8">
        <v>0</v>
      </c>
      <c r="P104" s="8">
        <v>33.369999999999997</v>
      </c>
      <c r="Q104" s="8"/>
      <c r="R104" s="9" t="s">
        <v>54</v>
      </c>
      <c r="S104" s="9">
        <v>0</v>
      </c>
    </row>
    <row r="105" spans="1:19" x14ac:dyDescent="0.25">
      <c r="A105" s="20">
        <v>40971</v>
      </c>
      <c r="B105" s="1" t="s">
        <v>80</v>
      </c>
      <c r="C105" s="1" t="s">
        <v>69</v>
      </c>
      <c r="D105" s="1" t="s">
        <v>81</v>
      </c>
      <c r="E105" s="1" t="s">
        <v>76</v>
      </c>
      <c r="F105" s="7">
        <f t="shared" si="84"/>
        <v>1.9496111529226246E-2</v>
      </c>
      <c r="G105" s="7">
        <f t="shared" si="85"/>
        <v>1.8702663181309255E-3</v>
      </c>
      <c r="H105" s="8">
        <f t="shared" si="86"/>
        <v>0.33000000000000007</v>
      </c>
      <c r="I105" s="8">
        <v>15.99</v>
      </c>
      <c r="J105" s="8">
        <v>16.32</v>
      </c>
      <c r="K105" s="8">
        <v>2.9500000000000011</v>
      </c>
      <c r="L105" s="8">
        <v>13.37</v>
      </c>
      <c r="M105" s="8">
        <v>16.32</v>
      </c>
      <c r="N105" s="8"/>
      <c r="O105" s="8">
        <v>0</v>
      </c>
      <c r="P105" s="8">
        <v>16.32</v>
      </c>
      <c r="Q105" s="8"/>
      <c r="R105" s="9" t="s">
        <v>54</v>
      </c>
      <c r="S105" s="9">
        <v>0</v>
      </c>
    </row>
    <row r="106" spans="1:19" x14ac:dyDescent="0.25">
      <c r="A106" s="20">
        <v>40690</v>
      </c>
      <c r="B106" s="1" t="s">
        <v>68</v>
      </c>
      <c r="C106" s="1" t="s">
        <v>69</v>
      </c>
      <c r="D106" s="1" t="s">
        <v>70</v>
      </c>
      <c r="E106" s="1" t="s">
        <v>71</v>
      </c>
      <c r="F106" s="7">
        <f t="shared" si="84"/>
        <v>2.9865366925898047E-2</v>
      </c>
      <c r="G106" s="7">
        <f t="shared" si="85"/>
        <v>2.8649912961564421E-3</v>
      </c>
      <c r="H106" s="8">
        <f t="shared" si="86"/>
        <v>0</v>
      </c>
      <c r="I106" s="8">
        <f t="shared" ref="I106:J127" si="87">$M106+$N106</f>
        <v>25</v>
      </c>
      <c r="J106" s="8">
        <f t="shared" si="87"/>
        <v>25</v>
      </c>
      <c r="K106" s="8"/>
      <c r="L106" s="8"/>
      <c r="M106" s="8">
        <v>25</v>
      </c>
      <c r="N106" s="8"/>
      <c r="O106" s="8">
        <v>0</v>
      </c>
      <c r="P106" s="8">
        <v>25</v>
      </c>
      <c r="Q106" s="8"/>
      <c r="R106" s="9" t="s">
        <v>54</v>
      </c>
      <c r="S106" s="9">
        <v>0</v>
      </c>
    </row>
    <row r="107" spans="1:19" x14ac:dyDescent="0.25">
      <c r="A107" s="20">
        <v>40704</v>
      </c>
      <c r="B107" s="1" t="s">
        <v>68</v>
      </c>
      <c r="C107" s="1" t="s">
        <v>69</v>
      </c>
      <c r="D107" s="1" t="s">
        <v>70</v>
      </c>
      <c r="E107" s="1" t="s">
        <v>71</v>
      </c>
      <c r="F107" s="7">
        <f t="shared" si="84"/>
        <v>2.9865366925898047E-2</v>
      </c>
      <c r="G107" s="7">
        <f t="shared" si="85"/>
        <v>2.8649912961564421E-3</v>
      </c>
      <c r="H107" s="8">
        <f t="shared" si="86"/>
        <v>0</v>
      </c>
      <c r="I107" s="8">
        <f t="shared" si="87"/>
        <v>25</v>
      </c>
      <c r="J107" s="8">
        <f t="shared" si="87"/>
        <v>25</v>
      </c>
      <c r="K107" s="8"/>
      <c r="L107" s="8"/>
      <c r="M107" s="8">
        <v>25</v>
      </c>
      <c r="N107" s="8"/>
      <c r="O107" s="8">
        <v>0</v>
      </c>
      <c r="P107" s="8">
        <v>25</v>
      </c>
      <c r="Q107" s="8"/>
      <c r="R107" s="9" t="s">
        <v>54</v>
      </c>
      <c r="S107" s="9">
        <v>0</v>
      </c>
    </row>
    <row r="108" spans="1:19" x14ac:dyDescent="0.25">
      <c r="A108" s="20">
        <v>40756</v>
      </c>
      <c r="B108" s="1" t="s">
        <v>68</v>
      </c>
      <c r="C108" s="1" t="s">
        <v>69</v>
      </c>
      <c r="D108" s="1" t="s">
        <v>72</v>
      </c>
      <c r="E108" s="1" t="s">
        <v>71</v>
      </c>
      <c r="F108" s="7">
        <f t="shared" si="84"/>
        <v>2.3892293540718437E-2</v>
      </c>
      <c r="G108" s="7">
        <f t="shared" si="85"/>
        <v>2.2919930369251535E-3</v>
      </c>
      <c r="H108" s="8">
        <f t="shared" si="86"/>
        <v>0</v>
      </c>
      <c r="I108" s="8">
        <f t="shared" si="87"/>
        <v>20</v>
      </c>
      <c r="J108" s="8">
        <f t="shared" si="87"/>
        <v>20</v>
      </c>
      <c r="K108" s="8"/>
      <c r="L108" s="8"/>
      <c r="M108" s="8">
        <v>20</v>
      </c>
      <c r="N108" s="8"/>
      <c r="O108" s="8">
        <v>0</v>
      </c>
      <c r="P108" s="8">
        <v>20</v>
      </c>
      <c r="Q108" s="8"/>
      <c r="R108" s="9" t="s">
        <v>54</v>
      </c>
      <c r="S108" s="9">
        <v>0</v>
      </c>
    </row>
    <row r="109" spans="1:19" x14ac:dyDescent="0.25">
      <c r="A109" s="20">
        <v>40787</v>
      </c>
      <c r="B109" s="1" t="s">
        <v>68</v>
      </c>
      <c r="C109" s="1" t="s">
        <v>69</v>
      </c>
      <c r="D109" s="1" t="s">
        <v>72</v>
      </c>
      <c r="E109" s="1" t="s">
        <v>71</v>
      </c>
      <c r="F109" s="7">
        <f t="shared" si="84"/>
        <v>2.3892293540718437E-2</v>
      </c>
      <c r="G109" s="7">
        <f t="shared" si="85"/>
        <v>2.2919930369251535E-3</v>
      </c>
      <c r="H109" s="8">
        <f t="shared" si="86"/>
        <v>0</v>
      </c>
      <c r="I109" s="8">
        <f t="shared" si="87"/>
        <v>20</v>
      </c>
      <c r="J109" s="8">
        <f t="shared" si="87"/>
        <v>20</v>
      </c>
      <c r="K109" s="8"/>
      <c r="L109" s="8"/>
      <c r="M109" s="8">
        <v>20</v>
      </c>
      <c r="N109" s="8"/>
      <c r="O109" s="8">
        <v>0</v>
      </c>
      <c r="P109" s="8">
        <v>20</v>
      </c>
      <c r="Q109" s="8"/>
      <c r="R109" s="9" t="s">
        <v>54</v>
      </c>
      <c r="S109" s="9">
        <v>0</v>
      </c>
    </row>
    <row r="110" spans="1:19" x14ac:dyDescent="0.25">
      <c r="A110" s="20">
        <v>40787</v>
      </c>
      <c r="B110" s="1" t="s">
        <v>68</v>
      </c>
      <c r="C110" s="1" t="s">
        <v>69</v>
      </c>
      <c r="D110" s="1" t="s">
        <v>72</v>
      </c>
      <c r="E110" s="1" t="s">
        <v>71</v>
      </c>
      <c r="F110" s="7">
        <f t="shared" si="84"/>
        <v>2.3892293540718437E-2</v>
      </c>
      <c r="G110" s="7">
        <f t="shared" si="85"/>
        <v>2.2919930369251535E-3</v>
      </c>
      <c r="H110" s="8">
        <f t="shared" si="86"/>
        <v>0</v>
      </c>
      <c r="I110" s="8">
        <f t="shared" si="87"/>
        <v>20</v>
      </c>
      <c r="J110" s="8">
        <f t="shared" si="87"/>
        <v>20</v>
      </c>
      <c r="K110" s="8"/>
      <c r="L110" s="8"/>
      <c r="M110" s="8">
        <v>20</v>
      </c>
      <c r="N110" s="8"/>
      <c r="O110" s="8">
        <v>0</v>
      </c>
      <c r="P110" s="8">
        <v>20</v>
      </c>
      <c r="Q110" s="8"/>
      <c r="R110" s="9" t="s">
        <v>54</v>
      </c>
      <c r="S110" s="9">
        <v>0</v>
      </c>
    </row>
    <row r="111" spans="1:19" x14ac:dyDescent="0.25">
      <c r="A111" s="20">
        <v>40787</v>
      </c>
      <c r="B111" s="1" t="s">
        <v>68</v>
      </c>
      <c r="C111" s="1" t="s">
        <v>69</v>
      </c>
      <c r="D111" s="1" t="s">
        <v>72</v>
      </c>
      <c r="E111" s="1" t="s">
        <v>71</v>
      </c>
      <c r="F111" s="7">
        <f t="shared" si="84"/>
        <v>2.3892293540718437E-2</v>
      </c>
      <c r="G111" s="7">
        <f t="shared" si="85"/>
        <v>2.2919930369251535E-3</v>
      </c>
      <c r="H111" s="8">
        <f t="shared" si="86"/>
        <v>0</v>
      </c>
      <c r="I111" s="8">
        <f t="shared" si="87"/>
        <v>20</v>
      </c>
      <c r="J111" s="8">
        <f t="shared" si="87"/>
        <v>20</v>
      </c>
      <c r="K111" s="8"/>
      <c r="L111" s="8"/>
      <c r="M111" s="8">
        <v>20</v>
      </c>
      <c r="N111" s="8"/>
      <c r="O111" s="8">
        <v>0</v>
      </c>
      <c r="P111" s="8">
        <v>20</v>
      </c>
      <c r="Q111" s="8"/>
      <c r="R111" s="9" t="s">
        <v>54</v>
      </c>
      <c r="S111" s="9">
        <v>0</v>
      </c>
    </row>
    <row r="112" spans="1:19" x14ac:dyDescent="0.25">
      <c r="A112" s="20">
        <v>40787</v>
      </c>
      <c r="B112" s="1" t="s">
        <v>68</v>
      </c>
      <c r="C112" s="1" t="s">
        <v>69</v>
      </c>
      <c r="D112" s="1" t="s">
        <v>72</v>
      </c>
      <c r="E112" s="1" t="s">
        <v>71</v>
      </c>
      <c r="F112" s="7">
        <f t="shared" si="84"/>
        <v>2.3892293540718437E-2</v>
      </c>
      <c r="G112" s="7">
        <f t="shared" si="85"/>
        <v>2.2919930369251535E-3</v>
      </c>
      <c r="H112" s="8">
        <f t="shared" si="86"/>
        <v>0</v>
      </c>
      <c r="I112" s="8">
        <f t="shared" si="87"/>
        <v>20</v>
      </c>
      <c r="J112" s="8">
        <f t="shared" si="87"/>
        <v>20</v>
      </c>
      <c r="K112" s="8"/>
      <c r="L112" s="8"/>
      <c r="M112" s="8">
        <v>20</v>
      </c>
      <c r="N112" s="8"/>
      <c r="O112" s="8">
        <v>0</v>
      </c>
      <c r="P112" s="8">
        <v>20</v>
      </c>
      <c r="Q112" s="8"/>
      <c r="R112" s="9" t="s">
        <v>54</v>
      </c>
      <c r="S112" s="9">
        <v>0</v>
      </c>
    </row>
    <row r="113" spans="1:19" x14ac:dyDescent="0.25">
      <c r="A113" s="20">
        <v>40787</v>
      </c>
      <c r="B113" s="1" t="s">
        <v>68</v>
      </c>
      <c r="C113" s="1" t="s">
        <v>69</v>
      </c>
      <c r="D113" s="1" t="s">
        <v>72</v>
      </c>
      <c r="E113" s="1" t="s">
        <v>71</v>
      </c>
      <c r="F113" s="7">
        <f t="shared" si="84"/>
        <v>2.3892293540718437E-2</v>
      </c>
      <c r="G113" s="7">
        <f t="shared" si="85"/>
        <v>2.2919930369251535E-3</v>
      </c>
      <c r="H113" s="8">
        <f t="shared" si="86"/>
        <v>0</v>
      </c>
      <c r="I113" s="8">
        <f t="shared" si="87"/>
        <v>20</v>
      </c>
      <c r="J113" s="8">
        <f t="shared" si="87"/>
        <v>20</v>
      </c>
      <c r="K113" s="8"/>
      <c r="L113" s="8"/>
      <c r="M113" s="8">
        <v>20</v>
      </c>
      <c r="N113" s="8"/>
      <c r="O113" s="8">
        <v>0</v>
      </c>
      <c r="P113" s="8">
        <v>20</v>
      </c>
      <c r="Q113" s="8"/>
      <c r="R113" s="9" t="s">
        <v>54</v>
      </c>
      <c r="S113" s="9">
        <v>0</v>
      </c>
    </row>
    <row r="114" spans="1:19" x14ac:dyDescent="0.25">
      <c r="A114" s="20">
        <v>40787</v>
      </c>
      <c r="B114" s="1" t="s">
        <v>68</v>
      </c>
      <c r="C114" s="1" t="s">
        <v>69</v>
      </c>
      <c r="D114" s="1" t="s">
        <v>77</v>
      </c>
      <c r="E114" s="1" t="s">
        <v>71</v>
      </c>
      <c r="F114" s="7">
        <f t="shared" si="84"/>
        <v>2.7476137571826202E-2</v>
      </c>
      <c r="G114" s="7">
        <f t="shared" si="85"/>
        <v>2.6357919924639268E-3</v>
      </c>
      <c r="H114" s="8">
        <f t="shared" si="86"/>
        <v>0</v>
      </c>
      <c r="I114" s="8">
        <f t="shared" si="87"/>
        <v>23</v>
      </c>
      <c r="J114" s="8">
        <f t="shared" si="87"/>
        <v>23</v>
      </c>
      <c r="K114" s="8"/>
      <c r="L114" s="8"/>
      <c r="M114" s="8">
        <v>23</v>
      </c>
      <c r="N114" s="8"/>
      <c r="O114" s="8">
        <v>0</v>
      </c>
      <c r="P114" s="8">
        <v>23</v>
      </c>
      <c r="Q114" s="8"/>
      <c r="R114" s="9" t="s">
        <v>54</v>
      </c>
      <c r="S114" s="9">
        <v>0</v>
      </c>
    </row>
    <row r="115" spans="1:19" x14ac:dyDescent="0.25">
      <c r="A115" s="20">
        <v>40788</v>
      </c>
      <c r="B115" s="1" t="s">
        <v>73</v>
      </c>
      <c r="C115" s="1" t="s">
        <v>74</v>
      </c>
      <c r="D115" s="1" t="s">
        <v>75</v>
      </c>
      <c r="E115" s="1" t="s">
        <v>76</v>
      </c>
      <c r="F115" s="7">
        <f t="shared" si="84"/>
        <v>4.2982236079752462E-2</v>
      </c>
      <c r="G115" s="7">
        <f t="shared" si="85"/>
        <v>4.1232954734283511E-3</v>
      </c>
      <c r="H115" s="8">
        <f t="shared" si="86"/>
        <v>0</v>
      </c>
      <c r="I115" s="8">
        <f t="shared" si="87"/>
        <v>35.979999999999997</v>
      </c>
      <c r="J115" s="8">
        <f t="shared" si="87"/>
        <v>35.979999999999997</v>
      </c>
      <c r="K115" s="8">
        <v>5.8999999999999986</v>
      </c>
      <c r="L115" s="8">
        <v>30.08</v>
      </c>
      <c r="M115" s="8">
        <v>35.979999999999997</v>
      </c>
      <c r="N115" s="8"/>
      <c r="O115" s="8">
        <v>0</v>
      </c>
      <c r="P115" s="8">
        <v>35.979999999999997</v>
      </c>
      <c r="Q115" s="8"/>
      <c r="R115" s="9" t="s">
        <v>54</v>
      </c>
      <c r="S115" s="9">
        <v>0</v>
      </c>
    </row>
    <row r="116" spans="1:19" x14ac:dyDescent="0.25">
      <c r="A116" s="20">
        <v>40818</v>
      </c>
      <c r="B116" s="1" t="s">
        <v>73</v>
      </c>
      <c r="C116" s="1" t="s">
        <v>74</v>
      </c>
      <c r="D116" s="1" t="s">
        <v>75</v>
      </c>
      <c r="E116" s="1" t="s">
        <v>76</v>
      </c>
      <c r="F116" s="7">
        <f t="shared" si="84"/>
        <v>4.2982236079752462E-2</v>
      </c>
      <c r="G116" s="7">
        <f t="shared" si="85"/>
        <v>4.1232954734283511E-3</v>
      </c>
      <c r="H116" s="8">
        <f t="shared" si="86"/>
        <v>0</v>
      </c>
      <c r="I116" s="8">
        <f t="shared" si="87"/>
        <v>35.979999999999997</v>
      </c>
      <c r="J116" s="8">
        <f t="shared" si="87"/>
        <v>35.979999999999997</v>
      </c>
      <c r="K116" s="8">
        <v>5.8999999999999986</v>
      </c>
      <c r="L116" s="8">
        <v>30.08</v>
      </c>
      <c r="M116" s="8">
        <v>35.979999999999997</v>
      </c>
      <c r="N116" s="8"/>
      <c r="O116" s="8">
        <v>0</v>
      </c>
      <c r="P116" s="8">
        <v>35.979999999999997</v>
      </c>
      <c r="Q116" s="8"/>
      <c r="R116" s="9" t="s">
        <v>54</v>
      </c>
      <c r="S116" s="9">
        <v>0</v>
      </c>
    </row>
    <row r="117" spans="1:19" x14ac:dyDescent="0.25">
      <c r="A117" s="20">
        <v>40819</v>
      </c>
      <c r="B117" s="1" t="s">
        <v>68</v>
      </c>
      <c r="C117" s="1" t="s">
        <v>69</v>
      </c>
      <c r="D117" s="1" t="s">
        <v>72</v>
      </c>
      <c r="E117" s="1" t="s">
        <v>71</v>
      </c>
      <c r="F117" s="7">
        <f t="shared" si="84"/>
        <v>2.3892293540718437E-2</v>
      </c>
      <c r="G117" s="7">
        <f t="shared" si="85"/>
        <v>2.2919930369251535E-3</v>
      </c>
      <c r="H117" s="8">
        <f t="shared" si="86"/>
        <v>0</v>
      </c>
      <c r="I117" s="8">
        <f t="shared" si="87"/>
        <v>20</v>
      </c>
      <c r="J117" s="8">
        <f t="shared" si="87"/>
        <v>20</v>
      </c>
      <c r="K117" s="8"/>
      <c r="L117" s="8"/>
      <c r="M117" s="8">
        <v>20</v>
      </c>
      <c r="N117" s="8"/>
      <c r="O117" s="8">
        <v>0</v>
      </c>
      <c r="P117" s="8">
        <v>20</v>
      </c>
      <c r="Q117" s="8"/>
      <c r="R117" s="9" t="s">
        <v>54</v>
      </c>
      <c r="S117" s="9">
        <v>0</v>
      </c>
    </row>
    <row r="118" spans="1:19" x14ac:dyDescent="0.25">
      <c r="A118" s="20">
        <v>40849</v>
      </c>
      <c r="B118" s="1" t="s">
        <v>73</v>
      </c>
      <c r="C118" s="1" t="s">
        <v>74</v>
      </c>
      <c r="D118" s="1" t="s">
        <v>75</v>
      </c>
      <c r="E118" s="1" t="s">
        <v>76</v>
      </c>
      <c r="F118" s="7">
        <f t="shared" si="84"/>
        <v>4.2982236079752462E-2</v>
      </c>
      <c r="G118" s="7">
        <f t="shared" si="85"/>
        <v>4.1232954734283511E-3</v>
      </c>
      <c r="H118" s="8">
        <f t="shared" si="86"/>
        <v>0</v>
      </c>
      <c r="I118" s="8">
        <f t="shared" si="87"/>
        <v>35.979999999999997</v>
      </c>
      <c r="J118" s="8">
        <f t="shared" si="87"/>
        <v>35.979999999999997</v>
      </c>
      <c r="K118" s="8">
        <v>5.8999999999999986</v>
      </c>
      <c r="L118" s="8">
        <v>30.08</v>
      </c>
      <c r="M118" s="8">
        <v>35.979999999999997</v>
      </c>
      <c r="N118" s="8"/>
      <c r="O118" s="8">
        <v>0</v>
      </c>
      <c r="P118" s="8">
        <v>35.979999999999997</v>
      </c>
      <c r="Q118" s="8"/>
      <c r="R118" s="9" t="s">
        <v>54</v>
      </c>
      <c r="S118" s="9">
        <v>0</v>
      </c>
    </row>
    <row r="119" spans="1:19" x14ac:dyDescent="0.25">
      <c r="A119" s="20">
        <v>40879</v>
      </c>
      <c r="B119" s="1" t="s">
        <v>73</v>
      </c>
      <c r="C119" s="1" t="s">
        <v>74</v>
      </c>
      <c r="D119" s="1" t="s">
        <v>75</v>
      </c>
      <c r="E119" s="1" t="s">
        <v>76</v>
      </c>
      <c r="F119" s="7">
        <f t="shared" si="84"/>
        <v>4.2982236079752462E-2</v>
      </c>
      <c r="G119" s="7">
        <f t="shared" si="85"/>
        <v>4.1232954734283511E-3</v>
      </c>
      <c r="H119" s="8">
        <f t="shared" si="86"/>
        <v>0</v>
      </c>
      <c r="I119" s="8">
        <f t="shared" si="87"/>
        <v>35.979999999999997</v>
      </c>
      <c r="J119" s="8">
        <f t="shared" si="87"/>
        <v>35.979999999999997</v>
      </c>
      <c r="K119" s="8">
        <v>5.8999999999999986</v>
      </c>
      <c r="L119" s="8">
        <v>30.08</v>
      </c>
      <c r="M119" s="8">
        <v>35.979999999999997</v>
      </c>
      <c r="N119" s="8"/>
      <c r="O119" s="8">
        <v>0</v>
      </c>
      <c r="P119" s="8">
        <v>35.979999999999997</v>
      </c>
      <c r="Q119" s="8"/>
      <c r="R119" s="9" t="s">
        <v>54</v>
      </c>
      <c r="S119" s="9">
        <v>0</v>
      </c>
    </row>
    <row r="120" spans="1:19" x14ac:dyDescent="0.25">
      <c r="A120" s="20">
        <v>40910</v>
      </c>
      <c r="B120" s="1" t="s">
        <v>73</v>
      </c>
      <c r="C120" s="1" t="s">
        <v>74</v>
      </c>
      <c r="D120" s="1" t="s">
        <v>75</v>
      </c>
      <c r="E120" s="1" t="s">
        <v>76</v>
      </c>
      <c r="F120" s="7">
        <f t="shared" si="84"/>
        <v>4.2982236079752462E-2</v>
      </c>
      <c r="G120" s="7">
        <f t="shared" si="85"/>
        <v>4.1232954734283511E-3</v>
      </c>
      <c r="H120" s="8">
        <f t="shared" si="86"/>
        <v>0</v>
      </c>
      <c r="I120" s="8">
        <f t="shared" si="87"/>
        <v>35.979999999999997</v>
      </c>
      <c r="J120" s="8">
        <f t="shared" si="87"/>
        <v>35.979999999999997</v>
      </c>
      <c r="K120" s="8">
        <v>5.8999999999999986</v>
      </c>
      <c r="L120" s="8">
        <v>30.08</v>
      </c>
      <c r="M120" s="8">
        <v>35.979999999999997</v>
      </c>
      <c r="N120" s="8"/>
      <c r="O120" s="8">
        <v>0</v>
      </c>
      <c r="P120" s="8">
        <v>35.979999999999997</v>
      </c>
      <c r="Q120" s="8"/>
      <c r="R120" s="9" t="s">
        <v>54</v>
      </c>
      <c r="S120" s="9">
        <v>0</v>
      </c>
    </row>
    <row r="121" spans="1:19" x14ac:dyDescent="0.25">
      <c r="A121" s="20">
        <v>40941</v>
      </c>
      <c r="B121" s="1" t="s">
        <v>73</v>
      </c>
      <c r="C121" s="1" t="s">
        <v>74</v>
      </c>
      <c r="D121" s="1" t="s">
        <v>75</v>
      </c>
      <c r="E121" s="1" t="s">
        <v>76</v>
      </c>
      <c r="F121" s="7">
        <f t="shared" si="84"/>
        <v>4.2982236079752462E-2</v>
      </c>
      <c r="G121" s="7">
        <f t="shared" si="85"/>
        <v>4.1232954734283511E-3</v>
      </c>
      <c r="H121" s="8">
        <f t="shared" si="86"/>
        <v>0</v>
      </c>
      <c r="I121" s="8">
        <f t="shared" si="87"/>
        <v>35.979999999999997</v>
      </c>
      <c r="J121" s="8">
        <f t="shared" si="87"/>
        <v>35.979999999999997</v>
      </c>
      <c r="K121" s="8">
        <v>5.8999999999999986</v>
      </c>
      <c r="L121" s="8">
        <v>30.08</v>
      </c>
      <c r="M121" s="8">
        <v>35.979999999999997</v>
      </c>
      <c r="N121" s="8"/>
      <c r="O121" s="8">
        <v>0</v>
      </c>
      <c r="P121" s="8">
        <v>35.979999999999997</v>
      </c>
      <c r="Q121" s="8"/>
      <c r="R121" s="9" t="s">
        <v>54</v>
      </c>
      <c r="S121" s="9">
        <v>0</v>
      </c>
    </row>
    <row r="122" spans="1:19" x14ac:dyDescent="0.25">
      <c r="A122" s="20">
        <v>40942</v>
      </c>
      <c r="B122" s="1" t="s">
        <v>80</v>
      </c>
      <c r="C122" s="1" t="s">
        <v>69</v>
      </c>
      <c r="D122" s="1" t="s">
        <v>81</v>
      </c>
      <c r="E122" s="1" t="s">
        <v>76</v>
      </c>
      <c r="F122" s="7">
        <f t="shared" si="84"/>
        <v>1.910188868580439E-2</v>
      </c>
      <c r="G122" s="7">
        <f t="shared" si="85"/>
        <v>1.8324484330216604E-3</v>
      </c>
      <c r="H122" s="8">
        <f t="shared" si="86"/>
        <v>0</v>
      </c>
      <c r="I122" s="8">
        <f t="shared" si="87"/>
        <v>15.99</v>
      </c>
      <c r="J122" s="8">
        <f t="shared" si="87"/>
        <v>15.99</v>
      </c>
      <c r="K122" s="8">
        <v>2.620000000000001</v>
      </c>
      <c r="L122" s="8">
        <v>13.37</v>
      </c>
      <c r="M122" s="8">
        <v>15.99</v>
      </c>
      <c r="N122" s="8"/>
      <c r="O122" s="8">
        <v>0</v>
      </c>
      <c r="P122" s="8">
        <v>15.99</v>
      </c>
      <c r="Q122" s="8"/>
      <c r="R122" s="9" t="s">
        <v>54</v>
      </c>
      <c r="S122" s="9">
        <v>0</v>
      </c>
    </row>
    <row r="123" spans="1:19" x14ac:dyDescent="0.25">
      <c r="A123" s="20">
        <v>40970</v>
      </c>
      <c r="B123" s="1" t="s">
        <v>73</v>
      </c>
      <c r="C123" s="1" t="s">
        <v>74</v>
      </c>
      <c r="D123" s="1" t="s">
        <v>75</v>
      </c>
      <c r="E123" s="1" t="s">
        <v>76</v>
      </c>
      <c r="F123" s="7">
        <f t="shared" si="84"/>
        <v>4.2982236079752462E-2</v>
      </c>
      <c r="G123" s="7">
        <f t="shared" si="85"/>
        <v>4.1232954734283511E-3</v>
      </c>
      <c r="H123" s="8">
        <f t="shared" si="86"/>
        <v>0</v>
      </c>
      <c r="I123" s="8">
        <f t="shared" si="87"/>
        <v>35.979999999999997</v>
      </c>
      <c r="J123" s="8">
        <f t="shared" si="87"/>
        <v>35.979999999999997</v>
      </c>
      <c r="K123" s="8">
        <v>5.8999999999999986</v>
      </c>
      <c r="L123" s="8">
        <v>30.08</v>
      </c>
      <c r="M123" s="8">
        <v>35.979999999999997</v>
      </c>
      <c r="N123" s="8"/>
      <c r="O123" s="8">
        <v>0</v>
      </c>
      <c r="P123" s="8">
        <v>35.979999999999997</v>
      </c>
      <c r="Q123" s="8"/>
      <c r="R123" s="9" t="s">
        <v>54</v>
      </c>
      <c r="S123" s="9">
        <v>0</v>
      </c>
    </row>
    <row r="124" spans="1:19" x14ac:dyDescent="0.25">
      <c r="A124" s="20">
        <v>41001</v>
      </c>
      <c r="B124" s="1" t="s">
        <v>73</v>
      </c>
      <c r="C124" s="1" t="s">
        <v>74</v>
      </c>
      <c r="D124" s="1" t="s">
        <v>75</v>
      </c>
      <c r="E124" s="1" t="s">
        <v>76</v>
      </c>
      <c r="F124" s="7">
        <f t="shared" si="84"/>
        <v>4.2982236079752462E-2</v>
      </c>
      <c r="G124" s="7">
        <f t="shared" si="85"/>
        <v>4.1232954734283511E-3</v>
      </c>
      <c r="H124" s="8">
        <f t="shared" si="86"/>
        <v>0</v>
      </c>
      <c r="I124" s="8">
        <f t="shared" si="87"/>
        <v>35.979999999999997</v>
      </c>
      <c r="J124" s="8">
        <f t="shared" si="87"/>
        <v>35.979999999999997</v>
      </c>
      <c r="K124" s="8">
        <v>5.8999999999999986</v>
      </c>
      <c r="L124" s="8">
        <v>30.08</v>
      </c>
      <c r="M124" s="8">
        <v>35.979999999999997</v>
      </c>
      <c r="N124" s="8"/>
      <c r="O124" s="8">
        <v>0</v>
      </c>
      <c r="P124" s="8">
        <v>35.979999999999997</v>
      </c>
      <c r="Q124" s="8"/>
      <c r="R124" s="9" t="s">
        <v>54</v>
      </c>
      <c r="S124" s="9">
        <v>0</v>
      </c>
    </row>
    <row r="125" spans="1:19" x14ac:dyDescent="0.25">
      <c r="A125" s="20">
        <v>41031</v>
      </c>
      <c r="B125" s="1" t="s">
        <v>73</v>
      </c>
      <c r="C125" s="1" t="s">
        <v>74</v>
      </c>
      <c r="D125" s="1" t="s">
        <v>75</v>
      </c>
      <c r="E125" s="1" t="s">
        <v>76</v>
      </c>
      <c r="F125" s="7">
        <f t="shared" si="84"/>
        <v>4.2982236079752462E-2</v>
      </c>
      <c r="G125" s="7">
        <f t="shared" si="85"/>
        <v>4.1232954734283511E-3</v>
      </c>
      <c r="H125" s="8">
        <f t="shared" si="86"/>
        <v>0</v>
      </c>
      <c r="I125" s="8">
        <f t="shared" si="87"/>
        <v>35.979999999999997</v>
      </c>
      <c r="J125" s="8">
        <f t="shared" si="87"/>
        <v>35.979999999999997</v>
      </c>
      <c r="K125" s="8">
        <v>5.8999999999999986</v>
      </c>
      <c r="L125" s="8">
        <v>30.08</v>
      </c>
      <c r="M125" s="8">
        <v>35.979999999999997</v>
      </c>
      <c r="N125" s="8"/>
      <c r="O125" s="8">
        <v>0</v>
      </c>
      <c r="P125" s="8">
        <v>35.979999999999997</v>
      </c>
      <c r="Q125" s="8"/>
      <c r="R125" s="9" t="s">
        <v>54</v>
      </c>
      <c r="S125" s="9">
        <v>0</v>
      </c>
    </row>
    <row r="126" spans="1:19" x14ac:dyDescent="0.25">
      <c r="F126" s="7">
        <f t="shared" si="84"/>
        <v>0</v>
      </c>
      <c r="G126" s="7">
        <f t="shared" si="85"/>
        <v>0</v>
      </c>
      <c r="H126" s="8">
        <f t="shared" si="86"/>
        <v>0</v>
      </c>
      <c r="I126" s="8">
        <f t="shared" si="87"/>
        <v>0</v>
      </c>
      <c r="J126" s="8">
        <f t="shared" si="87"/>
        <v>0</v>
      </c>
      <c r="K126" s="8">
        <f ca="1">IF(($K126)&gt;=$N126+$M126,"",($L126-$M126-$N126))</f>
        <v>0</v>
      </c>
      <c r="L126" s="8">
        <f ca="1">M126+N126-K126</f>
        <v>0</v>
      </c>
      <c r="M126" s="8"/>
      <c r="N126" s="8"/>
      <c r="O126" s="8">
        <f>$J126-($P126+$Q126)</f>
        <v>0</v>
      </c>
      <c r="P126" s="8"/>
      <c r="Q126" s="8"/>
      <c r="R126" s="9" t="str">
        <f>IF(($M126+$P126)&gt;=$N126+$Q126,"",($O126/2)+$P126-$M126)</f>
        <v/>
      </c>
      <c r="S126" s="9">
        <f>IF(($M126+$P126)&gt;=$N126+$Q126,($O126/2)+$Q126-$N126,"")</f>
        <v>0</v>
      </c>
    </row>
    <row r="127" spans="1:19" x14ac:dyDescent="0.25">
      <c r="F127" s="7">
        <f t="shared" si="84"/>
        <v>0</v>
      </c>
      <c r="G127" s="7">
        <f t="shared" si="85"/>
        <v>0</v>
      </c>
      <c r="H127" s="8">
        <f t="shared" si="86"/>
        <v>0</v>
      </c>
      <c r="I127" s="8">
        <f t="shared" si="87"/>
        <v>0</v>
      </c>
      <c r="J127" s="8">
        <f t="shared" si="87"/>
        <v>0</v>
      </c>
      <c r="K127" s="8">
        <f ca="1">IF(($K127)&gt;=$N127+$M127,"",($L127-$M127-$N127))</f>
        <v>0</v>
      </c>
      <c r="L127" s="8">
        <f ca="1">M127+N127-K127</f>
        <v>0</v>
      </c>
      <c r="M127" s="8"/>
      <c r="N127" s="8"/>
      <c r="O127" s="8">
        <f>$J127-($P127+$Q127)</f>
        <v>0</v>
      </c>
      <c r="P127" s="8"/>
      <c r="Q127" s="8"/>
      <c r="R127" s="9" t="str">
        <f>IF(($M127+$P127)&gt;=$N127+$Q127,"",($O127/2)+$P127-$M127)</f>
        <v/>
      </c>
      <c r="S127" s="9">
        <f>IF(($M127+$P127)&gt;=$N127+$Q127,($O127/2)+$Q127-$N127,"")</f>
        <v>0</v>
      </c>
    </row>
    <row r="128" spans="1:19" x14ac:dyDescent="0.25">
      <c r="B128" s="1">
        <f>SUMPRODUCT((B98:B127&lt;&gt;"")/COUNTIF(B98:B127,B98:B127&amp;""))</f>
        <v>4.0000000000000018</v>
      </c>
      <c r="C128" s="1">
        <f>COUNTA(Tableau1594[Téléphonie/Internet])</f>
        <v>28</v>
      </c>
      <c r="D128" s="1">
        <f>COUNTA(Tableau1594[Nature des Dépenses])</f>
        <v>28</v>
      </c>
      <c r="F128" s="7">
        <f t="shared" ref="F128:S128" si="88">SUM(F98:F127)</f>
        <v>0.99999999999999989</v>
      </c>
      <c r="G128" s="7">
        <f t="shared" si="88"/>
        <v>9.5930222563983869E-2</v>
      </c>
      <c r="H128" s="8">
        <f t="shared" si="88"/>
        <v>68.72999999999999</v>
      </c>
      <c r="I128" s="8">
        <f t="shared" si="88"/>
        <v>768.36000000000013</v>
      </c>
      <c r="J128" s="8">
        <f t="shared" si="88"/>
        <v>837.09000000000015</v>
      </c>
      <c r="K128" s="8">
        <f t="shared" ca="1" si="88"/>
        <v>0</v>
      </c>
      <c r="L128" s="8">
        <f t="shared" ca="1" si="88"/>
        <v>0</v>
      </c>
      <c r="M128" s="8">
        <f t="shared" si="88"/>
        <v>837.09000000000015</v>
      </c>
      <c r="N128" s="8">
        <f t="shared" si="88"/>
        <v>0</v>
      </c>
      <c r="O128" s="8">
        <f t="shared" si="88"/>
        <v>0</v>
      </c>
      <c r="P128" s="8">
        <f t="shared" si="88"/>
        <v>837.09000000000015</v>
      </c>
      <c r="Q128" s="8">
        <f t="shared" si="88"/>
        <v>0</v>
      </c>
      <c r="R128" s="8">
        <f t="shared" si="88"/>
        <v>0</v>
      </c>
      <c r="S128" s="8">
        <f t="shared" si="88"/>
        <v>0</v>
      </c>
    </row>
    <row r="129" spans="1:19" x14ac:dyDescent="0.25">
      <c r="F129" s="7"/>
      <c r="G129" s="7"/>
    </row>
    <row r="130" spans="1:19" x14ac:dyDescent="0.25">
      <c r="F130" s="7"/>
      <c r="G130" s="7"/>
    </row>
    <row r="131" spans="1:19" ht="15.75" thickBot="1" x14ac:dyDescent="0.3">
      <c r="F131" s="7"/>
      <c r="G131" s="7"/>
    </row>
    <row r="132" spans="1:19" ht="15.75" thickBot="1" x14ac:dyDescent="0.3">
      <c r="F132" s="7"/>
      <c r="G132" s="7"/>
      <c r="M132" s="23" t="s">
        <v>0</v>
      </c>
      <c r="N132" s="24"/>
      <c r="O132" s="2" t="s">
        <v>1</v>
      </c>
      <c r="P132" s="25" t="s">
        <v>2</v>
      </c>
      <c r="Q132" s="26"/>
      <c r="R132" s="23" t="s">
        <v>3</v>
      </c>
      <c r="S132" s="24"/>
    </row>
    <row r="133" spans="1:19" s="6" customFormat="1" ht="14.1" customHeight="1" x14ac:dyDescent="0.2">
      <c r="A133" s="21" t="s">
        <v>4</v>
      </c>
      <c r="B133" s="4" t="s">
        <v>5</v>
      </c>
      <c r="C133" s="17" t="s">
        <v>29</v>
      </c>
      <c r="D133" s="3" t="s">
        <v>7</v>
      </c>
      <c r="E133" s="3" t="s">
        <v>8</v>
      </c>
      <c r="F133" s="5" t="s">
        <v>9</v>
      </c>
      <c r="G133" s="5" t="s">
        <v>10</v>
      </c>
      <c r="H133" s="4" t="s">
        <v>11</v>
      </c>
      <c r="I133" s="3" t="s">
        <v>12</v>
      </c>
      <c r="J133" s="3" t="s">
        <v>13</v>
      </c>
      <c r="K133" s="3" t="s">
        <v>14</v>
      </c>
      <c r="L133" s="3" t="s">
        <v>15</v>
      </c>
      <c r="M133" s="3" t="s">
        <v>16</v>
      </c>
      <c r="N133" s="3" t="s">
        <v>17</v>
      </c>
      <c r="O133" s="3" t="s">
        <v>1</v>
      </c>
      <c r="P133" s="3" t="s">
        <v>18</v>
      </c>
      <c r="Q133" s="3" t="s">
        <v>19</v>
      </c>
      <c r="R133" s="3" t="s">
        <v>20</v>
      </c>
      <c r="S133" s="3" t="s">
        <v>21</v>
      </c>
    </row>
    <row r="134" spans="1:19" x14ac:dyDescent="0.25">
      <c r="B134" s="1" t="s">
        <v>90</v>
      </c>
      <c r="C134" s="1" t="s">
        <v>91</v>
      </c>
      <c r="D134" s="1" t="s">
        <v>92</v>
      </c>
      <c r="E134" s="1" t="s">
        <v>53</v>
      </c>
      <c r="F134" s="7" t="e">
        <f>$J134/J$144</f>
        <v>#DIV/0!</v>
      </c>
      <c r="G134" s="7">
        <f t="shared" ref="G134:G143" si="89">$J134/J$57</f>
        <v>0</v>
      </c>
      <c r="H134" s="8">
        <f t="shared" ref="H134:H143" si="90">$J134-$I134</f>
        <v>0</v>
      </c>
      <c r="I134" s="8">
        <f t="shared" ref="I134:J143" si="91">$M134+$N134</f>
        <v>0</v>
      </c>
      <c r="J134" s="8">
        <f t="shared" si="91"/>
        <v>0</v>
      </c>
      <c r="K134" s="8">
        <f t="shared" ref="K134:K143" ca="1" si="92">IF(($K134)&gt;=$N134+$M134,"",($L134-$M134-$N134))</f>
        <v>0</v>
      </c>
      <c r="L134" s="8">
        <f ca="1">M134+N134-K134</f>
        <v>0</v>
      </c>
      <c r="M134" s="8"/>
      <c r="N134" s="8"/>
      <c r="O134" s="8">
        <f>$J134-($P134+$Q134)</f>
        <v>0</v>
      </c>
      <c r="P134" s="8"/>
      <c r="Q134" s="8"/>
      <c r="R134" s="9" t="str">
        <f>IF(($M134+$P134)&gt;=$N134+$Q134,"",($O134/2)+$P134-$M134)</f>
        <v/>
      </c>
      <c r="S134" s="9">
        <f>IF(($M134+$P134)&gt;=$N134+$Q134,($O134/2)+$Q134-$N134,"")</f>
        <v>0</v>
      </c>
    </row>
    <row r="135" spans="1:19" x14ac:dyDescent="0.25">
      <c r="B135" s="1" t="s">
        <v>90</v>
      </c>
      <c r="C135" s="1" t="s">
        <v>93</v>
      </c>
      <c r="D135" s="1" t="s">
        <v>96</v>
      </c>
      <c r="F135" s="7" t="e">
        <f t="shared" ref="F135:F143" si="93">$J135/J$144</f>
        <v>#DIV/0!</v>
      </c>
      <c r="G135" s="7">
        <f t="shared" si="89"/>
        <v>0</v>
      </c>
      <c r="H135" s="8">
        <f t="shared" si="90"/>
        <v>0</v>
      </c>
      <c r="I135" s="8">
        <f t="shared" si="91"/>
        <v>0</v>
      </c>
      <c r="J135" s="8">
        <f t="shared" si="91"/>
        <v>0</v>
      </c>
      <c r="K135" s="8">
        <f t="shared" ca="1" si="92"/>
        <v>0</v>
      </c>
      <c r="L135" s="8">
        <f t="shared" ref="L135:L143" ca="1" si="94">M135+N135-K135</f>
        <v>0</v>
      </c>
      <c r="M135" s="8"/>
      <c r="N135" s="8"/>
      <c r="O135" s="8">
        <f>$J135-($P135+$Q135)</f>
        <v>0</v>
      </c>
      <c r="P135" s="8"/>
      <c r="Q135" s="8"/>
      <c r="R135" s="9" t="str">
        <f t="shared" ref="R135:R143" si="95">IF(($M135+$P135)&gt;=$N135+$Q135,"",($O135/2)+$P135-$M135)</f>
        <v/>
      </c>
      <c r="S135" s="9">
        <f t="shared" ref="S135:S143" si="96">IF(($M135+$P135)&gt;=$N135+$Q135,($O135/2)+$Q135-$N135,"")</f>
        <v>0</v>
      </c>
    </row>
    <row r="136" spans="1:19" x14ac:dyDescent="0.25">
      <c r="B136" s="1" t="s">
        <v>94</v>
      </c>
      <c r="C136" s="1" t="s">
        <v>40</v>
      </c>
      <c r="D136" s="1" t="s">
        <v>95</v>
      </c>
      <c r="E136" s="1" t="s">
        <v>53</v>
      </c>
      <c r="F136" s="7" t="e">
        <f t="shared" si="93"/>
        <v>#DIV/0!</v>
      </c>
      <c r="G136" s="7">
        <f t="shared" si="89"/>
        <v>0</v>
      </c>
      <c r="H136" s="8">
        <f t="shared" si="90"/>
        <v>0</v>
      </c>
      <c r="I136" s="8">
        <f t="shared" si="91"/>
        <v>0</v>
      </c>
      <c r="J136" s="8">
        <f t="shared" si="91"/>
        <v>0</v>
      </c>
      <c r="K136" s="8">
        <f t="shared" ca="1" si="92"/>
        <v>0</v>
      </c>
      <c r="L136" s="8">
        <f t="shared" ca="1" si="94"/>
        <v>0</v>
      </c>
      <c r="M136" s="8"/>
      <c r="N136" s="8"/>
      <c r="O136" s="8">
        <f>$J136-($P136+$Q136)</f>
        <v>0</v>
      </c>
      <c r="P136" s="8"/>
      <c r="Q136" s="8"/>
      <c r="R136" s="9" t="str">
        <f t="shared" si="95"/>
        <v/>
      </c>
      <c r="S136" s="9">
        <f t="shared" si="96"/>
        <v>0</v>
      </c>
    </row>
    <row r="137" spans="1:19" x14ac:dyDescent="0.25">
      <c r="F137" s="7" t="e">
        <f t="shared" si="93"/>
        <v>#DIV/0!</v>
      </c>
      <c r="G137" s="7">
        <f t="shared" si="89"/>
        <v>0</v>
      </c>
      <c r="H137" s="8">
        <f t="shared" si="90"/>
        <v>0</v>
      </c>
      <c r="I137" s="8">
        <f t="shared" si="91"/>
        <v>0</v>
      </c>
      <c r="J137" s="8">
        <f t="shared" si="91"/>
        <v>0</v>
      </c>
      <c r="K137" s="8">
        <f t="shared" ca="1" si="92"/>
        <v>0</v>
      </c>
      <c r="L137" s="8">
        <f t="shared" ca="1" si="94"/>
        <v>0</v>
      </c>
      <c r="M137" s="8"/>
      <c r="N137" s="8"/>
      <c r="O137" s="8">
        <f>$J137-($P137+$Q137)</f>
        <v>0</v>
      </c>
      <c r="P137" s="8"/>
      <c r="Q137" s="8"/>
      <c r="R137" s="9" t="str">
        <f t="shared" si="95"/>
        <v/>
      </c>
      <c r="S137" s="9">
        <f t="shared" si="96"/>
        <v>0</v>
      </c>
    </row>
    <row r="138" spans="1:19" x14ac:dyDescent="0.25">
      <c r="F138" s="7" t="e">
        <f t="shared" si="93"/>
        <v>#DIV/0!</v>
      </c>
      <c r="G138" s="7">
        <f t="shared" si="89"/>
        <v>0</v>
      </c>
      <c r="H138" s="8">
        <f t="shared" si="90"/>
        <v>0</v>
      </c>
      <c r="I138" s="8">
        <f t="shared" si="91"/>
        <v>0</v>
      </c>
      <c r="J138" s="8">
        <f t="shared" si="91"/>
        <v>0</v>
      </c>
      <c r="K138" s="8">
        <f t="shared" ca="1" si="92"/>
        <v>0</v>
      </c>
      <c r="L138" s="8">
        <f t="shared" ca="1" si="94"/>
        <v>0</v>
      </c>
      <c r="M138" s="8"/>
      <c r="N138" s="8"/>
      <c r="O138" s="8">
        <f t="shared" ref="O138:O142" si="97">$J138-($P138+$Q138)</f>
        <v>0</v>
      </c>
      <c r="P138" s="8"/>
      <c r="Q138" s="8"/>
      <c r="R138" s="9" t="str">
        <f t="shared" si="95"/>
        <v/>
      </c>
      <c r="S138" s="9">
        <f t="shared" si="96"/>
        <v>0</v>
      </c>
    </row>
    <row r="139" spans="1:19" x14ac:dyDescent="0.25">
      <c r="F139" s="7" t="e">
        <f t="shared" si="93"/>
        <v>#DIV/0!</v>
      </c>
      <c r="G139" s="7">
        <f t="shared" si="89"/>
        <v>0</v>
      </c>
      <c r="H139" s="8">
        <f t="shared" si="90"/>
        <v>0</v>
      </c>
      <c r="I139" s="8">
        <f t="shared" si="91"/>
        <v>0</v>
      </c>
      <c r="J139" s="8">
        <f t="shared" si="91"/>
        <v>0</v>
      </c>
      <c r="K139" s="8">
        <f t="shared" ca="1" si="92"/>
        <v>0</v>
      </c>
      <c r="L139" s="8">
        <f t="shared" ca="1" si="94"/>
        <v>0</v>
      </c>
      <c r="M139" s="8"/>
      <c r="N139" s="8"/>
      <c r="O139" s="8">
        <f>$J139-($P139+$Q139)</f>
        <v>0</v>
      </c>
      <c r="P139" s="8"/>
      <c r="Q139" s="8"/>
      <c r="R139" s="9" t="str">
        <f t="shared" si="95"/>
        <v/>
      </c>
      <c r="S139" s="9">
        <f t="shared" si="96"/>
        <v>0</v>
      </c>
    </row>
    <row r="140" spans="1:19" x14ac:dyDescent="0.25">
      <c r="F140" s="7" t="e">
        <f t="shared" si="93"/>
        <v>#DIV/0!</v>
      </c>
      <c r="G140" s="7">
        <f t="shared" si="89"/>
        <v>0</v>
      </c>
      <c r="H140" s="8">
        <f t="shared" si="90"/>
        <v>0</v>
      </c>
      <c r="I140" s="8">
        <f t="shared" si="91"/>
        <v>0</v>
      </c>
      <c r="J140" s="8">
        <f t="shared" si="91"/>
        <v>0</v>
      </c>
      <c r="K140" s="8">
        <f t="shared" ca="1" si="92"/>
        <v>0</v>
      </c>
      <c r="L140" s="8">
        <f t="shared" ca="1" si="94"/>
        <v>0</v>
      </c>
      <c r="M140" s="8"/>
      <c r="N140" s="8"/>
      <c r="O140" s="8">
        <f t="shared" si="97"/>
        <v>0</v>
      </c>
      <c r="P140" s="8"/>
      <c r="Q140" s="8"/>
      <c r="R140" s="9" t="str">
        <f t="shared" si="95"/>
        <v/>
      </c>
      <c r="S140" s="9">
        <f t="shared" si="96"/>
        <v>0</v>
      </c>
    </row>
    <row r="141" spans="1:19" x14ac:dyDescent="0.25">
      <c r="F141" s="7" t="e">
        <f t="shared" si="93"/>
        <v>#DIV/0!</v>
      </c>
      <c r="G141" s="7">
        <f t="shared" si="89"/>
        <v>0</v>
      </c>
      <c r="H141" s="8">
        <f t="shared" si="90"/>
        <v>0</v>
      </c>
      <c r="I141" s="8">
        <f t="shared" si="91"/>
        <v>0</v>
      </c>
      <c r="J141" s="8">
        <f t="shared" si="91"/>
        <v>0</v>
      </c>
      <c r="K141" s="8">
        <f t="shared" ca="1" si="92"/>
        <v>0</v>
      </c>
      <c r="L141" s="8">
        <f t="shared" ca="1" si="94"/>
        <v>0</v>
      </c>
      <c r="M141" s="8"/>
      <c r="N141" s="8"/>
      <c r="O141" s="8">
        <f>$J141-($P141+$Q141)</f>
        <v>0</v>
      </c>
      <c r="P141" s="8"/>
      <c r="Q141" s="8"/>
      <c r="R141" s="9" t="str">
        <f t="shared" si="95"/>
        <v/>
      </c>
      <c r="S141" s="9">
        <f t="shared" si="96"/>
        <v>0</v>
      </c>
    </row>
    <row r="142" spans="1:19" x14ac:dyDescent="0.25">
      <c r="F142" s="7" t="e">
        <f t="shared" si="93"/>
        <v>#DIV/0!</v>
      </c>
      <c r="G142" s="7">
        <f t="shared" si="89"/>
        <v>0</v>
      </c>
      <c r="H142" s="8">
        <f t="shared" si="90"/>
        <v>0</v>
      </c>
      <c r="I142" s="8">
        <f t="shared" si="91"/>
        <v>0</v>
      </c>
      <c r="J142" s="8">
        <f t="shared" si="91"/>
        <v>0</v>
      </c>
      <c r="K142" s="8">
        <f t="shared" ca="1" si="92"/>
        <v>0</v>
      </c>
      <c r="L142" s="8">
        <f t="shared" ca="1" si="94"/>
        <v>0</v>
      </c>
      <c r="M142" s="8"/>
      <c r="N142" s="8"/>
      <c r="O142" s="8">
        <f t="shared" si="97"/>
        <v>0</v>
      </c>
      <c r="P142" s="8"/>
      <c r="Q142" s="8"/>
      <c r="R142" s="9" t="str">
        <f t="shared" si="95"/>
        <v/>
      </c>
      <c r="S142" s="9">
        <f t="shared" si="96"/>
        <v>0</v>
      </c>
    </row>
    <row r="143" spans="1:19" x14ac:dyDescent="0.25">
      <c r="F143" s="7" t="e">
        <f t="shared" si="93"/>
        <v>#DIV/0!</v>
      </c>
      <c r="G143" s="7">
        <f t="shared" si="89"/>
        <v>0</v>
      </c>
      <c r="H143" s="8">
        <f t="shared" si="90"/>
        <v>0</v>
      </c>
      <c r="I143" s="8">
        <f t="shared" si="91"/>
        <v>0</v>
      </c>
      <c r="J143" s="8">
        <f t="shared" si="91"/>
        <v>0</v>
      </c>
      <c r="K143" s="8">
        <f t="shared" ca="1" si="92"/>
        <v>0</v>
      </c>
      <c r="L143" s="8">
        <f t="shared" ca="1" si="94"/>
        <v>0</v>
      </c>
      <c r="M143" s="8"/>
      <c r="N143" s="8"/>
      <c r="O143" s="8">
        <f>$J143-($P143+$Q143)</f>
        <v>0</v>
      </c>
      <c r="P143" s="8"/>
      <c r="Q143" s="8"/>
      <c r="R143" s="9" t="str">
        <f t="shared" si="95"/>
        <v/>
      </c>
      <c r="S143" s="9">
        <f t="shared" si="96"/>
        <v>0</v>
      </c>
    </row>
    <row r="144" spans="1:19" x14ac:dyDescent="0.25">
      <c r="B144" s="1">
        <f>SUMPRODUCT((B134:B143&lt;&gt;"")/COUNTIF(B134:B143,B134:B143&amp;""))</f>
        <v>2</v>
      </c>
      <c r="C144" s="1">
        <f>COUNTA(Tableau1598[Assurance])</f>
        <v>3</v>
      </c>
      <c r="D144" s="1">
        <f>COUNTA(Tableau1598[Nature des Dépenses])</f>
        <v>3</v>
      </c>
      <c r="F144" s="7" t="e">
        <f t="shared" ref="F144:S144" si="98">SUM(F134:F143)</f>
        <v>#DIV/0!</v>
      </c>
      <c r="G144" s="7">
        <f t="shared" si="98"/>
        <v>0</v>
      </c>
      <c r="H144" s="8">
        <f t="shared" si="98"/>
        <v>0</v>
      </c>
      <c r="I144" s="8">
        <f t="shared" si="98"/>
        <v>0</v>
      </c>
      <c r="J144" s="8">
        <f t="shared" si="98"/>
        <v>0</v>
      </c>
      <c r="K144" s="8">
        <f t="shared" ca="1" si="98"/>
        <v>0</v>
      </c>
      <c r="L144" s="8">
        <f t="shared" ca="1" si="98"/>
        <v>0</v>
      </c>
      <c r="M144" s="8">
        <f t="shared" si="98"/>
        <v>0</v>
      </c>
      <c r="N144" s="8">
        <f t="shared" si="98"/>
        <v>0</v>
      </c>
      <c r="O144" s="8">
        <f t="shared" si="98"/>
        <v>0</v>
      </c>
      <c r="P144" s="8">
        <f t="shared" si="98"/>
        <v>0</v>
      </c>
      <c r="Q144" s="8">
        <f t="shared" si="98"/>
        <v>0</v>
      </c>
      <c r="R144" s="8">
        <f t="shared" si="98"/>
        <v>0</v>
      </c>
      <c r="S144" s="8">
        <f t="shared" si="98"/>
        <v>0</v>
      </c>
    </row>
    <row r="145" spans="1:19" x14ac:dyDescent="0.25">
      <c r="F145" s="7"/>
      <c r="G145" s="7"/>
    </row>
    <row r="146" spans="1:19" x14ac:dyDescent="0.25">
      <c r="F146" s="7"/>
      <c r="G146" s="7"/>
    </row>
    <row r="147" spans="1:19" ht="15.75" thickBot="1" x14ac:dyDescent="0.3">
      <c r="F147" s="7"/>
      <c r="G147" s="7"/>
    </row>
    <row r="148" spans="1:19" ht="15.75" thickBot="1" x14ac:dyDescent="0.3">
      <c r="F148" s="7"/>
      <c r="G148" s="7"/>
      <c r="M148" s="23" t="s">
        <v>0</v>
      </c>
      <c r="N148" s="24"/>
      <c r="O148" s="2" t="s">
        <v>1</v>
      </c>
      <c r="P148" s="25" t="s">
        <v>2</v>
      </c>
      <c r="Q148" s="26"/>
      <c r="R148" s="23" t="s">
        <v>3</v>
      </c>
      <c r="S148" s="24"/>
    </row>
    <row r="149" spans="1:19" s="6" customFormat="1" ht="14.1" customHeight="1" x14ac:dyDescent="0.2">
      <c r="A149" s="21" t="s">
        <v>4</v>
      </c>
      <c r="B149" s="4" t="s">
        <v>5</v>
      </c>
      <c r="C149" s="17" t="s">
        <v>30</v>
      </c>
      <c r="D149" s="3" t="s">
        <v>7</v>
      </c>
      <c r="E149" s="3" t="s">
        <v>8</v>
      </c>
      <c r="F149" s="5" t="s">
        <v>9</v>
      </c>
      <c r="G149" s="5" t="s">
        <v>10</v>
      </c>
      <c r="H149" s="4" t="s">
        <v>11</v>
      </c>
      <c r="I149" s="3" t="s">
        <v>12</v>
      </c>
      <c r="J149" s="3" t="s">
        <v>13</v>
      </c>
      <c r="K149" s="3" t="s">
        <v>14</v>
      </c>
      <c r="L149" s="3" t="s">
        <v>15</v>
      </c>
      <c r="M149" s="3" t="s">
        <v>16</v>
      </c>
      <c r="N149" s="3" t="s">
        <v>17</v>
      </c>
      <c r="O149" s="3" t="s">
        <v>1</v>
      </c>
      <c r="P149" s="3" t="s">
        <v>18</v>
      </c>
      <c r="Q149" s="3" t="s">
        <v>19</v>
      </c>
      <c r="R149" s="3" t="s">
        <v>20</v>
      </c>
      <c r="S149" s="3" t="s">
        <v>21</v>
      </c>
    </row>
    <row r="150" spans="1:19" x14ac:dyDescent="0.25">
      <c r="B150" s="1" t="s">
        <v>98</v>
      </c>
      <c r="C150" s="1" t="s">
        <v>99</v>
      </c>
      <c r="D150" s="1" t="s">
        <v>100</v>
      </c>
      <c r="F150" s="7">
        <f t="shared" ref="F150:F158" si="99">$J150/J$160</f>
        <v>1</v>
      </c>
      <c r="G150" s="7">
        <f t="shared" ref="G150:G158" si="100">$J150/J$57</f>
        <v>7.5979569174068845E-4</v>
      </c>
      <c r="H150" s="8">
        <f t="shared" ref="H150:H159" si="101">$J150-$I150</f>
        <v>0</v>
      </c>
      <c r="I150" s="8">
        <f t="shared" ref="I150:J159" si="102">$M150+$N150</f>
        <v>6.63</v>
      </c>
      <c r="J150" s="8">
        <f t="shared" si="102"/>
        <v>6.63</v>
      </c>
      <c r="K150" s="8"/>
      <c r="L150" s="8"/>
      <c r="M150" s="8">
        <v>6.63</v>
      </c>
      <c r="N150" s="8"/>
      <c r="O150" s="8">
        <v>6.63</v>
      </c>
      <c r="P150" s="8"/>
      <c r="Q150" s="8"/>
      <c r="R150" s="9" t="s">
        <v>54</v>
      </c>
      <c r="S150" s="9">
        <v>3.3149999999999999</v>
      </c>
    </row>
    <row r="151" spans="1:19" x14ac:dyDescent="0.25">
      <c r="F151" s="7">
        <f t="shared" si="99"/>
        <v>0</v>
      </c>
      <c r="G151" s="7">
        <f t="shared" si="100"/>
        <v>0</v>
      </c>
      <c r="H151" s="8">
        <f t="shared" si="101"/>
        <v>0</v>
      </c>
      <c r="I151" s="8">
        <f t="shared" si="102"/>
        <v>0</v>
      </c>
      <c r="J151" s="8">
        <f t="shared" si="102"/>
        <v>0</v>
      </c>
      <c r="K151" s="8">
        <f t="shared" ref="K151:K159" ca="1" si="103">IF(($K151)&gt;=$N151+$M151,"",($L151-$M151-$N151))</f>
        <v>0</v>
      </c>
      <c r="L151" s="8">
        <f t="shared" ref="L151:L159" ca="1" si="104">M151+N151-K151</f>
        <v>0</v>
      </c>
      <c r="M151" s="8"/>
      <c r="N151" s="8"/>
      <c r="O151" s="8">
        <f>$J151-($P151+$Q151)</f>
        <v>0</v>
      </c>
      <c r="P151" s="8"/>
      <c r="Q151" s="8"/>
      <c r="R151" s="9" t="str">
        <f t="shared" ref="R151:R159" si="105">IF(($M151+$P151)&gt;=$N151+$Q151,"",($O151/2)+$P151-$M151)</f>
        <v/>
      </c>
      <c r="S151" s="9">
        <f t="shared" ref="S151:S159" si="106">IF(($M151+$P151)&gt;=$N151+$Q151,($O151/2)+$Q151-$N151,"")</f>
        <v>0</v>
      </c>
    </row>
    <row r="152" spans="1:19" x14ac:dyDescent="0.25">
      <c r="F152" s="7">
        <f t="shared" si="99"/>
        <v>0</v>
      </c>
      <c r="G152" s="7">
        <f t="shared" si="100"/>
        <v>0</v>
      </c>
      <c r="H152" s="8">
        <f t="shared" si="101"/>
        <v>0</v>
      </c>
      <c r="I152" s="8">
        <f t="shared" si="102"/>
        <v>0</v>
      </c>
      <c r="J152" s="8">
        <f t="shared" si="102"/>
        <v>0</v>
      </c>
      <c r="K152" s="8">
        <f t="shared" ca="1" si="103"/>
        <v>0</v>
      </c>
      <c r="L152" s="8">
        <f t="shared" ca="1" si="104"/>
        <v>0</v>
      </c>
      <c r="M152" s="8"/>
      <c r="N152" s="8"/>
      <c r="O152" s="8">
        <f>$J152-($P152+$Q152)</f>
        <v>0</v>
      </c>
      <c r="P152" s="8"/>
      <c r="Q152" s="8"/>
      <c r="R152" s="9" t="str">
        <f t="shared" si="105"/>
        <v/>
      </c>
      <c r="S152" s="9">
        <f t="shared" si="106"/>
        <v>0</v>
      </c>
    </row>
    <row r="153" spans="1:19" x14ac:dyDescent="0.25">
      <c r="F153" s="7">
        <f t="shared" si="99"/>
        <v>0</v>
      </c>
      <c r="G153" s="7">
        <f t="shared" si="100"/>
        <v>0</v>
      </c>
      <c r="H153" s="8">
        <f t="shared" si="101"/>
        <v>0</v>
      </c>
      <c r="I153" s="8">
        <f t="shared" si="102"/>
        <v>0</v>
      </c>
      <c r="J153" s="8">
        <f t="shared" si="102"/>
        <v>0</v>
      </c>
      <c r="K153" s="8">
        <f t="shared" ca="1" si="103"/>
        <v>0</v>
      </c>
      <c r="L153" s="8">
        <f t="shared" ca="1" si="104"/>
        <v>0</v>
      </c>
      <c r="M153" s="8"/>
      <c r="N153" s="8"/>
      <c r="O153" s="8">
        <f>$J153-($P153+$Q153)</f>
        <v>0</v>
      </c>
      <c r="P153" s="8"/>
      <c r="Q153" s="8"/>
      <c r="R153" s="9" t="str">
        <f t="shared" si="105"/>
        <v/>
      </c>
      <c r="S153" s="9">
        <f t="shared" si="106"/>
        <v>0</v>
      </c>
    </row>
    <row r="154" spans="1:19" x14ac:dyDescent="0.25">
      <c r="F154" s="7">
        <f t="shared" si="99"/>
        <v>0</v>
      </c>
      <c r="G154" s="7">
        <f t="shared" si="100"/>
        <v>0</v>
      </c>
      <c r="H154" s="8">
        <f t="shared" si="101"/>
        <v>0</v>
      </c>
      <c r="I154" s="8">
        <f t="shared" si="102"/>
        <v>0</v>
      </c>
      <c r="J154" s="8">
        <f t="shared" si="102"/>
        <v>0</v>
      </c>
      <c r="K154" s="8">
        <f t="shared" ca="1" si="103"/>
        <v>0</v>
      </c>
      <c r="L154" s="8">
        <f t="shared" ca="1" si="104"/>
        <v>0</v>
      </c>
      <c r="M154" s="8"/>
      <c r="N154" s="8"/>
      <c r="O154" s="8">
        <f t="shared" ref="O154:O158" si="107">$J154-($P154+$Q154)</f>
        <v>0</v>
      </c>
      <c r="P154" s="8"/>
      <c r="Q154" s="8"/>
      <c r="R154" s="9" t="str">
        <f t="shared" si="105"/>
        <v/>
      </c>
      <c r="S154" s="9">
        <f t="shared" si="106"/>
        <v>0</v>
      </c>
    </row>
    <row r="155" spans="1:19" x14ac:dyDescent="0.25">
      <c r="F155" s="7">
        <f t="shared" si="99"/>
        <v>0</v>
      </c>
      <c r="G155" s="7">
        <f t="shared" si="100"/>
        <v>0</v>
      </c>
      <c r="H155" s="8">
        <f t="shared" si="101"/>
        <v>0</v>
      </c>
      <c r="I155" s="8">
        <f t="shared" si="102"/>
        <v>0</v>
      </c>
      <c r="J155" s="8">
        <f t="shared" si="102"/>
        <v>0</v>
      </c>
      <c r="K155" s="8">
        <f t="shared" ca="1" si="103"/>
        <v>0</v>
      </c>
      <c r="L155" s="8">
        <f t="shared" ca="1" si="104"/>
        <v>0</v>
      </c>
      <c r="M155" s="8"/>
      <c r="N155" s="8"/>
      <c r="O155" s="8">
        <f>$J155-($P155+$Q155)</f>
        <v>0</v>
      </c>
      <c r="P155" s="8"/>
      <c r="Q155" s="8"/>
      <c r="R155" s="9" t="str">
        <f t="shared" si="105"/>
        <v/>
      </c>
      <c r="S155" s="9">
        <f t="shared" si="106"/>
        <v>0</v>
      </c>
    </row>
    <row r="156" spans="1:19" x14ac:dyDescent="0.25">
      <c r="F156" s="7">
        <f t="shared" si="99"/>
        <v>0</v>
      </c>
      <c r="G156" s="7">
        <f t="shared" si="100"/>
        <v>0</v>
      </c>
      <c r="H156" s="8">
        <f t="shared" si="101"/>
        <v>0</v>
      </c>
      <c r="I156" s="8">
        <f t="shared" si="102"/>
        <v>0</v>
      </c>
      <c r="J156" s="8">
        <f t="shared" si="102"/>
        <v>0</v>
      </c>
      <c r="K156" s="8">
        <f t="shared" ca="1" si="103"/>
        <v>0</v>
      </c>
      <c r="L156" s="8">
        <f t="shared" ca="1" si="104"/>
        <v>0</v>
      </c>
      <c r="M156" s="8"/>
      <c r="N156" s="8"/>
      <c r="O156" s="8">
        <f t="shared" si="107"/>
        <v>0</v>
      </c>
      <c r="P156" s="8"/>
      <c r="Q156" s="8"/>
      <c r="R156" s="9" t="str">
        <f t="shared" si="105"/>
        <v/>
      </c>
      <c r="S156" s="9">
        <f t="shared" si="106"/>
        <v>0</v>
      </c>
    </row>
    <row r="157" spans="1:19" x14ac:dyDescent="0.25">
      <c r="F157" s="7">
        <f t="shared" si="99"/>
        <v>0</v>
      </c>
      <c r="G157" s="7">
        <f t="shared" si="100"/>
        <v>0</v>
      </c>
      <c r="H157" s="8">
        <f t="shared" si="101"/>
        <v>0</v>
      </c>
      <c r="I157" s="8">
        <f t="shared" si="102"/>
        <v>0</v>
      </c>
      <c r="J157" s="8">
        <f t="shared" si="102"/>
        <v>0</v>
      </c>
      <c r="K157" s="8">
        <f t="shared" ca="1" si="103"/>
        <v>0</v>
      </c>
      <c r="L157" s="8">
        <f t="shared" ca="1" si="104"/>
        <v>0</v>
      </c>
      <c r="M157" s="8"/>
      <c r="N157" s="8"/>
      <c r="O157" s="8">
        <f>$J157-($P157+$Q157)</f>
        <v>0</v>
      </c>
      <c r="P157" s="8"/>
      <c r="Q157" s="8"/>
      <c r="R157" s="9" t="str">
        <f t="shared" si="105"/>
        <v/>
      </c>
      <c r="S157" s="9">
        <f t="shared" si="106"/>
        <v>0</v>
      </c>
    </row>
    <row r="158" spans="1:19" x14ac:dyDescent="0.25">
      <c r="F158" s="7">
        <f t="shared" si="99"/>
        <v>0</v>
      </c>
      <c r="G158" s="7">
        <f t="shared" si="100"/>
        <v>0</v>
      </c>
      <c r="H158" s="8">
        <f t="shared" si="101"/>
        <v>0</v>
      </c>
      <c r="I158" s="8">
        <f t="shared" si="102"/>
        <v>0</v>
      </c>
      <c r="J158" s="8">
        <f t="shared" si="102"/>
        <v>0</v>
      </c>
      <c r="K158" s="8">
        <f t="shared" ca="1" si="103"/>
        <v>0</v>
      </c>
      <c r="L158" s="8">
        <f t="shared" ca="1" si="104"/>
        <v>0</v>
      </c>
      <c r="M158" s="8"/>
      <c r="N158" s="8"/>
      <c r="O158" s="8">
        <f t="shared" si="107"/>
        <v>0</v>
      </c>
      <c r="P158" s="8"/>
      <c r="Q158" s="8"/>
      <c r="R158" s="9" t="str">
        <f t="shared" si="105"/>
        <v/>
      </c>
      <c r="S158" s="9">
        <f t="shared" si="106"/>
        <v>0</v>
      </c>
    </row>
    <row r="159" spans="1:19" x14ac:dyDescent="0.25">
      <c r="F159" s="7">
        <f t="shared" ref="F159" si="108">$J159/J$160</f>
        <v>0</v>
      </c>
      <c r="G159" s="7">
        <f t="shared" ref="G159" si="109">$J159/J$57</f>
        <v>0</v>
      </c>
      <c r="H159" s="8">
        <f t="shared" si="101"/>
        <v>0</v>
      </c>
      <c r="I159" s="8">
        <f t="shared" si="102"/>
        <v>0</v>
      </c>
      <c r="J159" s="8">
        <f t="shared" si="102"/>
        <v>0</v>
      </c>
      <c r="K159" s="8">
        <f t="shared" ca="1" si="103"/>
        <v>0</v>
      </c>
      <c r="L159" s="8">
        <f t="shared" ca="1" si="104"/>
        <v>0</v>
      </c>
      <c r="M159" s="8"/>
      <c r="N159" s="8"/>
      <c r="O159" s="8">
        <f>$J159-($P159+$Q159)</f>
        <v>0</v>
      </c>
      <c r="P159" s="8"/>
      <c r="Q159" s="8"/>
      <c r="R159" s="9" t="str">
        <f t="shared" si="105"/>
        <v/>
      </c>
      <c r="S159" s="9">
        <f t="shared" si="106"/>
        <v>0</v>
      </c>
    </row>
    <row r="160" spans="1:19" x14ac:dyDescent="0.25">
      <c r="B160" s="1">
        <f>SUMPRODUCT((B150:B159&lt;&gt;"")/COUNTIF(B150:B159,B150:B159&amp;""))</f>
        <v>1</v>
      </c>
      <c r="C160" s="1">
        <f>COUNTA(Tableau15911[Banques])</f>
        <v>1</v>
      </c>
      <c r="D160" s="1">
        <f>COUNTA(Tableau15911[Nature des Dépenses])</f>
        <v>1</v>
      </c>
      <c r="F160" s="7">
        <f t="shared" ref="F160:S160" si="110">SUM(F150:F159)</f>
        <v>1</v>
      </c>
      <c r="G160" s="7">
        <f t="shared" si="110"/>
        <v>7.5979569174068845E-4</v>
      </c>
      <c r="H160" s="8">
        <f t="shared" si="110"/>
        <v>0</v>
      </c>
      <c r="I160" s="8">
        <f t="shared" si="110"/>
        <v>6.63</v>
      </c>
      <c r="J160" s="8">
        <f t="shared" si="110"/>
        <v>6.63</v>
      </c>
      <c r="K160" s="8">
        <f t="shared" ca="1" si="110"/>
        <v>0</v>
      </c>
      <c r="L160" s="8">
        <f t="shared" ca="1" si="110"/>
        <v>0</v>
      </c>
      <c r="M160" s="8">
        <f t="shared" si="110"/>
        <v>6.63</v>
      </c>
      <c r="N160" s="8">
        <f t="shared" si="110"/>
        <v>0</v>
      </c>
      <c r="O160" s="8">
        <f t="shared" si="110"/>
        <v>6.63</v>
      </c>
      <c r="P160" s="8">
        <f t="shared" si="110"/>
        <v>0</v>
      </c>
      <c r="Q160" s="8">
        <f t="shared" si="110"/>
        <v>0</v>
      </c>
      <c r="R160" s="8">
        <f t="shared" si="110"/>
        <v>0</v>
      </c>
      <c r="S160" s="8">
        <f t="shared" si="110"/>
        <v>3.3149999999999999</v>
      </c>
    </row>
    <row r="161" spans="1:19" x14ac:dyDescent="0.25">
      <c r="F161" s="7"/>
      <c r="G161" s="7"/>
    </row>
    <row r="162" spans="1:19" x14ac:dyDescent="0.25">
      <c r="F162" s="7"/>
      <c r="G162" s="7"/>
    </row>
    <row r="163" spans="1:19" ht="15.75" thickBot="1" x14ac:dyDescent="0.3">
      <c r="F163" s="7"/>
      <c r="G163" s="7"/>
    </row>
    <row r="164" spans="1:19" ht="15.75" thickBot="1" x14ac:dyDescent="0.3">
      <c r="F164" s="7"/>
      <c r="G164" s="7"/>
      <c r="M164" s="23" t="s">
        <v>0</v>
      </c>
      <c r="N164" s="24"/>
      <c r="O164" s="2" t="s">
        <v>1</v>
      </c>
      <c r="P164" s="25" t="s">
        <v>2</v>
      </c>
      <c r="Q164" s="26"/>
      <c r="R164" s="23" t="s">
        <v>3</v>
      </c>
      <c r="S164" s="24"/>
    </row>
    <row r="165" spans="1:19" s="6" customFormat="1" ht="14.1" customHeight="1" x14ac:dyDescent="0.2">
      <c r="A165" s="21" t="s">
        <v>4</v>
      </c>
      <c r="B165" s="4" t="s">
        <v>5</v>
      </c>
      <c r="C165" s="17" t="s">
        <v>31</v>
      </c>
      <c r="D165" s="3" t="s">
        <v>7</v>
      </c>
      <c r="E165" s="3" t="s">
        <v>8</v>
      </c>
      <c r="F165" s="5" t="s">
        <v>9</v>
      </c>
      <c r="G165" s="5" t="s">
        <v>10</v>
      </c>
      <c r="H165" s="4" t="s">
        <v>11</v>
      </c>
      <c r="I165" s="3" t="s">
        <v>12</v>
      </c>
      <c r="J165" s="3" t="s">
        <v>13</v>
      </c>
      <c r="K165" s="3" t="s">
        <v>14</v>
      </c>
      <c r="L165" s="3" t="s">
        <v>15</v>
      </c>
      <c r="M165" s="3" t="s">
        <v>16</v>
      </c>
      <c r="N165" s="3" t="s">
        <v>17</v>
      </c>
      <c r="O165" s="3" t="s">
        <v>1</v>
      </c>
      <c r="P165" s="3" t="s">
        <v>18</v>
      </c>
      <c r="Q165" s="3" t="s">
        <v>19</v>
      </c>
      <c r="R165" s="3" t="s">
        <v>20</v>
      </c>
      <c r="S165" s="3" t="s">
        <v>21</v>
      </c>
    </row>
    <row r="166" spans="1:19" x14ac:dyDescent="0.25">
      <c r="C166" s="22" t="s">
        <v>101</v>
      </c>
      <c r="F166" s="7" t="e">
        <f>$J166/J$176</f>
        <v>#DIV/0!</v>
      </c>
      <c r="G166" s="7">
        <f t="shared" ref="G166:G175" si="111">$J166/J$57</f>
        <v>0</v>
      </c>
      <c r="H166" s="8">
        <f t="shared" ref="H166:H175" si="112">$J166-$I166</f>
        <v>0</v>
      </c>
      <c r="I166" s="8">
        <f t="shared" ref="I166:J175" si="113">$M166+$N166</f>
        <v>0</v>
      </c>
      <c r="J166" s="8">
        <f t="shared" si="113"/>
        <v>0</v>
      </c>
      <c r="K166" s="8">
        <f t="shared" ref="K166:K175" ca="1" si="114">IF(($K166)&gt;=$N166+$M166,"",($L166-$M166-$N166))</f>
        <v>0</v>
      </c>
      <c r="L166" s="8">
        <f ca="1">M166+N166-K166</f>
        <v>0</v>
      </c>
      <c r="M166" s="8"/>
      <c r="N166" s="8"/>
      <c r="O166" s="8">
        <f>$J166-($P166+$Q166)</f>
        <v>0</v>
      </c>
      <c r="P166" s="8"/>
      <c r="Q166" s="8"/>
      <c r="R166" s="9" t="str">
        <f>IF(($M166+$P166)&gt;=$N166+$Q166,"",($O166/2)+$P166-$M166)</f>
        <v/>
      </c>
      <c r="S166" s="9">
        <f>IF(($M166+$P166)&gt;=$N166+$Q166,($O166/2)+$Q166-$N166,"")</f>
        <v>0</v>
      </c>
    </row>
    <row r="167" spans="1:19" x14ac:dyDescent="0.25">
      <c r="C167" s="22" t="s">
        <v>102</v>
      </c>
      <c r="F167" s="7" t="e">
        <f t="shared" ref="F167:F175" si="115">$J167/J$176</f>
        <v>#DIV/0!</v>
      </c>
      <c r="G167" s="7">
        <f t="shared" si="111"/>
        <v>0</v>
      </c>
      <c r="H167" s="8">
        <f t="shared" si="112"/>
        <v>0</v>
      </c>
      <c r="I167" s="8">
        <f t="shared" si="113"/>
        <v>0</v>
      </c>
      <c r="J167" s="8">
        <f t="shared" si="113"/>
        <v>0</v>
      </c>
      <c r="K167" s="8">
        <f t="shared" ca="1" si="114"/>
        <v>0</v>
      </c>
      <c r="L167" s="8">
        <f t="shared" ref="L167:L175" ca="1" si="116">M167+N167-K167</f>
        <v>0</v>
      </c>
      <c r="M167" s="8"/>
      <c r="N167" s="8"/>
      <c r="O167" s="8">
        <f>$J167-($P167+$Q167)</f>
        <v>0</v>
      </c>
      <c r="P167" s="8"/>
      <c r="Q167" s="8"/>
      <c r="R167" s="9" t="str">
        <f t="shared" ref="R167:R175" si="117">IF(($M167+$P167)&gt;=$N167+$Q167,"",($O167/2)+$P167-$M167)</f>
        <v/>
      </c>
      <c r="S167" s="9">
        <f t="shared" ref="S167:S175" si="118">IF(($M167+$P167)&gt;=$N167+$Q167,($O167/2)+$Q167-$N167,"")</f>
        <v>0</v>
      </c>
    </row>
    <row r="168" spans="1:19" x14ac:dyDescent="0.25">
      <c r="F168" s="7" t="e">
        <f t="shared" si="115"/>
        <v>#DIV/0!</v>
      </c>
      <c r="G168" s="7">
        <f t="shared" si="111"/>
        <v>0</v>
      </c>
      <c r="H168" s="8">
        <f t="shared" si="112"/>
        <v>0</v>
      </c>
      <c r="I168" s="8">
        <f t="shared" si="113"/>
        <v>0</v>
      </c>
      <c r="J168" s="8">
        <f t="shared" si="113"/>
        <v>0</v>
      </c>
      <c r="K168" s="8">
        <f t="shared" ca="1" si="114"/>
        <v>0</v>
      </c>
      <c r="L168" s="8">
        <f t="shared" ca="1" si="116"/>
        <v>0</v>
      </c>
      <c r="M168" s="8"/>
      <c r="N168" s="8"/>
      <c r="O168" s="8">
        <f>$J168-($P168+$Q168)</f>
        <v>0</v>
      </c>
      <c r="P168" s="8"/>
      <c r="Q168" s="8"/>
      <c r="R168" s="9" t="str">
        <f t="shared" si="117"/>
        <v/>
      </c>
      <c r="S168" s="9">
        <f t="shared" si="118"/>
        <v>0</v>
      </c>
    </row>
    <row r="169" spans="1:19" x14ac:dyDescent="0.25">
      <c r="F169" s="7" t="e">
        <f t="shared" si="115"/>
        <v>#DIV/0!</v>
      </c>
      <c r="G169" s="7">
        <f t="shared" si="111"/>
        <v>0</v>
      </c>
      <c r="H169" s="8">
        <f t="shared" si="112"/>
        <v>0</v>
      </c>
      <c r="I169" s="8">
        <f t="shared" si="113"/>
        <v>0</v>
      </c>
      <c r="J169" s="8">
        <f t="shared" si="113"/>
        <v>0</v>
      </c>
      <c r="K169" s="8">
        <f t="shared" ca="1" si="114"/>
        <v>0</v>
      </c>
      <c r="L169" s="8">
        <f t="shared" ca="1" si="116"/>
        <v>0</v>
      </c>
      <c r="M169" s="8"/>
      <c r="N169" s="8"/>
      <c r="O169" s="8">
        <f>$J169-($P169+$Q169)</f>
        <v>0</v>
      </c>
      <c r="P169" s="8"/>
      <c r="Q169" s="8"/>
      <c r="R169" s="9" t="str">
        <f t="shared" si="117"/>
        <v/>
      </c>
      <c r="S169" s="9">
        <f t="shared" si="118"/>
        <v>0</v>
      </c>
    </row>
    <row r="170" spans="1:19" x14ac:dyDescent="0.25">
      <c r="F170" s="7" t="e">
        <f t="shared" si="115"/>
        <v>#DIV/0!</v>
      </c>
      <c r="G170" s="7">
        <f t="shared" si="111"/>
        <v>0</v>
      </c>
      <c r="H170" s="8">
        <f t="shared" si="112"/>
        <v>0</v>
      </c>
      <c r="I170" s="8">
        <f t="shared" si="113"/>
        <v>0</v>
      </c>
      <c r="J170" s="8">
        <f t="shared" si="113"/>
        <v>0</v>
      </c>
      <c r="K170" s="8">
        <f t="shared" ca="1" si="114"/>
        <v>0</v>
      </c>
      <c r="L170" s="8">
        <f t="shared" ca="1" si="116"/>
        <v>0</v>
      </c>
      <c r="M170" s="8"/>
      <c r="N170" s="8"/>
      <c r="O170" s="8">
        <f t="shared" ref="O170:O174" si="119">$J170-($P170+$Q170)</f>
        <v>0</v>
      </c>
      <c r="P170" s="8"/>
      <c r="Q170" s="8"/>
      <c r="R170" s="9" t="str">
        <f t="shared" si="117"/>
        <v/>
      </c>
      <c r="S170" s="9">
        <f t="shared" si="118"/>
        <v>0</v>
      </c>
    </row>
    <row r="171" spans="1:19" x14ac:dyDescent="0.25">
      <c r="F171" s="7" t="e">
        <f t="shared" si="115"/>
        <v>#DIV/0!</v>
      </c>
      <c r="G171" s="7">
        <f t="shared" si="111"/>
        <v>0</v>
      </c>
      <c r="H171" s="8">
        <f t="shared" si="112"/>
        <v>0</v>
      </c>
      <c r="I171" s="8">
        <f t="shared" si="113"/>
        <v>0</v>
      </c>
      <c r="J171" s="8">
        <f t="shared" si="113"/>
        <v>0</v>
      </c>
      <c r="K171" s="8">
        <f t="shared" ca="1" si="114"/>
        <v>0</v>
      </c>
      <c r="L171" s="8">
        <f t="shared" ca="1" si="116"/>
        <v>0</v>
      </c>
      <c r="M171" s="8"/>
      <c r="N171" s="8"/>
      <c r="O171" s="8">
        <f>$J171-($P171+$Q171)</f>
        <v>0</v>
      </c>
      <c r="P171" s="8"/>
      <c r="Q171" s="8"/>
      <c r="R171" s="9" t="str">
        <f t="shared" si="117"/>
        <v/>
      </c>
      <c r="S171" s="9">
        <f t="shared" si="118"/>
        <v>0</v>
      </c>
    </row>
    <row r="172" spans="1:19" x14ac:dyDescent="0.25">
      <c r="F172" s="7" t="e">
        <f t="shared" si="115"/>
        <v>#DIV/0!</v>
      </c>
      <c r="G172" s="7">
        <f t="shared" si="111"/>
        <v>0</v>
      </c>
      <c r="H172" s="8">
        <f t="shared" si="112"/>
        <v>0</v>
      </c>
      <c r="I172" s="8">
        <f t="shared" si="113"/>
        <v>0</v>
      </c>
      <c r="J172" s="8">
        <f t="shared" si="113"/>
        <v>0</v>
      </c>
      <c r="K172" s="8">
        <f t="shared" ca="1" si="114"/>
        <v>0</v>
      </c>
      <c r="L172" s="8">
        <f t="shared" ca="1" si="116"/>
        <v>0</v>
      </c>
      <c r="M172" s="8"/>
      <c r="N172" s="8"/>
      <c r="O172" s="8">
        <f t="shared" si="119"/>
        <v>0</v>
      </c>
      <c r="P172" s="8"/>
      <c r="Q172" s="8"/>
      <c r="R172" s="9" t="str">
        <f t="shared" si="117"/>
        <v/>
      </c>
      <c r="S172" s="9">
        <f t="shared" si="118"/>
        <v>0</v>
      </c>
    </row>
    <row r="173" spans="1:19" x14ac:dyDescent="0.25">
      <c r="F173" s="7" t="e">
        <f t="shared" si="115"/>
        <v>#DIV/0!</v>
      </c>
      <c r="G173" s="7">
        <f t="shared" si="111"/>
        <v>0</v>
      </c>
      <c r="H173" s="8">
        <f t="shared" si="112"/>
        <v>0</v>
      </c>
      <c r="I173" s="8">
        <f t="shared" si="113"/>
        <v>0</v>
      </c>
      <c r="J173" s="8">
        <f t="shared" si="113"/>
        <v>0</v>
      </c>
      <c r="K173" s="8">
        <f t="shared" ca="1" si="114"/>
        <v>0</v>
      </c>
      <c r="L173" s="8">
        <f t="shared" ca="1" si="116"/>
        <v>0</v>
      </c>
      <c r="M173" s="8"/>
      <c r="N173" s="8"/>
      <c r="O173" s="8">
        <f>$J173-($P173+$Q173)</f>
        <v>0</v>
      </c>
      <c r="P173" s="8"/>
      <c r="Q173" s="8"/>
      <c r="R173" s="9" t="str">
        <f t="shared" si="117"/>
        <v/>
      </c>
      <c r="S173" s="9">
        <f t="shared" si="118"/>
        <v>0</v>
      </c>
    </row>
    <row r="174" spans="1:19" x14ac:dyDescent="0.25">
      <c r="F174" s="7" t="e">
        <f t="shared" si="115"/>
        <v>#DIV/0!</v>
      </c>
      <c r="G174" s="7">
        <f t="shared" si="111"/>
        <v>0</v>
      </c>
      <c r="H174" s="8">
        <f t="shared" si="112"/>
        <v>0</v>
      </c>
      <c r="I174" s="8">
        <f t="shared" si="113"/>
        <v>0</v>
      </c>
      <c r="J174" s="8">
        <f t="shared" si="113"/>
        <v>0</v>
      </c>
      <c r="K174" s="8">
        <f t="shared" ca="1" si="114"/>
        <v>0</v>
      </c>
      <c r="L174" s="8">
        <f t="shared" ca="1" si="116"/>
        <v>0</v>
      </c>
      <c r="M174" s="8"/>
      <c r="N174" s="8"/>
      <c r="O174" s="8">
        <f t="shared" si="119"/>
        <v>0</v>
      </c>
      <c r="P174" s="8"/>
      <c r="Q174" s="8"/>
      <c r="R174" s="9" t="str">
        <f t="shared" si="117"/>
        <v/>
      </c>
      <c r="S174" s="9">
        <f t="shared" si="118"/>
        <v>0</v>
      </c>
    </row>
    <row r="175" spans="1:19" x14ac:dyDescent="0.25">
      <c r="F175" s="7" t="e">
        <f t="shared" si="115"/>
        <v>#DIV/0!</v>
      </c>
      <c r="G175" s="7">
        <f t="shared" si="111"/>
        <v>0</v>
      </c>
      <c r="H175" s="8">
        <f t="shared" si="112"/>
        <v>0</v>
      </c>
      <c r="I175" s="8">
        <f t="shared" si="113"/>
        <v>0</v>
      </c>
      <c r="J175" s="8">
        <f t="shared" si="113"/>
        <v>0</v>
      </c>
      <c r="K175" s="8">
        <f t="shared" ca="1" si="114"/>
        <v>0</v>
      </c>
      <c r="L175" s="8">
        <f t="shared" ca="1" si="116"/>
        <v>0</v>
      </c>
      <c r="M175" s="8"/>
      <c r="N175" s="8"/>
      <c r="O175" s="8">
        <f>$J175-($P175+$Q175)</f>
        <v>0</v>
      </c>
      <c r="P175" s="8"/>
      <c r="Q175" s="8"/>
      <c r="R175" s="9" t="str">
        <f t="shared" si="117"/>
        <v/>
      </c>
      <c r="S175" s="9">
        <f t="shared" si="118"/>
        <v>0</v>
      </c>
    </row>
    <row r="176" spans="1:19" x14ac:dyDescent="0.25">
      <c r="B176" s="1">
        <f>SUMPRODUCT((B166:B175&lt;&gt;"")/COUNTIF(B166:B175,B166:B175&amp;""))</f>
        <v>0</v>
      </c>
      <c r="C176" s="1">
        <f>COUNTA(Tableau15913[Impôts])</f>
        <v>2</v>
      </c>
      <c r="D176" s="1">
        <f>COUNTA(Tableau15913[Nature des Dépenses])</f>
        <v>0</v>
      </c>
      <c r="F176" s="7" t="e">
        <f t="shared" ref="F176:S176" si="120">SUM(F166:F175)</f>
        <v>#DIV/0!</v>
      </c>
      <c r="G176" s="7">
        <f t="shared" si="120"/>
        <v>0</v>
      </c>
      <c r="H176" s="8">
        <f t="shared" si="120"/>
        <v>0</v>
      </c>
      <c r="I176" s="8">
        <f t="shared" si="120"/>
        <v>0</v>
      </c>
      <c r="J176" s="8">
        <f t="shared" si="120"/>
        <v>0</v>
      </c>
      <c r="K176" s="8">
        <f t="shared" ca="1" si="120"/>
        <v>0</v>
      </c>
      <c r="L176" s="8">
        <f t="shared" ca="1" si="120"/>
        <v>0</v>
      </c>
      <c r="M176" s="8">
        <f t="shared" si="120"/>
        <v>0</v>
      </c>
      <c r="N176" s="8">
        <f t="shared" si="120"/>
        <v>0</v>
      </c>
      <c r="O176" s="8">
        <f t="shared" si="120"/>
        <v>0</v>
      </c>
      <c r="P176" s="8">
        <f t="shared" si="120"/>
        <v>0</v>
      </c>
      <c r="Q176" s="8">
        <f t="shared" si="120"/>
        <v>0</v>
      </c>
      <c r="R176" s="8">
        <f t="shared" si="120"/>
        <v>0</v>
      </c>
      <c r="S176" s="8">
        <f t="shared" si="120"/>
        <v>0</v>
      </c>
    </row>
    <row r="177" spans="1:19" x14ac:dyDescent="0.25">
      <c r="F177" s="7"/>
      <c r="G177" s="7"/>
    </row>
    <row r="178" spans="1:19" x14ac:dyDescent="0.25">
      <c r="F178" s="7"/>
      <c r="G178" s="7"/>
    </row>
    <row r="179" spans="1:19" ht="15.75" thickBot="1" x14ac:dyDescent="0.3">
      <c r="F179" s="7"/>
      <c r="G179" s="7"/>
    </row>
    <row r="180" spans="1:19" ht="15.75" thickBot="1" x14ac:dyDescent="0.3">
      <c r="F180" s="7"/>
      <c r="G180" s="7"/>
      <c r="M180" s="23" t="s">
        <v>0</v>
      </c>
      <c r="N180" s="24"/>
      <c r="O180" s="2" t="s">
        <v>1</v>
      </c>
      <c r="P180" s="25" t="s">
        <v>2</v>
      </c>
      <c r="Q180" s="26"/>
      <c r="R180" s="23" t="s">
        <v>3</v>
      </c>
      <c r="S180" s="24"/>
    </row>
    <row r="181" spans="1:19" s="6" customFormat="1" ht="14.1" customHeight="1" x14ac:dyDescent="0.2">
      <c r="A181" s="21" t="s">
        <v>4</v>
      </c>
      <c r="B181" s="4" t="s">
        <v>5</v>
      </c>
      <c r="C181" s="18" t="s">
        <v>32</v>
      </c>
      <c r="D181" s="3" t="s">
        <v>7</v>
      </c>
      <c r="E181" s="3" t="s">
        <v>8</v>
      </c>
      <c r="F181" s="5" t="s">
        <v>9</v>
      </c>
      <c r="G181" s="5" t="s">
        <v>10</v>
      </c>
      <c r="H181" s="4" t="s">
        <v>11</v>
      </c>
      <c r="I181" s="3" t="s">
        <v>12</v>
      </c>
      <c r="J181" s="3" t="s">
        <v>13</v>
      </c>
      <c r="K181" s="3" t="s">
        <v>14</v>
      </c>
      <c r="L181" s="3" t="s">
        <v>15</v>
      </c>
      <c r="M181" s="3" t="s">
        <v>16</v>
      </c>
      <c r="N181" s="3" t="s">
        <v>17</v>
      </c>
      <c r="O181" s="3" t="s">
        <v>1</v>
      </c>
      <c r="P181" s="3" t="s">
        <v>18</v>
      </c>
      <c r="Q181" s="3" t="s">
        <v>19</v>
      </c>
      <c r="R181" s="3" t="s">
        <v>20</v>
      </c>
      <c r="S181" s="3" t="s">
        <v>21</v>
      </c>
    </row>
    <row r="182" spans="1:19" x14ac:dyDescent="0.25">
      <c r="A182" s="20">
        <v>40979</v>
      </c>
      <c r="B182" s="1" t="s">
        <v>89</v>
      </c>
      <c r="C182" s="1" t="s">
        <v>86</v>
      </c>
      <c r="D182" s="1" t="s">
        <v>87</v>
      </c>
      <c r="E182" s="1" t="s">
        <v>71</v>
      </c>
      <c r="F182" s="7">
        <f t="shared" ref="F182:F190" si="121">$J182/J$192</f>
        <v>1</v>
      </c>
      <c r="G182" s="7">
        <f t="shared" ref="G182:G190" si="122">$J182/J$57</f>
        <v>4.7982874228028093E-3</v>
      </c>
      <c r="H182" s="8">
        <f t="shared" ref="H182:H190" si="123">$J182-$I182</f>
        <v>0</v>
      </c>
      <c r="I182" s="8">
        <f t="shared" ref="I182:J190" si="124">$M182+$N182</f>
        <v>41.87</v>
      </c>
      <c r="J182" s="8">
        <f t="shared" si="124"/>
        <v>41.87</v>
      </c>
      <c r="K182" s="8">
        <v>8.2100000000000009</v>
      </c>
      <c r="L182" s="8">
        <v>33.659999999999997</v>
      </c>
      <c r="M182" s="8">
        <v>41.87</v>
      </c>
      <c r="N182" s="8"/>
      <c r="O182" s="8">
        <f t="shared" ref="O182:O190" si="125">$J182-($P182+$Q182)</f>
        <v>0</v>
      </c>
      <c r="P182" s="8">
        <v>41.87</v>
      </c>
      <c r="Q182" s="8">
        <v>0</v>
      </c>
      <c r="R182" s="9" t="str">
        <f t="shared" ref="R182:R190" si="126">IF(($M182+$P182)&gt;=$N182+$Q182,"",($O182/2)+$P182-$M182)</f>
        <v/>
      </c>
      <c r="S182" s="9">
        <f t="shared" ref="S182:S190" si="127">IF(($M182+$P182)&gt;=$N182+$Q182,($O182/2)+$Q182-$N182,"")</f>
        <v>0</v>
      </c>
    </row>
    <row r="183" spans="1:19" x14ac:dyDescent="0.25">
      <c r="B183" s="1" t="s">
        <v>82</v>
      </c>
      <c r="C183" s="1" t="s">
        <v>83</v>
      </c>
      <c r="D183" s="1" t="s">
        <v>84</v>
      </c>
      <c r="E183" s="1" t="s">
        <v>71</v>
      </c>
      <c r="F183" s="7">
        <f t="shared" si="121"/>
        <v>0</v>
      </c>
      <c r="G183" s="7">
        <f t="shared" si="122"/>
        <v>0</v>
      </c>
      <c r="H183" s="8">
        <f t="shared" si="123"/>
        <v>0</v>
      </c>
      <c r="I183" s="8">
        <f t="shared" si="124"/>
        <v>0</v>
      </c>
      <c r="J183" s="8">
        <f t="shared" si="124"/>
        <v>0</v>
      </c>
      <c r="K183" s="8">
        <f t="shared" ref="K183:K190" ca="1" si="128">IF(($K183)&gt;=$N183+$M183,"",($L183-$M183-$N183))</f>
        <v>0</v>
      </c>
      <c r="L183" s="8">
        <f t="shared" ref="L183:L190" ca="1" si="129">M183+N183-K183</f>
        <v>0</v>
      </c>
      <c r="M183" s="8"/>
      <c r="N183" s="8"/>
      <c r="O183" s="8">
        <f t="shared" si="125"/>
        <v>0</v>
      </c>
      <c r="P183" s="8">
        <v>0</v>
      </c>
      <c r="Q183" s="8">
        <v>0</v>
      </c>
      <c r="R183" s="9" t="str">
        <f t="shared" si="126"/>
        <v/>
      </c>
      <c r="S183" s="9">
        <f t="shared" si="127"/>
        <v>0</v>
      </c>
    </row>
    <row r="184" spans="1:19" x14ac:dyDescent="0.25">
      <c r="B184" s="1" t="s">
        <v>85</v>
      </c>
      <c r="C184" s="1" t="s">
        <v>86</v>
      </c>
      <c r="D184" s="1" t="s">
        <v>87</v>
      </c>
      <c r="E184" s="1" t="s">
        <v>71</v>
      </c>
      <c r="F184" s="7">
        <f t="shared" si="121"/>
        <v>0</v>
      </c>
      <c r="G184" s="7">
        <f t="shared" si="122"/>
        <v>0</v>
      </c>
      <c r="H184" s="8">
        <f t="shared" si="123"/>
        <v>0</v>
      </c>
      <c r="I184" s="8">
        <f t="shared" si="124"/>
        <v>0</v>
      </c>
      <c r="J184" s="8">
        <f t="shared" si="124"/>
        <v>0</v>
      </c>
      <c r="K184" s="8">
        <f t="shared" ca="1" si="128"/>
        <v>0</v>
      </c>
      <c r="L184" s="8">
        <f t="shared" ca="1" si="129"/>
        <v>0</v>
      </c>
      <c r="M184" s="8"/>
      <c r="N184" s="8"/>
      <c r="O184" s="8">
        <f t="shared" si="125"/>
        <v>0</v>
      </c>
      <c r="P184" s="8">
        <v>0</v>
      </c>
      <c r="Q184" s="8">
        <v>0</v>
      </c>
      <c r="R184" s="9" t="str">
        <f t="shared" si="126"/>
        <v/>
      </c>
      <c r="S184" s="9">
        <f t="shared" si="127"/>
        <v>0</v>
      </c>
    </row>
    <row r="185" spans="1:19" x14ac:dyDescent="0.25">
      <c r="B185" s="1" t="s">
        <v>85</v>
      </c>
      <c r="C185" s="1" t="s">
        <v>86</v>
      </c>
      <c r="D185" s="1" t="s">
        <v>88</v>
      </c>
      <c r="E185" s="1" t="s">
        <v>71</v>
      </c>
      <c r="F185" s="7">
        <f t="shared" si="121"/>
        <v>0</v>
      </c>
      <c r="G185" s="7">
        <f t="shared" si="122"/>
        <v>0</v>
      </c>
      <c r="H185" s="8">
        <f t="shared" si="123"/>
        <v>0</v>
      </c>
      <c r="I185" s="8">
        <f t="shared" si="124"/>
        <v>0</v>
      </c>
      <c r="J185" s="8">
        <f t="shared" si="124"/>
        <v>0</v>
      </c>
      <c r="K185" s="8">
        <f t="shared" ca="1" si="128"/>
        <v>0</v>
      </c>
      <c r="L185" s="8">
        <f t="shared" ca="1" si="129"/>
        <v>0</v>
      </c>
      <c r="M185" s="8"/>
      <c r="N185" s="8"/>
      <c r="O185" s="8">
        <f t="shared" si="125"/>
        <v>0</v>
      </c>
      <c r="P185" s="8">
        <v>0</v>
      </c>
      <c r="Q185" s="8">
        <v>0</v>
      </c>
      <c r="R185" s="9" t="str">
        <f t="shared" si="126"/>
        <v/>
      </c>
      <c r="S185" s="9">
        <f t="shared" si="127"/>
        <v>0</v>
      </c>
    </row>
    <row r="186" spans="1:19" x14ac:dyDescent="0.25">
      <c r="B186" s="1" t="s">
        <v>85</v>
      </c>
      <c r="C186" s="1" t="s">
        <v>86</v>
      </c>
      <c r="D186" s="1" t="s">
        <v>87</v>
      </c>
      <c r="E186" s="1" t="s">
        <v>71</v>
      </c>
      <c r="F186" s="7">
        <f t="shared" si="121"/>
        <v>0</v>
      </c>
      <c r="G186" s="7">
        <f t="shared" si="122"/>
        <v>0</v>
      </c>
      <c r="H186" s="8">
        <f t="shared" si="123"/>
        <v>0</v>
      </c>
      <c r="I186" s="8">
        <f t="shared" si="124"/>
        <v>0</v>
      </c>
      <c r="J186" s="8">
        <f t="shared" si="124"/>
        <v>0</v>
      </c>
      <c r="K186" s="8">
        <f t="shared" ca="1" si="128"/>
        <v>0</v>
      </c>
      <c r="L186" s="8">
        <f t="shared" ca="1" si="129"/>
        <v>0</v>
      </c>
      <c r="M186" s="8"/>
      <c r="N186" s="8"/>
      <c r="O186" s="8">
        <f t="shared" si="125"/>
        <v>0</v>
      </c>
      <c r="P186" s="8">
        <v>0</v>
      </c>
      <c r="Q186" s="8">
        <v>0</v>
      </c>
      <c r="R186" s="9" t="str">
        <f t="shared" si="126"/>
        <v/>
      </c>
      <c r="S186" s="9">
        <f t="shared" si="127"/>
        <v>0</v>
      </c>
    </row>
    <row r="187" spans="1:19" x14ac:dyDescent="0.25">
      <c r="F187" s="7">
        <f t="shared" si="121"/>
        <v>0</v>
      </c>
      <c r="G187" s="7">
        <f t="shared" si="122"/>
        <v>0</v>
      </c>
      <c r="H187" s="8">
        <f t="shared" si="123"/>
        <v>0</v>
      </c>
      <c r="I187" s="8">
        <f t="shared" si="124"/>
        <v>0</v>
      </c>
      <c r="J187" s="8">
        <f t="shared" si="124"/>
        <v>0</v>
      </c>
      <c r="K187" s="8">
        <f t="shared" ca="1" si="128"/>
        <v>0</v>
      </c>
      <c r="L187" s="8">
        <f t="shared" ca="1" si="129"/>
        <v>0</v>
      </c>
      <c r="M187" s="8"/>
      <c r="N187" s="8"/>
      <c r="O187" s="8">
        <f t="shared" si="125"/>
        <v>0</v>
      </c>
      <c r="P187" s="8"/>
      <c r="Q187" s="8"/>
      <c r="R187" s="9" t="str">
        <f t="shared" si="126"/>
        <v/>
      </c>
      <c r="S187" s="9">
        <f t="shared" si="127"/>
        <v>0</v>
      </c>
    </row>
    <row r="188" spans="1:19" x14ac:dyDescent="0.25">
      <c r="F188" s="7">
        <f t="shared" si="121"/>
        <v>0</v>
      </c>
      <c r="G188" s="7">
        <f t="shared" si="122"/>
        <v>0</v>
      </c>
      <c r="H188" s="8">
        <f t="shared" si="123"/>
        <v>0</v>
      </c>
      <c r="I188" s="8">
        <f t="shared" si="124"/>
        <v>0</v>
      </c>
      <c r="J188" s="8">
        <f t="shared" si="124"/>
        <v>0</v>
      </c>
      <c r="K188" s="8">
        <f t="shared" ca="1" si="128"/>
        <v>0</v>
      </c>
      <c r="L188" s="8">
        <f t="shared" ca="1" si="129"/>
        <v>0</v>
      </c>
      <c r="M188" s="8"/>
      <c r="N188" s="8"/>
      <c r="O188" s="8">
        <f t="shared" si="125"/>
        <v>0</v>
      </c>
      <c r="P188" s="8"/>
      <c r="Q188" s="8"/>
      <c r="R188" s="9" t="str">
        <f t="shared" si="126"/>
        <v/>
      </c>
      <c r="S188" s="9">
        <f t="shared" si="127"/>
        <v>0</v>
      </c>
    </row>
    <row r="189" spans="1:19" x14ac:dyDescent="0.25">
      <c r="F189" s="7">
        <f t="shared" si="121"/>
        <v>0</v>
      </c>
      <c r="G189" s="7">
        <f t="shared" si="122"/>
        <v>0</v>
      </c>
      <c r="H189" s="8">
        <f t="shared" si="123"/>
        <v>0</v>
      </c>
      <c r="I189" s="8">
        <f t="shared" si="124"/>
        <v>0</v>
      </c>
      <c r="J189" s="8">
        <f t="shared" si="124"/>
        <v>0</v>
      </c>
      <c r="K189" s="8">
        <f t="shared" ca="1" si="128"/>
        <v>0</v>
      </c>
      <c r="L189" s="8">
        <f t="shared" ca="1" si="129"/>
        <v>0</v>
      </c>
      <c r="M189" s="8"/>
      <c r="N189" s="8"/>
      <c r="O189" s="8">
        <f t="shared" si="125"/>
        <v>0</v>
      </c>
      <c r="P189" s="8"/>
      <c r="Q189" s="8"/>
      <c r="R189" s="9" t="str">
        <f t="shared" si="126"/>
        <v/>
      </c>
      <c r="S189" s="9">
        <f t="shared" si="127"/>
        <v>0</v>
      </c>
    </row>
    <row r="190" spans="1:19" x14ac:dyDescent="0.25">
      <c r="F190" s="7">
        <f t="shared" si="121"/>
        <v>0</v>
      </c>
      <c r="G190" s="7">
        <f t="shared" si="122"/>
        <v>0</v>
      </c>
      <c r="H190" s="8">
        <f t="shared" si="123"/>
        <v>0</v>
      </c>
      <c r="I190" s="8">
        <f t="shared" si="124"/>
        <v>0</v>
      </c>
      <c r="J190" s="8">
        <f t="shared" si="124"/>
        <v>0</v>
      </c>
      <c r="K190" s="8">
        <f t="shared" ca="1" si="128"/>
        <v>0</v>
      </c>
      <c r="L190" s="8">
        <f t="shared" ca="1" si="129"/>
        <v>0</v>
      </c>
      <c r="M190" s="8"/>
      <c r="N190" s="8"/>
      <c r="O190" s="8">
        <f t="shared" si="125"/>
        <v>0</v>
      </c>
      <c r="P190" s="8"/>
      <c r="Q190" s="8"/>
      <c r="R190" s="9" t="str">
        <f t="shared" si="126"/>
        <v/>
      </c>
      <c r="S190" s="9">
        <f t="shared" si="127"/>
        <v>0</v>
      </c>
    </row>
    <row r="191" spans="1:19" x14ac:dyDescent="0.25">
      <c r="F191" s="7">
        <f>$J191/J$192</f>
        <v>0</v>
      </c>
      <c r="G191" s="7">
        <f>$J191/J$57</f>
        <v>0</v>
      </c>
      <c r="H191" s="8">
        <f>$J191-$I191</f>
        <v>0</v>
      </c>
      <c r="I191" s="8">
        <f>$M191+$N191</f>
        <v>0</v>
      </c>
      <c r="J191" s="8">
        <f>$M191+$N191</f>
        <v>0</v>
      </c>
      <c r="K191" s="8">
        <f ca="1">IF(($K191)&gt;=$N191+$M191,"",($L191-$M191-$N191))</f>
        <v>0</v>
      </c>
      <c r="L191" s="8">
        <f ca="1">M191+N191-K191</f>
        <v>0</v>
      </c>
      <c r="M191" s="8"/>
      <c r="N191" s="8"/>
      <c r="O191" s="8">
        <f>$J191-($P191+$Q191)</f>
        <v>0</v>
      </c>
      <c r="P191" s="8"/>
      <c r="Q191" s="8"/>
      <c r="R191" s="9" t="str">
        <f>IF(($M191+$P191)&gt;=$N191+$Q191,"",($O191/2)+$P191-$M191)</f>
        <v/>
      </c>
      <c r="S191" s="9">
        <f>IF(($M191+$P191)&gt;=$N191+$Q191,($O191/2)+$Q191-$N191,"")</f>
        <v>0</v>
      </c>
    </row>
    <row r="192" spans="1:19" x14ac:dyDescent="0.25">
      <c r="B192" s="1">
        <f>SUMPRODUCT((B182:B191&lt;&gt;"")/COUNTIF(B182:B191,B182:B191&amp;""))</f>
        <v>3.0000000000000004</v>
      </c>
      <c r="C192" s="1">
        <f>COUNTA(Tableau15915[Transport])</f>
        <v>5</v>
      </c>
      <c r="D192" s="1">
        <f>COUNTA(Tableau15915[Nature des Dépenses])</f>
        <v>5</v>
      </c>
      <c r="F192" s="7">
        <f t="shared" ref="F192:S192" si="130">SUM(F182:F191)</f>
        <v>1</v>
      </c>
      <c r="G192" s="7">
        <f t="shared" si="130"/>
        <v>4.7982874228028093E-3</v>
      </c>
      <c r="H192" s="8">
        <f t="shared" si="130"/>
        <v>0</v>
      </c>
      <c r="I192" s="8">
        <f t="shared" si="130"/>
        <v>41.87</v>
      </c>
      <c r="J192" s="8">
        <f t="shared" si="130"/>
        <v>41.87</v>
      </c>
      <c r="K192" s="8">
        <f t="shared" ca="1" si="130"/>
        <v>0</v>
      </c>
      <c r="L192" s="8">
        <f t="shared" ca="1" si="130"/>
        <v>0</v>
      </c>
      <c r="M192" s="8">
        <f t="shared" si="130"/>
        <v>41.87</v>
      </c>
      <c r="N192" s="8">
        <f t="shared" si="130"/>
        <v>0</v>
      </c>
      <c r="O192" s="8">
        <f t="shared" si="130"/>
        <v>0</v>
      </c>
      <c r="P192" s="8">
        <f t="shared" si="130"/>
        <v>41.87</v>
      </c>
      <c r="Q192" s="8">
        <f t="shared" si="130"/>
        <v>0</v>
      </c>
      <c r="R192" s="8">
        <f t="shared" si="130"/>
        <v>0</v>
      </c>
      <c r="S192" s="8">
        <f t="shared" si="130"/>
        <v>0</v>
      </c>
    </row>
    <row r="193" spans="1:19" x14ac:dyDescent="0.25">
      <c r="F193" s="7"/>
      <c r="G193" s="7"/>
    </row>
    <row r="194" spans="1:19" x14ac:dyDescent="0.25">
      <c r="F194" s="7"/>
      <c r="G194" s="7"/>
    </row>
    <row r="195" spans="1:19" ht="15.75" thickBot="1" x14ac:dyDescent="0.3">
      <c r="F195" s="7"/>
      <c r="G195" s="7"/>
    </row>
    <row r="196" spans="1:19" ht="15.75" thickBot="1" x14ac:dyDescent="0.3">
      <c r="F196" s="7"/>
      <c r="G196" s="7"/>
      <c r="M196" s="23" t="s">
        <v>0</v>
      </c>
      <c r="N196" s="24"/>
      <c r="O196" s="2" t="s">
        <v>1</v>
      </c>
      <c r="P196" s="25" t="s">
        <v>2</v>
      </c>
      <c r="Q196" s="26"/>
      <c r="R196" s="23" t="s">
        <v>3</v>
      </c>
      <c r="S196" s="24"/>
    </row>
    <row r="197" spans="1:19" s="6" customFormat="1" ht="14.1" customHeight="1" x14ac:dyDescent="0.2">
      <c r="A197" s="21" t="s">
        <v>4</v>
      </c>
      <c r="B197" s="4" t="s">
        <v>5</v>
      </c>
      <c r="C197" s="17" t="s">
        <v>33</v>
      </c>
      <c r="D197" s="3" t="s">
        <v>7</v>
      </c>
      <c r="E197" s="3" t="s">
        <v>8</v>
      </c>
      <c r="F197" s="5" t="s">
        <v>9</v>
      </c>
      <c r="G197" s="5" t="s">
        <v>10</v>
      </c>
      <c r="H197" s="4" t="s">
        <v>11</v>
      </c>
      <c r="I197" s="3" t="s">
        <v>12</v>
      </c>
      <c r="J197" s="3" t="s">
        <v>13</v>
      </c>
      <c r="K197" s="3" t="s">
        <v>14</v>
      </c>
      <c r="L197" s="3" t="s">
        <v>15</v>
      </c>
      <c r="M197" s="3" t="s">
        <v>16</v>
      </c>
      <c r="N197" s="3" t="s">
        <v>17</v>
      </c>
      <c r="O197" s="3" t="s">
        <v>1</v>
      </c>
      <c r="P197" s="3" t="s">
        <v>18</v>
      </c>
      <c r="Q197" s="3" t="s">
        <v>19</v>
      </c>
      <c r="R197" s="3" t="s">
        <v>20</v>
      </c>
      <c r="S197" s="3" t="s">
        <v>21</v>
      </c>
    </row>
    <row r="198" spans="1:19" x14ac:dyDescent="0.25">
      <c r="C198" s="1" t="s">
        <v>97</v>
      </c>
      <c r="D198" s="1" t="s">
        <v>33</v>
      </c>
      <c r="E198" s="1" t="s">
        <v>71</v>
      </c>
      <c r="F198" s="7" t="e">
        <f t="shared" ref="F198:F207" si="131">$J198/J$208</f>
        <v>#DIV/0!</v>
      </c>
      <c r="G198" s="7">
        <f t="shared" ref="G198:G207" si="132">$J198/J$57</f>
        <v>0</v>
      </c>
      <c r="H198" s="8">
        <f t="shared" ref="H198:H207" si="133">$J198-$I198</f>
        <v>0</v>
      </c>
      <c r="I198" s="8">
        <f t="shared" ref="I198:J207" si="134">$M198+$N198</f>
        <v>0</v>
      </c>
      <c r="J198" s="8">
        <f t="shared" si="134"/>
        <v>0</v>
      </c>
      <c r="K198" s="8">
        <f t="shared" ref="K198:K207" ca="1" si="135">IF(($K198)&gt;=$N198+$M198,"",($L198-$M198-$N198))</f>
        <v>0</v>
      </c>
      <c r="L198" s="8">
        <f ca="1">M198+N198-K198</f>
        <v>0</v>
      </c>
      <c r="M198" s="8"/>
      <c r="N198" s="8"/>
      <c r="O198" s="8">
        <f>$J198-($P198+$Q198)</f>
        <v>0</v>
      </c>
      <c r="P198" s="8"/>
      <c r="Q198" s="8"/>
      <c r="R198" s="9" t="str">
        <f>IF(($M198+$P198)&gt;=$N198+$Q198,"",($O198/2)+$P198-$M198)</f>
        <v/>
      </c>
      <c r="S198" s="9">
        <f>IF(($M198+$P198)&gt;=$N198+$Q198,($O198/2)+$Q198-$N198,"")</f>
        <v>0</v>
      </c>
    </row>
    <row r="199" spans="1:19" x14ac:dyDescent="0.25">
      <c r="F199" s="7" t="e">
        <f t="shared" si="131"/>
        <v>#DIV/0!</v>
      </c>
      <c r="G199" s="7">
        <f t="shared" si="132"/>
        <v>0</v>
      </c>
      <c r="H199" s="8">
        <f t="shared" si="133"/>
        <v>0</v>
      </c>
      <c r="I199" s="8">
        <f t="shared" si="134"/>
        <v>0</v>
      </c>
      <c r="J199" s="8">
        <f t="shared" si="134"/>
        <v>0</v>
      </c>
      <c r="K199" s="8">
        <f t="shared" ca="1" si="135"/>
        <v>0</v>
      </c>
      <c r="L199" s="8">
        <f t="shared" ref="L199:L207" ca="1" si="136">M199+N199-K199</f>
        <v>0</v>
      </c>
      <c r="M199" s="8"/>
      <c r="N199" s="8"/>
      <c r="O199" s="8">
        <f>$J199-($P199+$Q199)</f>
        <v>0</v>
      </c>
      <c r="P199" s="8"/>
      <c r="Q199" s="8"/>
      <c r="R199" s="9" t="str">
        <f t="shared" ref="R199:R207" si="137">IF(($M199+$P199)&gt;=$N199+$Q199,"",($O199/2)+$P199-$M199)</f>
        <v/>
      </c>
      <c r="S199" s="9">
        <f t="shared" ref="S199:S207" si="138">IF(($M199+$P199)&gt;=$N199+$Q199,($O199/2)+$Q199-$N199,"")</f>
        <v>0</v>
      </c>
    </row>
    <row r="200" spans="1:19" x14ac:dyDescent="0.25">
      <c r="F200" s="7" t="e">
        <f t="shared" si="131"/>
        <v>#DIV/0!</v>
      </c>
      <c r="G200" s="7">
        <f t="shared" si="132"/>
        <v>0</v>
      </c>
      <c r="H200" s="8">
        <f t="shared" si="133"/>
        <v>0</v>
      </c>
      <c r="I200" s="8">
        <f t="shared" si="134"/>
        <v>0</v>
      </c>
      <c r="J200" s="8">
        <f t="shared" si="134"/>
        <v>0</v>
      </c>
      <c r="K200" s="8">
        <f t="shared" ca="1" si="135"/>
        <v>0</v>
      </c>
      <c r="L200" s="8">
        <f t="shared" ca="1" si="136"/>
        <v>0</v>
      </c>
      <c r="M200" s="8"/>
      <c r="N200" s="8"/>
      <c r="O200" s="8">
        <f>$J200-($P200+$Q200)</f>
        <v>0</v>
      </c>
      <c r="P200" s="8"/>
      <c r="Q200" s="8"/>
      <c r="R200" s="9" t="str">
        <f t="shared" si="137"/>
        <v/>
      </c>
      <c r="S200" s="9">
        <f t="shared" si="138"/>
        <v>0</v>
      </c>
    </row>
    <row r="201" spans="1:19" x14ac:dyDescent="0.25">
      <c r="F201" s="7" t="e">
        <f t="shared" si="131"/>
        <v>#DIV/0!</v>
      </c>
      <c r="G201" s="7">
        <f t="shared" si="132"/>
        <v>0</v>
      </c>
      <c r="H201" s="8">
        <f t="shared" si="133"/>
        <v>0</v>
      </c>
      <c r="I201" s="8">
        <f t="shared" si="134"/>
        <v>0</v>
      </c>
      <c r="J201" s="8">
        <f t="shared" si="134"/>
        <v>0</v>
      </c>
      <c r="K201" s="8">
        <f t="shared" ca="1" si="135"/>
        <v>0</v>
      </c>
      <c r="L201" s="8">
        <f t="shared" ca="1" si="136"/>
        <v>0</v>
      </c>
      <c r="M201" s="8"/>
      <c r="N201" s="8"/>
      <c r="O201" s="8">
        <f>$J201-($P201+$Q201)</f>
        <v>0</v>
      </c>
      <c r="P201" s="8"/>
      <c r="Q201" s="8"/>
      <c r="R201" s="9" t="str">
        <f t="shared" si="137"/>
        <v/>
      </c>
      <c r="S201" s="9">
        <f t="shared" si="138"/>
        <v>0</v>
      </c>
    </row>
    <row r="202" spans="1:19" x14ac:dyDescent="0.25">
      <c r="F202" s="7" t="e">
        <f t="shared" si="131"/>
        <v>#DIV/0!</v>
      </c>
      <c r="G202" s="7">
        <f t="shared" si="132"/>
        <v>0</v>
      </c>
      <c r="H202" s="8">
        <f t="shared" si="133"/>
        <v>0</v>
      </c>
      <c r="I202" s="8">
        <f t="shared" si="134"/>
        <v>0</v>
      </c>
      <c r="J202" s="8">
        <f t="shared" si="134"/>
        <v>0</v>
      </c>
      <c r="K202" s="8">
        <f t="shared" ca="1" si="135"/>
        <v>0</v>
      </c>
      <c r="L202" s="8">
        <f t="shared" ca="1" si="136"/>
        <v>0</v>
      </c>
      <c r="M202" s="8"/>
      <c r="N202" s="8"/>
      <c r="O202" s="8">
        <f t="shared" ref="O202:O206" si="139">$J202-($P202+$Q202)</f>
        <v>0</v>
      </c>
      <c r="P202" s="8"/>
      <c r="Q202" s="8"/>
      <c r="R202" s="9" t="str">
        <f t="shared" si="137"/>
        <v/>
      </c>
      <c r="S202" s="9">
        <f t="shared" si="138"/>
        <v>0</v>
      </c>
    </row>
    <row r="203" spans="1:19" x14ac:dyDescent="0.25">
      <c r="F203" s="7" t="e">
        <f t="shared" si="131"/>
        <v>#DIV/0!</v>
      </c>
      <c r="G203" s="7">
        <f t="shared" si="132"/>
        <v>0</v>
      </c>
      <c r="H203" s="8">
        <f t="shared" si="133"/>
        <v>0</v>
      </c>
      <c r="I203" s="8">
        <f t="shared" si="134"/>
        <v>0</v>
      </c>
      <c r="J203" s="8">
        <f t="shared" si="134"/>
        <v>0</v>
      </c>
      <c r="K203" s="8">
        <f t="shared" ca="1" si="135"/>
        <v>0</v>
      </c>
      <c r="L203" s="8">
        <f t="shared" ca="1" si="136"/>
        <v>0</v>
      </c>
      <c r="M203" s="8"/>
      <c r="N203" s="8"/>
      <c r="O203" s="8">
        <f>$J203-($P203+$Q203)</f>
        <v>0</v>
      </c>
      <c r="P203" s="8"/>
      <c r="Q203" s="8"/>
      <c r="R203" s="9" t="str">
        <f t="shared" si="137"/>
        <v/>
      </c>
      <c r="S203" s="9">
        <f t="shared" si="138"/>
        <v>0</v>
      </c>
    </row>
    <row r="204" spans="1:19" x14ac:dyDescent="0.25">
      <c r="F204" s="7" t="e">
        <f t="shared" si="131"/>
        <v>#DIV/0!</v>
      </c>
      <c r="G204" s="7">
        <f t="shared" si="132"/>
        <v>0</v>
      </c>
      <c r="H204" s="8">
        <f t="shared" si="133"/>
        <v>0</v>
      </c>
      <c r="I204" s="8">
        <f t="shared" si="134"/>
        <v>0</v>
      </c>
      <c r="J204" s="8">
        <f t="shared" si="134"/>
        <v>0</v>
      </c>
      <c r="K204" s="8">
        <f t="shared" ca="1" si="135"/>
        <v>0</v>
      </c>
      <c r="L204" s="8">
        <f t="shared" ca="1" si="136"/>
        <v>0</v>
      </c>
      <c r="M204" s="8"/>
      <c r="N204" s="8"/>
      <c r="O204" s="8">
        <f t="shared" si="139"/>
        <v>0</v>
      </c>
      <c r="P204" s="8"/>
      <c r="Q204" s="8"/>
      <c r="R204" s="9" t="str">
        <f t="shared" si="137"/>
        <v/>
      </c>
      <c r="S204" s="9">
        <f t="shared" si="138"/>
        <v>0</v>
      </c>
    </row>
    <row r="205" spans="1:19" x14ac:dyDescent="0.25">
      <c r="F205" s="7" t="e">
        <f t="shared" si="131"/>
        <v>#DIV/0!</v>
      </c>
      <c r="G205" s="7">
        <f t="shared" si="132"/>
        <v>0</v>
      </c>
      <c r="H205" s="8">
        <f t="shared" si="133"/>
        <v>0</v>
      </c>
      <c r="I205" s="8">
        <f t="shared" si="134"/>
        <v>0</v>
      </c>
      <c r="J205" s="8">
        <f t="shared" si="134"/>
        <v>0</v>
      </c>
      <c r="K205" s="8">
        <f t="shared" ca="1" si="135"/>
        <v>0</v>
      </c>
      <c r="L205" s="8">
        <f t="shared" ca="1" si="136"/>
        <v>0</v>
      </c>
      <c r="M205" s="8"/>
      <c r="N205" s="8"/>
      <c r="O205" s="8">
        <f>$J205-($P205+$Q205)</f>
        <v>0</v>
      </c>
      <c r="P205" s="8"/>
      <c r="Q205" s="8"/>
      <c r="R205" s="9" t="str">
        <f t="shared" si="137"/>
        <v/>
      </c>
      <c r="S205" s="9">
        <f t="shared" si="138"/>
        <v>0</v>
      </c>
    </row>
    <row r="206" spans="1:19" x14ac:dyDescent="0.25">
      <c r="F206" s="7" t="e">
        <f t="shared" si="131"/>
        <v>#DIV/0!</v>
      </c>
      <c r="G206" s="7">
        <f t="shared" si="132"/>
        <v>0</v>
      </c>
      <c r="H206" s="8">
        <f t="shared" si="133"/>
        <v>0</v>
      </c>
      <c r="I206" s="8">
        <f t="shared" si="134"/>
        <v>0</v>
      </c>
      <c r="J206" s="8">
        <f t="shared" si="134"/>
        <v>0</v>
      </c>
      <c r="K206" s="8">
        <f t="shared" ca="1" si="135"/>
        <v>0</v>
      </c>
      <c r="L206" s="8">
        <f t="shared" ca="1" si="136"/>
        <v>0</v>
      </c>
      <c r="M206" s="8"/>
      <c r="N206" s="8"/>
      <c r="O206" s="8">
        <f t="shared" si="139"/>
        <v>0</v>
      </c>
      <c r="P206" s="8"/>
      <c r="Q206" s="8"/>
      <c r="R206" s="9" t="str">
        <f t="shared" si="137"/>
        <v/>
      </c>
      <c r="S206" s="9">
        <f t="shared" si="138"/>
        <v>0</v>
      </c>
    </row>
    <row r="207" spans="1:19" x14ac:dyDescent="0.25">
      <c r="F207" s="7" t="e">
        <f t="shared" si="131"/>
        <v>#DIV/0!</v>
      </c>
      <c r="G207" s="7">
        <f t="shared" si="132"/>
        <v>0</v>
      </c>
      <c r="H207" s="8">
        <f t="shared" si="133"/>
        <v>0</v>
      </c>
      <c r="I207" s="8">
        <f t="shared" si="134"/>
        <v>0</v>
      </c>
      <c r="J207" s="8">
        <f t="shared" si="134"/>
        <v>0</v>
      </c>
      <c r="K207" s="8">
        <f t="shared" ca="1" si="135"/>
        <v>0</v>
      </c>
      <c r="L207" s="8">
        <f t="shared" ca="1" si="136"/>
        <v>0</v>
      </c>
      <c r="M207" s="8"/>
      <c r="N207" s="8"/>
      <c r="O207" s="8">
        <f>$J207-($P207+$Q207)</f>
        <v>0</v>
      </c>
      <c r="P207" s="8"/>
      <c r="Q207" s="8"/>
      <c r="R207" s="9" t="str">
        <f t="shared" si="137"/>
        <v/>
      </c>
      <c r="S207" s="9">
        <f t="shared" si="138"/>
        <v>0</v>
      </c>
    </row>
    <row r="208" spans="1:19" x14ac:dyDescent="0.25">
      <c r="B208" s="1">
        <f>SUMPRODUCT((B198:B207&lt;&gt;"")/COUNTIF(B198:B207,B198:B207&amp;""))</f>
        <v>0</v>
      </c>
      <c r="C208" s="1">
        <f>COUNTA(Tableau15916[Alimentation])</f>
        <v>1</v>
      </c>
      <c r="D208" s="1">
        <f>COUNTA(Tableau15916[Nature des Dépenses])</f>
        <v>1</v>
      </c>
      <c r="F208" s="7" t="e">
        <f t="shared" ref="F208:S208" si="140">SUM(F198:F207)</f>
        <v>#DIV/0!</v>
      </c>
      <c r="G208" s="7">
        <f t="shared" si="140"/>
        <v>0</v>
      </c>
      <c r="H208" s="8">
        <f t="shared" si="140"/>
        <v>0</v>
      </c>
      <c r="I208" s="8">
        <f t="shared" si="140"/>
        <v>0</v>
      </c>
      <c r="J208" s="8">
        <f t="shared" si="140"/>
        <v>0</v>
      </c>
      <c r="K208" s="8">
        <f t="shared" ca="1" si="140"/>
        <v>0</v>
      </c>
      <c r="L208" s="8">
        <f t="shared" ca="1" si="140"/>
        <v>0</v>
      </c>
      <c r="M208" s="8">
        <f t="shared" si="140"/>
        <v>0</v>
      </c>
      <c r="N208" s="8">
        <f t="shared" si="140"/>
        <v>0</v>
      </c>
      <c r="O208" s="8">
        <f t="shared" si="140"/>
        <v>0</v>
      </c>
      <c r="P208" s="8">
        <f t="shared" si="140"/>
        <v>0</v>
      </c>
      <c r="Q208" s="8">
        <f t="shared" si="140"/>
        <v>0</v>
      </c>
      <c r="R208" s="8">
        <f t="shared" si="140"/>
        <v>0</v>
      </c>
      <c r="S208" s="8">
        <f t="shared" si="140"/>
        <v>0</v>
      </c>
    </row>
    <row r="209" spans="1:19" x14ac:dyDescent="0.25">
      <c r="F209" s="7"/>
      <c r="G209" s="7"/>
    </row>
    <row r="210" spans="1:19" x14ac:dyDescent="0.25">
      <c r="F210" s="7"/>
      <c r="G210" s="7"/>
    </row>
    <row r="211" spans="1:19" ht="15.75" thickBot="1" x14ac:dyDescent="0.3">
      <c r="F211" s="7"/>
      <c r="G211" s="7"/>
    </row>
    <row r="212" spans="1:19" ht="15.75" thickBot="1" x14ac:dyDescent="0.3">
      <c r="F212" s="7"/>
      <c r="G212" s="7"/>
      <c r="M212" s="23" t="s">
        <v>0</v>
      </c>
      <c r="N212" s="24"/>
      <c r="O212" s="2" t="s">
        <v>1</v>
      </c>
      <c r="P212" s="25" t="s">
        <v>2</v>
      </c>
      <c r="Q212" s="26"/>
      <c r="R212" s="23" t="s">
        <v>3</v>
      </c>
      <c r="S212" s="24"/>
    </row>
    <row r="213" spans="1:19" s="6" customFormat="1" ht="14.1" customHeight="1" x14ac:dyDescent="0.2">
      <c r="A213" s="21" t="s">
        <v>4</v>
      </c>
      <c r="B213" s="4" t="s">
        <v>5</v>
      </c>
      <c r="C213" s="17" t="s">
        <v>34</v>
      </c>
      <c r="D213" s="3" t="s">
        <v>7</v>
      </c>
      <c r="E213" s="3" t="s">
        <v>8</v>
      </c>
      <c r="F213" s="5" t="s">
        <v>9</v>
      </c>
      <c r="G213" s="5" t="s">
        <v>10</v>
      </c>
      <c r="H213" s="4" t="s">
        <v>11</v>
      </c>
      <c r="I213" s="3" t="s">
        <v>12</v>
      </c>
      <c r="J213" s="3" t="s">
        <v>13</v>
      </c>
      <c r="K213" s="3" t="s">
        <v>14</v>
      </c>
      <c r="L213" s="3" t="s">
        <v>15</v>
      </c>
      <c r="M213" s="3" t="s">
        <v>16</v>
      </c>
      <c r="N213" s="3" t="s">
        <v>17</v>
      </c>
      <c r="O213" s="3" t="s">
        <v>1</v>
      </c>
      <c r="P213" s="3" t="s">
        <v>18</v>
      </c>
      <c r="Q213" s="3" t="s">
        <v>19</v>
      </c>
      <c r="R213" s="3" t="s">
        <v>20</v>
      </c>
      <c r="S213" s="3" t="s">
        <v>21</v>
      </c>
    </row>
    <row r="214" spans="1:19" x14ac:dyDescent="0.25">
      <c r="F214" s="7" t="e">
        <f t="shared" ref="F214:F223" si="141">$J214/J$224</f>
        <v>#DIV/0!</v>
      </c>
      <c r="G214" s="7">
        <f t="shared" ref="G214:G223" si="142">$J214/J$57</f>
        <v>0</v>
      </c>
      <c r="H214" s="8">
        <f t="shared" ref="H214:H223" si="143">$J214-$I214</f>
        <v>0</v>
      </c>
      <c r="I214" s="8">
        <f t="shared" ref="I214:J223" si="144">$M214+$N214</f>
        <v>0</v>
      </c>
      <c r="J214" s="8">
        <f t="shared" si="144"/>
        <v>0</v>
      </c>
      <c r="K214" s="8">
        <f t="shared" ref="K214:K223" ca="1" si="145">IF(($K214)&gt;=$N214+$M214,"",($L214-$M214-$N214))</f>
        <v>0</v>
      </c>
      <c r="L214" s="8">
        <f ca="1">M214+N214-K214</f>
        <v>0</v>
      </c>
      <c r="M214" s="8"/>
      <c r="N214" s="8"/>
      <c r="O214" s="8">
        <f>$J214-($P214+$Q214)</f>
        <v>0</v>
      </c>
      <c r="P214" s="8"/>
      <c r="Q214" s="8"/>
      <c r="R214" s="9" t="str">
        <f>IF(($M214+$P214)&gt;=$N214+$Q214,"",($O214/2)+$P214-$M214)</f>
        <v/>
      </c>
      <c r="S214" s="9">
        <f>IF(($M214+$P214)&gt;=$N214+$Q214,($O214/2)+$Q214-$N214,"")</f>
        <v>0</v>
      </c>
    </row>
    <row r="215" spans="1:19" x14ac:dyDescent="0.25">
      <c r="F215" s="7" t="e">
        <f t="shared" si="141"/>
        <v>#DIV/0!</v>
      </c>
      <c r="G215" s="7">
        <f t="shared" si="142"/>
        <v>0</v>
      </c>
      <c r="H215" s="8">
        <f t="shared" si="143"/>
        <v>0</v>
      </c>
      <c r="I215" s="8">
        <f t="shared" si="144"/>
        <v>0</v>
      </c>
      <c r="J215" s="8">
        <f t="shared" si="144"/>
        <v>0</v>
      </c>
      <c r="K215" s="8">
        <f t="shared" ca="1" si="145"/>
        <v>0</v>
      </c>
      <c r="L215" s="8">
        <f t="shared" ref="L215:L223" ca="1" si="146">M215+N215-K215</f>
        <v>0</v>
      </c>
      <c r="M215" s="8"/>
      <c r="N215" s="8"/>
      <c r="O215" s="8">
        <f>$J215-($P215+$Q215)</f>
        <v>0</v>
      </c>
      <c r="P215" s="8"/>
      <c r="Q215" s="8"/>
      <c r="R215" s="9" t="str">
        <f t="shared" ref="R215:R223" si="147">IF(($M215+$P215)&gt;=$N215+$Q215,"",($O215/2)+$P215-$M215)</f>
        <v/>
      </c>
      <c r="S215" s="9">
        <f t="shared" ref="S215:S223" si="148">IF(($M215+$P215)&gt;=$N215+$Q215,($O215/2)+$Q215-$N215,"")</f>
        <v>0</v>
      </c>
    </row>
    <row r="216" spans="1:19" x14ac:dyDescent="0.25">
      <c r="F216" s="7" t="e">
        <f t="shared" si="141"/>
        <v>#DIV/0!</v>
      </c>
      <c r="G216" s="7">
        <f t="shared" si="142"/>
        <v>0</v>
      </c>
      <c r="H216" s="8">
        <f t="shared" si="143"/>
        <v>0</v>
      </c>
      <c r="I216" s="8">
        <f t="shared" si="144"/>
        <v>0</v>
      </c>
      <c r="J216" s="8">
        <f t="shared" si="144"/>
        <v>0</v>
      </c>
      <c r="K216" s="8">
        <f t="shared" ca="1" si="145"/>
        <v>0</v>
      </c>
      <c r="L216" s="8">
        <f t="shared" ca="1" si="146"/>
        <v>0</v>
      </c>
      <c r="M216" s="8"/>
      <c r="N216" s="8"/>
      <c r="O216" s="8">
        <f>$J216-($P216+$Q216)</f>
        <v>0</v>
      </c>
      <c r="P216" s="8"/>
      <c r="Q216" s="8"/>
      <c r="R216" s="9" t="str">
        <f t="shared" si="147"/>
        <v/>
      </c>
      <c r="S216" s="9">
        <f t="shared" si="148"/>
        <v>0</v>
      </c>
    </row>
    <row r="217" spans="1:19" x14ac:dyDescent="0.25">
      <c r="F217" s="7" t="e">
        <f t="shared" si="141"/>
        <v>#DIV/0!</v>
      </c>
      <c r="G217" s="7">
        <f t="shared" si="142"/>
        <v>0</v>
      </c>
      <c r="H217" s="8">
        <f t="shared" si="143"/>
        <v>0</v>
      </c>
      <c r="I217" s="8">
        <f t="shared" si="144"/>
        <v>0</v>
      </c>
      <c r="J217" s="8">
        <f t="shared" si="144"/>
        <v>0</v>
      </c>
      <c r="K217" s="8">
        <f t="shared" ca="1" si="145"/>
        <v>0</v>
      </c>
      <c r="L217" s="8">
        <f t="shared" ca="1" si="146"/>
        <v>0</v>
      </c>
      <c r="M217" s="8"/>
      <c r="N217" s="8"/>
      <c r="O217" s="8">
        <f>$J217-($P217+$Q217)</f>
        <v>0</v>
      </c>
      <c r="P217" s="8"/>
      <c r="Q217" s="8"/>
      <c r="R217" s="9" t="str">
        <f t="shared" si="147"/>
        <v/>
      </c>
      <c r="S217" s="9">
        <f t="shared" si="148"/>
        <v>0</v>
      </c>
    </row>
    <row r="218" spans="1:19" x14ac:dyDescent="0.25">
      <c r="F218" s="7" t="e">
        <f t="shared" si="141"/>
        <v>#DIV/0!</v>
      </c>
      <c r="G218" s="7">
        <f t="shared" si="142"/>
        <v>0</v>
      </c>
      <c r="H218" s="8">
        <f t="shared" si="143"/>
        <v>0</v>
      </c>
      <c r="I218" s="8">
        <f t="shared" si="144"/>
        <v>0</v>
      </c>
      <c r="J218" s="8">
        <f t="shared" si="144"/>
        <v>0</v>
      </c>
      <c r="K218" s="8">
        <f t="shared" ca="1" si="145"/>
        <v>0</v>
      </c>
      <c r="L218" s="8">
        <f t="shared" ca="1" si="146"/>
        <v>0</v>
      </c>
      <c r="M218" s="8"/>
      <c r="N218" s="8"/>
      <c r="O218" s="8">
        <f t="shared" ref="O218:O222" si="149">$J218-($P218+$Q218)</f>
        <v>0</v>
      </c>
      <c r="P218" s="8"/>
      <c r="Q218" s="8"/>
      <c r="R218" s="9" t="str">
        <f t="shared" si="147"/>
        <v/>
      </c>
      <c r="S218" s="9">
        <f t="shared" si="148"/>
        <v>0</v>
      </c>
    </row>
    <row r="219" spans="1:19" x14ac:dyDescent="0.25">
      <c r="F219" s="7" t="e">
        <f t="shared" si="141"/>
        <v>#DIV/0!</v>
      </c>
      <c r="G219" s="7">
        <f t="shared" si="142"/>
        <v>0</v>
      </c>
      <c r="H219" s="8">
        <f t="shared" si="143"/>
        <v>0</v>
      </c>
      <c r="I219" s="8">
        <f t="shared" si="144"/>
        <v>0</v>
      </c>
      <c r="J219" s="8">
        <f t="shared" si="144"/>
        <v>0</v>
      </c>
      <c r="K219" s="8">
        <f t="shared" ca="1" si="145"/>
        <v>0</v>
      </c>
      <c r="L219" s="8">
        <f t="shared" ca="1" si="146"/>
        <v>0</v>
      </c>
      <c r="M219" s="8"/>
      <c r="N219" s="8"/>
      <c r="O219" s="8">
        <f>$J219-($P219+$Q219)</f>
        <v>0</v>
      </c>
      <c r="P219" s="8"/>
      <c r="Q219" s="8"/>
      <c r="R219" s="9" t="str">
        <f t="shared" si="147"/>
        <v/>
      </c>
      <c r="S219" s="9">
        <f t="shared" si="148"/>
        <v>0</v>
      </c>
    </row>
    <row r="220" spans="1:19" x14ac:dyDescent="0.25">
      <c r="F220" s="7" t="e">
        <f t="shared" si="141"/>
        <v>#DIV/0!</v>
      </c>
      <c r="G220" s="7">
        <f t="shared" si="142"/>
        <v>0</v>
      </c>
      <c r="H220" s="8">
        <f t="shared" si="143"/>
        <v>0</v>
      </c>
      <c r="I220" s="8">
        <f t="shared" si="144"/>
        <v>0</v>
      </c>
      <c r="J220" s="8">
        <f t="shared" si="144"/>
        <v>0</v>
      </c>
      <c r="K220" s="8">
        <f t="shared" ca="1" si="145"/>
        <v>0</v>
      </c>
      <c r="L220" s="8">
        <f t="shared" ca="1" si="146"/>
        <v>0</v>
      </c>
      <c r="M220" s="8"/>
      <c r="N220" s="8"/>
      <c r="O220" s="8">
        <f t="shared" si="149"/>
        <v>0</v>
      </c>
      <c r="P220" s="8"/>
      <c r="Q220" s="8"/>
      <c r="R220" s="9" t="str">
        <f t="shared" si="147"/>
        <v/>
      </c>
      <c r="S220" s="9">
        <f t="shared" si="148"/>
        <v>0</v>
      </c>
    </row>
    <row r="221" spans="1:19" x14ac:dyDescent="0.25">
      <c r="F221" s="7" t="e">
        <f t="shared" si="141"/>
        <v>#DIV/0!</v>
      </c>
      <c r="G221" s="7">
        <f t="shared" si="142"/>
        <v>0</v>
      </c>
      <c r="H221" s="8">
        <f t="shared" si="143"/>
        <v>0</v>
      </c>
      <c r="I221" s="8">
        <f t="shared" si="144"/>
        <v>0</v>
      </c>
      <c r="J221" s="8">
        <f t="shared" si="144"/>
        <v>0</v>
      </c>
      <c r="K221" s="8">
        <f t="shared" ca="1" si="145"/>
        <v>0</v>
      </c>
      <c r="L221" s="8">
        <f t="shared" ca="1" si="146"/>
        <v>0</v>
      </c>
      <c r="M221" s="8"/>
      <c r="N221" s="8"/>
      <c r="O221" s="8">
        <f>$J221-($P221+$Q221)</f>
        <v>0</v>
      </c>
      <c r="P221" s="8"/>
      <c r="Q221" s="8"/>
      <c r="R221" s="9" t="str">
        <f t="shared" si="147"/>
        <v/>
      </c>
      <c r="S221" s="9">
        <f t="shared" si="148"/>
        <v>0</v>
      </c>
    </row>
    <row r="222" spans="1:19" x14ac:dyDescent="0.25">
      <c r="F222" s="7" t="e">
        <f t="shared" si="141"/>
        <v>#DIV/0!</v>
      </c>
      <c r="G222" s="7">
        <f t="shared" si="142"/>
        <v>0</v>
      </c>
      <c r="H222" s="8">
        <f t="shared" si="143"/>
        <v>0</v>
      </c>
      <c r="I222" s="8">
        <f t="shared" si="144"/>
        <v>0</v>
      </c>
      <c r="J222" s="8">
        <f t="shared" si="144"/>
        <v>0</v>
      </c>
      <c r="K222" s="8">
        <f t="shared" ca="1" si="145"/>
        <v>0</v>
      </c>
      <c r="L222" s="8">
        <f t="shared" ca="1" si="146"/>
        <v>0</v>
      </c>
      <c r="M222" s="8"/>
      <c r="N222" s="8"/>
      <c r="O222" s="8">
        <f t="shared" si="149"/>
        <v>0</v>
      </c>
      <c r="P222" s="8"/>
      <c r="Q222" s="8"/>
      <c r="R222" s="9" t="str">
        <f t="shared" si="147"/>
        <v/>
      </c>
      <c r="S222" s="9">
        <f t="shared" si="148"/>
        <v>0</v>
      </c>
    </row>
    <row r="223" spans="1:19" x14ac:dyDescent="0.25">
      <c r="F223" s="7" t="e">
        <f t="shared" si="141"/>
        <v>#DIV/0!</v>
      </c>
      <c r="G223" s="7">
        <f t="shared" si="142"/>
        <v>0</v>
      </c>
      <c r="H223" s="8">
        <f t="shared" si="143"/>
        <v>0</v>
      </c>
      <c r="I223" s="8">
        <f t="shared" si="144"/>
        <v>0</v>
      </c>
      <c r="J223" s="8">
        <f t="shared" si="144"/>
        <v>0</v>
      </c>
      <c r="K223" s="8">
        <f t="shared" ca="1" si="145"/>
        <v>0</v>
      </c>
      <c r="L223" s="8">
        <f t="shared" ca="1" si="146"/>
        <v>0</v>
      </c>
      <c r="M223" s="8"/>
      <c r="N223" s="8"/>
      <c r="O223" s="8">
        <f>$J223-($P223+$Q223)</f>
        <v>0</v>
      </c>
      <c r="P223" s="8"/>
      <c r="Q223" s="8"/>
      <c r="R223" s="9" t="str">
        <f t="shared" si="147"/>
        <v/>
      </c>
      <c r="S223" s="9">
        <f t="shared" si="148"/>
        <v>0</v>
      </c>
    </row>
    <row r="224" spans="1:19" x14ac:dyDescent="0.25">
      <c r="B224" s="1">
        <f>SUMPRODUCT((B214:B223&lt;&gt;"")/COUNTIF(B214:B223,B214:B223&amp;""))</f>
        <v>0</v>
      </c>
      <c r="C224" s="1">
        <f>COUNTA(Tableau15918[Restaurants])</f>
        <v>0</v>
      </c>
      <c r="D224" s="1">
        <f>COUNTA(Tableau15918[Nature des Dépenses])</f>
        <v>0</v>
      </c>
      <c r="F224" s="7" t="e">
        <f t="shared" ref="F224:S224" si="150">SUM(F214:F223)</f>
        <v>#DIV/0!</v>
      </c>
      <c r="G224" s="7">
        <f t="shared" si="150"/>
        <v>0</v>
      </c>
      <c r="H224" s="8">
        <f t="shared" si="150"/>
        <v>0</v>
      </c>
      <c r="I224" s="8">
        <f t="shared" si="150"/>
        <v>0</v>
      </c>
      <c r="J224" s="8">
        <f t="shared" si="150"/>
        <v>0</v>
      </c>
      <c r="K224" s="8">
        <f t="shared" ca="1" si="150"/>
        <v>0</v>
      </c>
      <c r="L224" s="8">
        <f t="shared" ca="1" si="150"/>
        <v>0</v>
      </c>
      <c r="M224" s="8">
        <f t="shared" si="150"/>
        <v>0</v>
      </c>
      <c r="N224" s="8">
        <f t="shared" si="150"/>
        <v>0</v>
      </c>
      <c r="O224" s="8">
        <f t="shared" si="150"/>
        <v>0</v>
      </c>
      <c r="P224" s="8">
        <f t="shared" si="150"/>
        <v>0</v>
      </c>
      <c r="Q224" s="8">
        <f t="shared" si="150"/>
        <v>0</v>
      </c>
      <c r="R224" s="8">
        <f t="shared" si="150"/>
        <v>0</v>
      </c>
      <c r="S224" s="8">
        <f t="shared" si="150"/>
        <v>0</v>
      </c>
    </row>
    <row r="225" spans="1:19" x14ac:dyDescent="0.25">
      <c r="F225" s="7"/>
      <c r="G225" s="7"/>
    </row>
    <row r="226" spans="1:19" x14ac:dyDescent="0.25">
      <c r="F226" s="7"/>
      <c r="G226" s="7"/>
    </row>
    <row r="227" spans="1:19" ht="15.75" thickBot="1" x14ac:dyDescent="0.3">
      <c r="F227" s="7"/>
      <c r="G227" s="7"/>
    </row>
    <row r="228" spans="1:19" ht="15.75" thickBot="1" x14ac:dyDescent="0.3">
      <c r="F228" s="7"/>
      <c r="G228" s="7"/>
      <c r="M228" s="23" t="s">
        <v>0</v>
      </c>
      <c r="N228" s="24"/>
      <c r="O228" s="2" t="s">
        <v>1</v>
      </c>
      <c r="P228" s="25" t="s">
        <v>2</v>
      </c>
      <c r="Q228" s="26"/>
      <c r="R228" s="23" t="s">
        <v>3</v>
      </c>
      <c r="S228" s="24"/>
    </row>
    <row r="229" spans="1:19" s="6" customFormat="1" ht="14.1" customHeight="1" x14ac:dyDescent="0.2">
      <c r="A229" s="21" t="s">
        <v>4</v>
      </c>
      <c r="B229" s="4" t="s">
        <v>5</v>
      </c>
      <c r="C229" s="18" t="s">
        <v>35</v>
      </c>
      <c r="D229" s="3" t="s">
        <v>7</v>
      </c>
      <c r="E229" s="3" t="s">
        <v>8</v>
      </c>
      <c r="F229" s="5" t="s">
        <v>9</v>
      </c>
      <c r="G229" s="5" t="s">
        <v>10</v>
      </c>
      <c r="H229" s="4" t="s">
        <v>11</v>
      </c>
      <c r="I229" s="3" t="s">
        <v>12</v>
      </c>
      <c r="J229" s="3" t="s">
        <v>13</v>
      </c>
      <c r="K229" s="3" t="s">
        <v>14</v>
      </c>
      <c r="L229" s="3" t="s">
        <v>15</v>
      </c>
      <c r="M229" s="3" t="s">
        <v>16</v>
      </c>
      <c r="N229" s="3" t="s">
        <v>17</v>
      </c>
      <c r="O229" s="3" t="s">
        <v>1</v>
      </c>
      <c r="P229" s="3" t="s">
        <v>18</v>
      </c>
      <c r="Q229" s="3" t="s">
        <v>19</v>
      </c>
      <c r="R229" s="3" t="s">
        <v>20</v>
      </c>
      <c r="S229" s="3" t="s">
        <v>21</v>
      </c>
    </row>
    <row r="230" spans="1:19" x14ac:dyDescent="0.25">
      <c r="F230" s="7" t="e">
        <f t="shared" ref="F230:F239" si="151">$J230/J$240</f>
        <v>#DIV/0!</v>
      </c>
      <c r="G230" s="7">
        <f t="shared" ref="G230:G239" si="152">$J230/J$57</f>
        <v>0</v>
      </c>
      <c r="H230" s="8">
        <f t="shared" ref="H230:H239" si="153">$J230-$I230</f>
        <v>0</v>
      </c>
      <c r="I230" s="8">
        <f t="shared" ref="I230:J239" si="154">$M230+$N230</f>
        <v>0</v>
      </c>
      <c r="J230" s="8">
        <f t="shared" si="154"/>
        <v>0</v>
      </c>
      <c r="K230" s="8">
        <f t="shared" ref="K230:K239" ca="1" si="155">IF(($K230)&gt;=$N230+$M230,"",($L230-$M230-$N230))</f>
        <v>0</v>
      </c>
      <c r="L230" s="8">
        <f ca="1">M230+N230-K230</f>
        <v>0</v>
      </c>
      <c r="M230" s="8"/>
      <c r="N230" s="8"/>
      <c r="O230" s="8">
        <f>$J230-($P230+$Q230)</f>
        <v>0</v>
      </c>
      <c r="P230" s="8"/>
      <c r="Q230" s="8"/>
      <c r="R230" s="9" t="str">
        <f>IF(($M230+$P230)&gt;=$N230+$Q230,"",($O230/2)+$P230-$M230)</f>
        <v/>
      </c>
      <c r="S230" s="9">
        <f>IF(($M230+$P230)&gt;=$N230+$Q230,($O230/2)+$Q230-$N230,"")</f>
        <v>0</v>
      </c>
    </row>
    <row r="231" spans="1:19" x14ac:dyDescent="0.25">
      <c r="F231" s="7" t="e">
        <f t="shared" si="151"/>
        <v>#DIV/0!</v>
      </c>
      <c r="G231" s="7">
        <f t="shared" si="152"/>
        <v>0</v>
      </c>
      <c r="H231" s="8">
        <f t="shared" si="153"/>
        <v>0</v>
      </c>
      <c r="I231" s="8">
        <f t="shared" si="154"/>
        <v>0</v>
      </c>
      <c r="J231" s="8">
        <f t="shared" si="154"/>
        <v>0</v>
      </c>
      <c r="K231" s="8">
        <f t="shared" ca="1" si="155"/>
        <v>0</v>
      </c>
      <c r="L231" s="8">
        <f t="shared" ref="L231:L239" ca="1" si="156">M231+N231-K231</f>
        <v>0</v>
      </c>
      <c r="M231" s="8"/>
      <c r="N231" s="8"/>
      <c r="O231" s="8">
        <f>$J231-($P231+$Q231)</f>
        <v>0</v>
      </c>
      <c r="P231" s="8"/>
      <c r="Q231" s="8"/>
      <c r="R231" s="9" t="str">
        <f t="shared" ref="R231:R239" si="157">IF(($M231+$P231)&gt;=$N231+$Q231,"",($O231/2)+$P231-$M231)</f>
        <v/>
      </c>
      <c r="S231" s="9">
        <f t="shared" ref="S231:S239" si="158">IF(($M231+$P231)&gt;=$N231+$Q231,($O231/2)+$Q231-$N231,"")</f>
        <v>0</v>
      </c>
    </row>
    <row r="232" spans="1:19" x14ac:dyDescent="0.25">
      <c r="F232" s="7" t="e">
        <f t="shared" si="151"/>
        <v>#DIV/0!</v>
      </c>
      <c r="G232" s="7">
        <f t="shared" si="152"/>
        <v>0</v>
      </c>
      <c r="H232" s="8">
        <f t="shared" si="153"/>
        <v>0</v>
      </c>
      <c r="I232" s="8">
        <f t="shared" si="154"/>
        <v>0</v>
      </c>
      <c r="J232" s="8">
        <f t="shared" si="154"/>
        <v>0</v>
      </c>
      <c r="K232" s="8">
        <f t="shared" ca="1" si="155"/>
        <v>0</v>
      </c>
      <c r="L232" s="8">
        <f t="shared" ca="1" si="156"/>
        <v>0</v>
      </c>
      <c r="M232" s="8"/>
      <c r="N232" s="8"/>
      <c r="O232" s="8">
        <f>$J232-($P232+$Q232)</f>
        <v>0</v>
      </c>
      <c r="P232" s="8"/>
      <c r="Q232" s="8"/>
      <c r="R232" s="9" t="str">
        <f t="shared" si="157"/>
        <v/>
      </c>
      <c r="S232" s="9">
        <f t="shared" si="158"/>
        <v>0</v>
      </c>
    </row>
    <row r="233" spans="1:19" x14ac:dyDescent="0.25">
      <c r="F233" s="7" t="e">
        <f t="shared" si="151"/>
        <v>#DIV/0!</v>
      </c>
      <c r="G233" s="7">
        <f t="shared" si="152"/>
        <v>0</v>
      </c>
      <c r="H233" s="8">
        <f t="shared" si="153"/>
        <v>0</v>
      </c>
      <c r="I233" s="8">
        <f t="shared" si="154"/>
        <v>0</v>
      </c>
      <c r="J233" s="8">
        <f t="shared" si="154"/>
        <v>0</v>
      </c>
      <c r="K233" s="8">
        <f t="shared" ca="1" si="155"/>
        <v>0</v>
      </c>
      <c r="L233" s="8">
        <f t="shared" ca="1" si="156"/>
        <v>0</v>
      </c>
      <c r="M233" s="8"/>
      <c r="N233" s="8"/>
      <c r="O233" s="8">
        <f>$J233-($P233+$Q233)</f>
        <v>0</v>
      </c>
      <c r="P233" s="8"/>
      <c r="Q233" s="8"/>
      <c r="R233" s="9" t="str">
        <f t="shared" si="157"/>
        <v/>
      </c>
      <c r="S233" s="9">
        <f t="shared" si="158"/>
        <v>0</v>
      </c>
    </row>
    <row r="234" spans="1:19" x14ac:dyDescent="0.25">
      <c r="F234" s="7" t="e">
        <f t="shared" si="151"/>
        <v>#DIV/0!</v>
      </c>
      <c r="G234" s="7">
        <f t="shared" si="152"/>
        <v>0</v>
      </c>
      <c r="H234" s="8">
        <f t="shared" si="153"/>
        <v>0</v>
      </c>
      <c r="I234" s="8">
        <f t="shared" si="154"/>
        <v>0</v>
      </c>
      <c r="J234" s="8">
        <f t="shared" si="154"/>
        <v>0</v>
      </c>
      <c r="K234" s="8">
        <f t="shared" ca="1" si="155"/>
        <v>0</v>
      </c>
      <c r="L234" s="8">
        <f t="shared" ca="1" si="156"/>
        <v>0</v>
      </c>
      <c r="M234" s="8"/>
      <c r="N234" s="8"/>
      <c r="O234" s="8">
        <f t="shared" ref="O234:O238" si="159">$J234-($P234+$Q234)</f>
        <v>0</v>
      </c>
      <c r="P234" s="8"/>
      <c r="Q234" s="8"/>
      <c r="R234" s="9" t="str">
        <f t="shared" si="157"/>
        <v/>
      </c>
      <c r="S234" s="9">
        <f t="shared" si="158"/>
        <v>0</v>
      </c>
    </row>
    <row r="235" spans="1:19" x14ac:dyDescent="0.25">
      <c r="F235" s="7" t="e">
        <f t="shared" si="151"/>
        <v>#DIV/0!</v>
      </c>
      <c r="G235" s="7">
        <f t="shared" si="152"/>
        <v>0</v>
      </c>
      <c r="H235" s="8">
        <f t="shared" si="153"/>
        <v>0</v>
      </c>
      <c r="I235" s="8">
        <f t="shared" si="154"/>
        <v>0</v>
      </c>
      <c r="J235" s="8">
        <f t="shared" si="154"/>
        <v>0</v>
      </c>
      <c r="K235" s="8">
        <f t="shared" ca="1" si="155"/>
        <v>0</v>
      </c>
      <c r="L235" s="8">
        <f t="shared" ca="1" si="156"/>
        <v>0</v>
      </c>
      <c r="M235" s="8"/>
      <c r="N235" s="8"/>
      <c r="O235" s="8">
        <f>$J235-($P235+$Q235)</f>
        <v>0</v>
      </c>
      <c r="P235" s="8"/>
      <c r="Q235" s="8"/>
      <c r="R235" s="9" t="str">
        <f t="shared" si="157"/>
        <v/>
      </c>
      <c r="S235" s="9">
        <f t="shared" si="158"/>
        <v>0</v>
      </c>
    </row>
    <row r="236" spans="1:19" x14ac:dyDescent="0.25">
      <c r="F236" s="7" t="e">
        <f t="shared" si="151"/>
        <v>#DIV/0!</v>
      </c>
      <c r="G236" s="7">
        <f t="shared" si="152"/>
        <v>0</v>
      </c>
      <c r="H236" s="8">
        <f t="shared" si="153"/>
        <v>0</v>
      </c>
      <c r="I236" s="8">
        <f t="shared" si="154"/>
        <v>0</v>
      </c>
      <c r="J236" s="8">
        <f t="shared" si="154"/>
        <v>0</v>
      </c>
      <c r="K236" s="8">
        <f t="shared" ca="1" si="155"/>
        <v>0</v>
      </c>
      <c r="L236" s="8">
        <f t="shared" ca="1" si="156"/>
        <v>0</v>
      </c>
      <c r="M236" s="8"/>
      <c r="N236" s="8"/>
      <c r="O236" s="8">
        <f t="shared" si="159"/>
        <v>0</v>
      </c>
      <c r="P236" s="8"/>
      <c r="Q236" s="8"/>
      <c r="R236" s="9" t="str">
        <f t="shared" si="157"/>
        <v/>
      </c>
      <c r="S236" s="9">
        <f t="shared" si="158"/>
        <v>0</v>
      </c>
    </row>
    <row r="237" spans="1:19" x14ac:dyDescent="0.25">
      <c r="F237" s="7" t="e">
        <f t="shared" si="151"/>
        <v>#DIV/0!</v>
      </c>
      <c r="G237" s="7">
        <f t="shared" si="152"/>
        <v>0</v>
      </c>
      <c r="H237" s="8">
        <f t="shared" si="153"/>
        <v>0</v>
      </c>
      <c r="I237" s="8">
        <f t="shared" si="154"/>
        <v>0</v>
      </c>
      <c r="J237" s="8">
        <f t="shared" si="154"/>
        <v>0</v>
      </c>
      <c r="K237" s="8">
        <f t="shared" ca="1" si="155"/>
        <v>0</v>
      </c>
      <c r="L237" s="8">
        <f t="shared" ca="1" si="156"/>
        <v>0</v>
      </c>
      <c r="M237" s="8"/>
      <c r="N237" s="8"/>
      <c r="O237" s="8">
        <f>$J237-($P237+$Q237)</f>
        <v>0</v>
      </c>
      <c r="P237" s="8"/>
      <c r="Q237" s="8"/>
      <c r="R237" s="9" t="str">
        <f t="shared" si="157"/>
        <v/>
      </c>
      <c r="S237" s="9">
        <f t="shared" si="158"/>
        <v>0</v>
      </c>
    </row>
    <row r="238" spans="1:19" x14ac:dyDescent="0.25">
      <c r="F238" s="7" t="e">
        <f t="shared" si="151"/>
        <v>#DIV/0!</v>
      </c>
      <c r="G238" s="7">
        <f t="shared" si="152"/>
        <v>0</v>
      </c>
      <c r="H238" s="8">
        <f t="shared" si="153"/>
        <v>0</v>
      </c>
      <c r="I238" s="8">
        <f t="shared" si="154"/>
        <v>0</v>
      </c>
      <c r="J238" s="8">
        <f t="shared" si="154"/>
        <v>0</v>
      </c>
      <c r="K238" s="8">
        <f t="shared" ca="1" si="155"/>
        <v>0</v>
      </c>
      <c r="L238" s="8">
        <f t="shared" ca="1" si="156"/>
        <v>0</v>
      </c>
      <c r="M238" s="8"/>
      <c r="N238" s="8"/>
      <c r="O238" s="8">
        <f t="shared" si="159"/>
        <v>0</v>
      </c>
      <c r="P238" s="8"/>
      <c r="Q238" s="8"/>
      <c r="R238" s="9" t="str">
        <f t="shared" si="157"/>
        <v/>
      </c>
      <c r="S238" s="9">
        <f t="shared" si="158"/>
        <v>0</v>
      </c>
    </row>
    <row r="239" spans="1:19" x14ac:dyDescent="0.25">
      <c r="F239" s="7" t="e">
        <f t="shared" si="151"/>
        <v>#DIV/0!</v>
      </c>
      <c r="G239" s="7">
        <f t="shared" si="152"/>
        <v>0</v>
      </c>
      <c r="H239" s="8">
        <f t="shared" si="153"/>
        <v>0</v>
      </c>
      <c r="I239" s="8">
        <f t="shared" si="154"/>
        <v>0</v>
      </c>
      <c r="J239" s="8">
        <f t="shared" si="154"/>
        <v>0</v>
      </c>
      <c r="K239" s="8">
        <f t="shared" ca="1" si="155"/>
        <v>0</v>
      </c>
      <c r="L239" s="8">
        <f t="shared" ca="1" si="156"/>
        <v>0</v>
      </c>
      <c r="M239" s="8"/>
      <c r="N239" s="8"/>
      <c r="O239" s="8">
        <f>$J239-($P239+$Q239)</f>
        <v>0</v>
      </c>
      <c r="P239" s="8"/>
      <c r="Q239" s="8"/>
      <c r="R239" s="9" t="str">
        <f t="shared" si="157"/>
        <v/>
      </c>
      <c r="S239" s="9">
        <f t="shared" si="158"/>
        <v>0</v>
      </c>
    </row>
    <row r="240" spans="1:19" x14ac:dyDescent="0.25">
      <c r="B240" s="1">
        <f>SUMPRODUCT((B230:B239&lt;&gt;"")/COUNTIF(B230:B239,B230:B239&amp;""))</f>
        <v>0</v>
      </c>
      <c r="C240" s="1">
        <f>COUNTA(Tableau15920[Animaux])</f>
        <v>0</v>
      </c>
      <c r="D240" s="1">
        <f>COUNTA(Tableau15920[Nature des Dépenses])</f>
        <v>0</v>
      </c>
      <c r="F240" s="7" t="e">
        <f t="shared" ref="F240:S240" si="160">SUM(F230:F239)</f>
        <v>#DIV/0!</v>
      </c>
      <c r="G240" s="7">
        <f t="shared" si="160"/>
        <v>0</v>
      </c>
      <c r="H240" s="8">
        <f t="shared" si="160"/>
        <v>0</v>
      </c>
      <c r="I240" s="8">
        <f t="shared" si="160"/>
        <v>0</v>
      </c>
      <c r="J240" s="8">
        <f t="shared" si="160"/>
        <v>0</v>
      </c>
      <c r="K240" s="8">
        <f t="shared" ca="1" si="160"/>
        <v>0</v>
      </c>
      <c r="L240" s="8">
        <f t="shared" ca="1" si="160"/>
        <v>0</v>
      </c>
      <c r="M240" s="8">
        <f t="shared" si="160"/>
        <v>0</v>
      </c>
      <c r="N240" s="8">
        <f t="shared" si="160"/>
        <v>0</v>
      </c>
      <c r="O240" s="8">
        <f t="shared" si="160"/>
        <v>0</v>
      </c>
      <c r="P240" s="8">
        <f t="shared" si="160"/>
        <v>0</v>
      </c>
      <c r="Q240" s="8">
        <f t="shared" si="160"/>
        <v>0</v>
      </c>
      <c r="R240" s="8">
        <f t="shared" si="160"/>
        <v>0</v>
      </c>
      <c r="S240" s="8">
        <f t="shared" si="160"/>
        <v>0</v>
      </c>
    </row>
    <row r="241" spans="1:19" x14ac:dyDescent="0.25">
      <c r="F241" s="7"/>
      <c r="G241" s="7"/>
    </row>
    <row r="242" spans="1:19" x14ac:dyDescent="0.25">
      <c r="F242" s="7"/>
      <c r="G242" s="7"/>
    </row>
    <row r="243" spans="1:19" ht="15.75" thickBot="1" x14ac:dyDescent="0.3">
      <c r="F243" s="7"/>
      <c r="G243" s="7"/>
    </row>
    <row r="244" spans="1:19" ht="15.75" thickBot="1" x14ac:dyDescent="0.3">
      <c r="F244" s="7"/>
      <c r="G244" s="7"/>
      <c r="M244" s="23" t="s">
        <v>0</v>
      </c>
      <c r="N244" s="24"/>
      <c r="O244" s="2" t="s">
        <v>1</v>
      </c>
      <c r="P244" s="25" t="s">
        <v>2</v>
      </c>
      <c r="Q244" s="26"/>
      <c r="R244" s="23" t="s">
        <v>3</v>
      </c>
      <c r="S244" s="24"/>
    </row>
    <row r="245" spans="1:19" s="6" customFormat="1" ht="14.1" customHeight="1" x14ac:dyDescent="0.2">
      <c r="A245" s="21" t="s">
        <v>4</v>
      </c>
      <c r="B245" s="4" t="s">
        <v>5</v>
      </c>
      <c r="C245" s="17" t="s">
        <v>36</v>
      </c>
      <c r="D245" s="3" t="s">
        <v>7</v>
      </c>
      <c r="E245" s="3" t="s">
        <v>8</v>
      </c>
      <c r="F245" s="5" t="s">
        <v>9</v>
      </c>
      <c r="G245" s="5" t="s">
        <v>10</v>
      </c>
      <c r="H245" s="4" t="s">
        <v>11</v>
      </c>
      <c r="I245" s="3" t="s">
        <v>12</v>
      </c>
      <c r="J245" s="3" t="s">
        <v>13</v>
      </c>
      <c r="K245" s="3" t="s">
        <v>14</v>
      </c>
      <c r="L245" s="3" t="s">
        <v>15</v>
      </c>
      <c r="M245" s="3" t="s">
        <v>16</v>
      </c>
      <c r="N245" s="3" t="s">
        <v>17</v>
      </c>
      <c r="O245" s="3" t="s">
        <v>1</v>
      </c>
      <c r="P245" s="3" t="s">
        <v>18</v>
      </c>
      <c r="Q245" s="3" t="s">
        <v>19</v>
      </c>
      <c r="R245" s="3" t="s">
        <v>20</v>
      </c>
      <c r="S245" s="3" t="s">
        <v>21</v>
      </c>
    </row>
    <row r="246" spans="1:19" x14ac:dyDescent="0.25">
      <c r="F246" s="7" t="e">
        <f t="shared" ref="F246:F255" si="161">$J246/J$256</f>
        <v>#DIV/0!</v>
      </c>
      <c r="G246" s="7">
        <f t="shared" ref="G246:G255" si="162">$J246/J$57</f>
        <v>0</v>
      </c>
      <c r="H246" s="8">
        <f t="shared" ref="H246:H255" si="163">$J246-$I246</f>
        <v>0</v>
      </c>
      <c r="I246" s="8">
        <f t="shared" ref="I246:J255" si="164">$M246+$N246</f>
        <v>0</v>
      </c>
      <c r="J246" s="8">
        <f t="shared" si="164"/>
        <v>0</v>
      </c>
      <c r="K246" s="8">
        <f t="shared" ref="K246:K255" ca="1" si="165">IF(($K246)&gt;=$N246+$M246,"",($L246-$M246-$N246))</f>
        <v>0</v>
      </c>
      <c r="L246" s="8">
        <f ca="1">M246+N246-K246</f>
        <v>0</v>
      </c>
      <c r="M246" s="8"/>
      <c r="N246" s="8"/>
      <c r="O246" s="8">
        <f>$J246-($P246+$Q246)</f>
        <v>0</v>
      </c>
      <c r="P246" s="8"/>
      <c r="Q246" s="8"/>
      <c r="R246" s="9" t="str">
        <f>IF(($M246+$P246)&gt;=$N246+$Q246,"",($O246/2)+$P246-$M246)</f>
        <v/>
      </c>
      <c r="S246" s="9">
        <f>IF(($M246+$P246)&gt;=$N246+$Q246,($O246/2)+$Q246-$N246,"")</f>
        <v>0</v>
      </c>
    </row>
    <row r="247" spans="1:19" x14ac:dyDescent="0.25">
      <c r="F247" s="7" t="e">
        <f t="shared" si="161"/>
        <v>#DIV/0!</v>
      </c>
      <c r="G247" s="7">
        <f t="shared" si="162"/>
        <v>0</v>
      </c>
      <c r="H247" s="8">
        <f t="shared" si="163"/>
        <v>0</v>
      </c>
      <c r="I247" s="8">
        <f t="shared" si="164"/>
        <v>0</v>
      </c>
      <c r="J247" s="8">
        <f t="shared" si="164"/>
        <v>0</v>
      </c>
      <c r="K247" s="8">
        <f t="shared" ca="1" si="165"/>
        <v>0</v>
      </c>
      <c r="L247" s="8">
        <f t="shared" ref="L247:L255" ca="1" si="166">M247+N247-K247</f>
        <v>0</v>
      </c>
      <c r="M247" s="8"/>
      <c r="N247" s="8"/>
      <c r="O247" s="8">
        <f>$J247-($P247+$Q247)</f>
        <v>0</v>
      </c>
      <c r="P247" s="8"/>
      <c r="Q247" s="8"/>
      <c r="R247" s="9" t="str">
        <f t="shared" ref="R247:R255" si="167">IF(($M247+$P247)&gt;=$N247+$Q247,"",($O247/2)+$P247-$M247)</f>
        <v/>
      </c>
      <c r="S247" s="9">
        <f t="shared" ref="S247:S255" si="168">IF(($M247+$P247)&gt;=$N247+$Q247,($O247/2)+$Q247-$N247,"")</f>
        <v>0</v>
      </c>
    </row>
    <row r="248" spans="1:19" x14ac:dyDescent="0.25">
      <c r="F248" s="7" t="e">
        <f t="shared" si="161"/>
        <v>#DIV/0!</v>
      </c>
      <c r="G248" s="7">
        <f t="shared" si="162"/>
        <v>0</v>
      </c>
      <c r="H248" s="8">
        <f t="shared" si="163"/>
        <v>0</v>
      </c>
      <c r="I248" s="8">
        <f t="shared" si="164"/>
        <v>0</v>
      </c>
      <c r="J248" s="8">
        <f t="shared" si="164"/>
        <v>0</v>
      </c>
      <c r="K248" s="8">
        <f t="shared" ca="1" si="165"/>
        <v>0</v>
      </c>
      <c r="L248" s="8">
        <f t="shared" ca="1" si="166"/>
        <v>0</v>
      </c>
      <c r="M248" s="8"/>
      <c r="N248" s="8"/>
      <c r="O248" s="8">
        <f>$J248-($P248+$Q248)</f>
        <v>0</v>
      </c>
      <c r="P248" s="8"/>
      <c r="Q248" s="8"/>
      <c r="R248" s="9" t="str">
        <f t="shared" si="167"/>
        <v/>
      </c>
      <c r="S248" s="9">
        <f t="shared" si="168"/>
        <v>0</v>
      </c>
    </row>
    <row r="249" spans="1:19" x14ac:dyDescent="0.25">
      <c r="F249" s="7" t="e">
        <f t="shared" si="161"/>
        <v>#DIV/0!</v>
      </c>
      <c r="G249" s="7">
        <f t="shared" si="162"/>
        <v>0</v>
      </c>
      <c r="H249" s="8">
        <f t="shared" si="163"/>
        <v>0</v>
      </c>
      <c r="I249" s="8">
        <f t="shared" si="164"/>
        <v>0</v>
      </c>
      <c r="J249" s="8">
        <f t="shared" si="164"/>
        <v>0</v>
      </c>
      <c r="K249" s="8">
        <f t="shared" ca="1" si="165"/>
        <v>0</v>
      </c>
      <c r="L249" s="8">
        <f t="shared" ca="1" si="166"/>
        <v>0</v>
      </c>
      <c r="M249" s="8"/>
      <c r="N249" s="8"/>
      <c r="O249" s="8">
        <f>$J249-($P249+$Q249)</f>
        <v>0</v>
      </c>
      <c r="P249" s="8"/>
      <c r="Q249" s="8"/>
      <c r="R249" s="9" t="str">
        <f t="shared" si="167"/>
        <v/>
      </c>
      <c r="S249" s="9">
        <f t="shared" si="168"/>
        <v>0</v>
      </c>
    </row>
    <row r="250" spans="1:19" x14ac:dyDescent="0.25">
      <c r="F250" s="7" t="e">
        <f t="shared" si="161"/>
        <v>#DIV/0!</v>
      </c>
      <c r="G250" s="7">
        <f t="shared" si="162"/>
        <v>0</v>
      </c>
      <c r="H250" s="8">
        <f t="shared" si="163"/>
        <v>0</v>
      </c>
      <c r="I250" s="8">
        <f t="shared" si="164"/>
        <v>0</v>
      </c>
      <c r="J250" s="8">
        <f t="shared" si="164"/>
        <v>0</v>
      </c>
      <c r="K250" s="8">
        <f t="shared" ca="1" si="165"/>
        <v>0</v>
      </c>
      <c r="L250" s="8">
        <f t="shared" ca="1" si="166"/>
        <v>0</v>
      </c>
      <c r="M250" s="8"/>
      <c r="N250" s="8"/>
      <c r="O250" s="8">
        <f t="shared" ref="O250:O254" si="169">$J250-($P250+$Q250)</f>
        <v>0</v>
      </c>
      <c r="P250" s="8"/>
      <c r="Q250" s="8"/>
      <c r="R250" s="9" t="str">
        <f t="shared" si="167"/>
        <v/>
      </c>
      <c r="S250" s="9">
        <f t="shared" si="168"/>
        <v>0</v>
      </c>
    </row>
    <row r="251" spans="1:19" x14ac:dyDescent="0.25">
      <c r="F251" s="7" t="e">
        <f t="shared" si="161"/>
        <v>#DIV/0!</v>
      </c>
      <c r="G251" s="7">
        <f t="shared" si="162"/>
        <v>0</v>
      </c>
      <c r="H251" s="8">
        <f t="shared" si="163"/>
        <v>0</v>
      </c>
      <c r="I251" s="8">
        <f t="shared" si="164"/>
        <v>0</v>
      </c>
      <c r="J251" s="8">
        <f t="shared" si="164"/>
        <v>0</v>
      </c>
      <c r="K251" s="8">
        <f t="shared" ca="1" si="165"/>
        <v>0</v>
      </c>
      <c r="L251" s="8">
        <f t="shared" ca="1" si="166"/>
        <v>0</v>
      </c>
      <c r="M251" s="8"/>
      <c r="N251" s="8"/>
      <c r="O251" s="8">
        <f>$J251-($P251+$Q251)</f>
        <v>0</v>
      </c>
      <c r="P251" s="8"/>
      <c r="Q251" s="8"/>
      <c r="R251" s="9" t="str">
        <f t="shared" si="167"/>
        <v/>
      </c>
      <c r="S251" s="9">
        <f t="shared" si="168"/>
        <v>0</v>
      </c>
    </row>
    <row r="252" spans="1:19" x14ac:dyDescent="0.25">
      <c r="F252" s="7" t="e">
        <f t="shared" si="161"/>
        <v>#DIV/0!</v>
      </c>
      <c r="G252" s="7">
        <f t="shared" si="162"/>
        <v>0</v>
      </c>
      <c r="H252" s="8">
        <f t="shared" si="163"/>
        <v>0</v>
      </c>
      <c r="I252" s="8">
        <f t="shared" si="164"/>
        <v>0</v>
      </c>
      <c r="J252" s="8">
        <f t="shared" si="164"/>
        <v>0</v>
      </c>
      <c r="K252" s="8">
        <f t="shared" ca="1" si="165"/>
        <v>0</v>
      </c>
      <c r="L252" s="8">
        <f t="shared" ca="1" si="166"/>
        <v>0</v>
      </c>
      <c r="M252" s="8"/>
      <c r="N252" s="8"/>
      <c r="O252" s="8">
        <f t="shared" si="169"/>
        <v>0</v>
      </c>
      <c r="P252" s="8"/>
      <c r="Q252" s="8"/>
      <c r="R252" s="9" t="str">
        <f t="shared" si="167"/>
        <v/>
      </c>
      <c r="S252" s="9">
        <f t="shared" si="168"/>
        <v>0</v>
      </c>
    </row>
    <row r="253" spans="1:19" x14ac:dyDescent="0.25">
      <c r="F253" s="7" t="e">
        <f t="shared" si="161"/>
        <v>#DIV/0!</v>
      </c>
      <c r="G253" s="7">
        <f t="shared" si="162"/>
        <v>0</v>
      </c>
      <c r="H253" s="8">
        <f t="shared" si="163"/>
        <v>0</v>
      </c>
      <c r="I253" s="8">
        <f t="shared" si="164"/>
        <v>0</v>
      </c>
      <c r="J253" s="8">
        <f t="shared" si="164"/>
        <v>0</v>
      </c>
      <c r="K253" s="8">
        <f t="shared" ca="1" si="165"/>
        <v>0</v>
      </c>
      <c r="L253" s="8">
        <f t="shared" ca="1" si="166"/>
        <v>0</v>
      </c>
      <c r="M253" s="8"/>
      <c r="N253" s="8"/>
      <c r="O253" s="8">
        <f>$J253-($P253+$Q253)</f>
        <v>0</v>
      </c>
      <c r="P253" s="8"/>
      <c r="Q253" s="8"/>
      <c r="R253" s="9" t="str">
        <f t="shared" si="167"/>
        <v/>
      </c>
      <c r="S253" s="9">
        <f t="shared" si="168"/>
        <v>0</v>
      </c>
    </row>
    <row r="254" spans="1:19" x14ac:dyDescent="0.25">
      <c r="F254" s="7" t="e">
        <f t="shared" si="161"/>
        <v>#DIV/0!</v>
      </c>
      <c r="G254" s="7">
        <f t="shared" si="162"/>
        <v>0</v>
      </c>
      <c r="H254" s="8">
        <f t="shared" si="163"/>
        <v>0</v>
      </c>
      <c r="I254" s="8">
        <f t="shared" si="164"/>
        <v>0</v>
      </c>
      <c r="J254" s="8">
        <f t="shared" si="164"/>
        <v>0</v>
      </c>
      <c r="K254" s="8">
        <f t="shared" ca="1" si="165"/>
        <v>0</v>
      </c>
      <c r="L254" s="8">
        <f t="shared" ca="1" si="166"/>
        <v>0</v>
      </c>
      <c r="M254" s="8"/>
      <c r="N254" s="8"/>
      <c r="O254" s="8">
        <f t="shared" si="169"/>
        <v>0</v>
      </c>
      <c r="P254" s="8"/>
      <c r="Q254" s="8"/>
      <c r="R254" s="9" t="str">
        <f t="shared" si="167"/>
        <v/>
      </c>
      <c r="S254" s="9">
        <f t="shared" si="168"/>
        <v>0</v>
      </c>
    </row>
    <row r="255" spans="1:19" x14ac:dyDescent="0.25">
      <c r="F255" s="7" t="e">
        <f t="shared" si="161"/>
        <v>#DIV/0!</v>
      </c>
      <c r="G255" s="7">
        <f t="shared" si="162"/>
        <v>0</v>
      </c>
      <c r="H255" s="8">
        <f t="shared" si="163"/>
        <v>0</v>
      </c>
      <c r="I255" s="8">
        <f t="shared" si="164"/>
        <v>0</v>
      </c>
      <c r="J255" s="8">
        <f t="shared" si="164"/>
        <v>0</v>
      </c>
      <c r="K255" s="8">
        <f t="shared" ca="1" si="165"/>
        <v>0</v>
      </c>
      <c r="L255" s="8">
        <f t="shared" ca="1" si="166"/>
        <v>0</v>
      </c>
      <c r="M255" s="8"/>
      <c r="N255" s="8"/>
      <c r="O255" s="8">
        <f>$J255-($P255+$Q255)</f>
        <v>0</v>
      </c>
      <c r="P255" s="8"/>
      <c r="Q255" s="8"/>
      <c r="R255" s="9" t="str">
        <f t="shared" si="167"/>
        <v/>
      </c>
      <c r="S255" s="9">
        <f t="shared" si="168"/>
        <v>0</v>
      </c>
    </row>
    <row r="256" spans="1:19" x14ac:dyDescent="0.25">
      <c r="B256" s="1">
        <f>SUMPRODUCT((B246:B255&lt;&gt;"")/COUNTIF(B246:B255,B246:B255&amp;""))</f>
        <v>0</v>
      </c>
      <c r="C256" s="1">
        <f>COUNTA(Tableau15922[Divertissement])</f>
        <v>0</v>
      </c>
      <c r="D256" s="1">
        <f>COUNTA(Tableau15922[Nature des Dépenses])</f>
        <v>0</v>
      </c>
      <c r="F256" s="7" t="e">
        <f t="shared" ref="F256:S256" si="170">SUM(F246:F255)</f>
        <v>#DIV/0!</v>
      </c>
      <c r="G256" s="7">
        <f t="shared" si="170"/>
        <v>0</v>
      </c>
      <c r="H256" s="8">
        <f t="shared" si="170"/>
        <v>0</v>
      </c>
      <c r="I256" s="8">
        <f t="shared" si="170"/>
        <v>0</v>
      </c>
      <c r="J256" s="8">
        <f t="shared" si="170"/>
        <v>0</v>
      </c>
      <c r="K256" s="8">
        <f t="shared" ca="1" si="170"/>
        <v>0</v>
      </c>
      <c r="L256" s="8">
        <f t="shared" ca="1" si="170"/>
        <v>0</v>
      </c>
      <c r="M256" s="8">
        <f t="shared" si="170"/>
        <v>0</v>
      </c>
      <c r="N256" s="8">
        <f t="shared" si="170"/>
        <v>0</v>
      </c>
      <c r="O256" s="8">
        <f t="shared" si="170"/>
        <v>0</v>
      </c>
      <c r="P256" s="8">
        <f t="shared" si="170"/>
        <v>0</v>
      </c>
      <c r="Q256" s="8">
        <f t="shared" si="170"/>
        <v>0</v>
      </c>
      <c r="R256" s="8">
        <f t="shared" si="170"/>
        <v>0</v>
      </c>
      <c r="S256" s="8">
        <f t="shared" si="170"/>
        <v>0</v>
      </c>
    </row>
    <row r="257" spans="1:19" x14ac:dyDescent="0.25">
      <c r="F257" s="7"/>
      <c r="G257" s="7"/>
    </row>
    <row r="258" spans="1:19" x14ac:dyDescent="0.25">
      <c r="F258" s="7"/>
      <c r="G258" s="7"/>
    </row>
    <row r="259" spans="1:19" ht="15.75" thickBot="1" x14ac:dyDescent="0.3">
      <c r="F259" s="7"/>
      <c r="G259" s="7"/>
    </row>
    <row r="260" spans="1:19" ht="15.75" thickBot="1" x14ac:dyDescent="0.3">
      <c r="F260" s="7"/>
      <c r="G260" s="7"/>
      <c r="M260" s="23" t="s">
        <v>0</v>
      </c>
      <c r="N260" s="24"/>
      <c r="O260" s="2" t="s">
        <v>1</v>
      </c>
      <c r="P260" s="25" t="s">
        <v>2</v>
      </c>
      <c r="Q260" s="26"/>
      <c r="R260" s="23" t="s">
        <v>3</v>
      </c>
      <c r="S260" s="24"/>
    </row>
    <row r="261" spans="1:19" s="6" customFormat="1" ht="14.1" customHeight="1" x14ac:dyDescent="0.2">
      <c r="A261" s="21" t="s">
        <v>4</v>
      </c>
      <c r="B261" s="4" t="s">
        <v>5</v>
      </c>
      <c r="C261" s="17" t="s">
        <v>37</v>
      </c>
      <c r="D261" s="3" t="s">
        <v>7</v>
      </c>
      <c r="E261" s="3" t="s">
        <v>8</v>
      </c>
      <c r="F261" s="5" t="s">
        <v>9</v>
      </c>
      <c r="G261" s="5" t="s">
        <v>10</v>
      </c>
      <c r="H261" s="4" t="s">
        <v>11</v>
      </c>
      <c r="I261" s="3" t="s">
        <v>12</v>
      </c>
      <c r="J261" s="3" t="s">
        <v>13</v>
      </c>
      <c r="K261" s="3" t="s">
        <v>14</v>
      </c>
      <c r="L261" s="3" t="s">
        <v>15</v>
      </c>
      <c r="M261" s="3" t="s">
        <v>16</v>
      </c>
      <c r="N261" s="3" t="s">
        <v>17</v>
      </c>
      <c r="O261" s="3" t="s">
        <v>1</v>
      </c>
      <c r="P261" s="3" t="s">
        <v>18</v>
      </c>
      <c r="Q261" s="3" t="s">
        <v>19</v>
      </c>
      <c r="R261" s="3" t="s">
        <v>20</v>
      </c>
      <c r="S261" s="3" t="s">
        <v>21</v>
      </c>
    </row>
    <row r="262" spans="1:19" x14ac:dyDescent="0.25">
      <c r="F262" s="7" t="e">
        <f t="shared" ref="F262:F271" si="171">$J262/J$272</f>
        <v>#DIV/0!</v>
      </c>
      <c r="G262" s="7">
        <f t="shared" ref="G262:G271" si="172">$J262/J$57</f>
        <v>0</v>
      </c>
      <c r="H262" s="8">
        <f t="shared" ref="H262:H271" si="173">$J262-$I262</f>
        <v>0</v>
      </c>
      <c r="I262" s="8">
        <f t="shared" ref="I262:J271" si="174">$M262+$N262</f>
        <v>0</v>
      </c>
      <c r="J262" s="8">
        <f t="shared" si="174"/>
        <v>0</v>
      </c>
      <c r="K262" s="8">
        <f t="shared" ref="K262:K271" ca="1" si="175">IF(($K262)&gt;=$N262+$M262,"",($L262-$M262-$N262))</f>
        <v>0</v>
      </c>
      <c r="L262" s="8">
        <f ca="1">M262+N262-K262</f>
        <v>0</v>
      </c>
      <c r="M262" s="8"/>
      <c r="N262" s="8"/>
      <c r="O262" s="8">
        <f>$J262-($P262+$Q262)</f>
        <v>0</v>
      </c>
      <c r="P262" s="8"/>
      <c r="Q262" s="8"/>
      <c r="R262" s="9" t="str">
        <f>IF(($M262+$P262)&gt;=$N262+$Q262,"",($O262/2)+$P262-$M262)</f>
        <v/>
      </c>
      <c r="S262" s="9">
        <f>IF(($M262+$P262)&gt;=$N262+$Q262,($O262/2)+$Q262-$N262,"")</f>
        <v>0</v>
      </c>
    </row>
    <row r="263" spans="1:19" x14ac:dyDescent="0.25">
      <c r="F263" s="7" t="e">
        <f t="shared" si="171"/>
        <v>#DIV/0!</v>
      </c>
      <c r="G263" s="7">
        <f t="shared" si="172"/>
        <v>0</v>
      </c>
      <c r="H263" s="8">
        <f t="shared" si="173"/>
        <v>0</v>
      </c>
      <c r="I263" s="8">
        <f t="shared" si="174"/>
        <v>0</v>
      </c>
      <c r="J263" s="8">
        <f t="shared" si="174"/>
        <v>0</v>
      </c>
      <c r="K263" s="8">
        <f t="shared" ca="1" si="175"/>
        <v>0</v>
      </c>
      <c r="L263" s="8">
        <f t="shared" ref="L263:L271" ca="1" si="176">M263+N263-K263</f>
        <v>0</v>
      </c>
      <c r="M263" s="8"/>
      <c r="N263" s="8"/>
      <c r="O263" s="8">
        <f>$J263-($P263+$Q263)</f>
        <v>0</v>
      </c>
      <c r="P263" s="8"/>
      <c r="Q263" s="8"/>
      <c r="R263" s="9" t="str">
        <f t="shared" ref="R263:R271" si="177">IF(($M263+$P263)&gt;=$N263+$Q263,"",($O263/2)+$P263-$M263)</f>
        <v/>
      </c>
      <c r="S263" s="9">
        <f t="shared" ref="S263:S271" si="178">IF(($M263+$P263)&gt;=$N263+$Q263,($O263/2)+$Q263-$N263,"")</f>
        <v>0</v>
      </c>
    </row>
    <row r="264" spans="1:19" x14ac:dyDescent="0.25">
      <c r="F264" s="7" t="e">
        <f t="shared" si="171"/>
        <v>#DIV/0!</v>
      </c>
      <c r="G264" s="7">
        <f t="shared" si="172"/>
        <v>0</v>
      </c>
      <c r="H264" s="8">
        <f t="shared" si="173"/>
        <v>0</v>
      </c>
      <c r="I264" s="8">
        <f t="shared" si="174"/>
        <v>0</v>
      </c>
      <c r="J264" s="8">
        <f t="shared" si="174"/>
        <v>0</v>
      </c>
      <c r="K264" s="8">
        <f t="shared" ca="1" si="175"/>
        <v>0</v>
      </c>
      <c r="L264" s="8">
        <f t="shared" ca="1" si="176"/>
        <v>0</v>
      </c>
      <c r="M264" s="8"/>
      <c r="N264" s="8"/>
      <c r="O264" s="8">
        <f>$J264-($P264+$Q264)</f>
        <v>0</v>
      </c>
      <c r="P264" s="8"/>
      <c r="Q264" s="8"/>
      <c r="R264" s="9" t="str">
        <f t="shared" si="177"/>
        <v/>
      </c>
      <c r="S264" s="9">
        <f t="shared" si="178"/>
        <v>0</v>
      </c>
    </row>
    <row r="265" spans="1:19" x14ac:dyDescent="0.25">
      <c r="F265" s="7" t="e">
        <f t="shared" si="171"/>
        <v>#DIV/0!</v>
      </c>
      <c r="G265" s="7">
        <f t="shared" si="172"/>
        <v>0</v>
      </c>
      <c r="H265" s="8">
        <f t="shared" si="173"/>
        <v>0</v>
      </c>
      <c r="I265" s="8">
        <f t="shared" si="174"/>
        <v>0</v>
      </c>
      <c r="J265" s="8">
        <f t="shared" si="174"/>
        <v>0</v>
      </c>
      <c r="K265" s="8">
        <f t="shared" ca="1" si="175"/>
        <v>0</v>
      </c>
      <c r="L265" s="8">
        <f t="shared" ca="1" si="176"/>
        <v>0</v>
      </c>
      <c r="M265" s="8"/>
      <c r="N265" s="8"/>
      <c r="O265" s="8">
        <f>$J265-($P265+$Q265)</f>
        <v>0</v>
      </c>
      <c r="P265" s="8"/>
      <c r="Q265" s="8"/>
      <c r="R265" s="9" t="str">
        <f t="shared" si="177"/>
        <v/>
      </c>
      <c r="S265" s="9">
        <f t="shared" si="178"/>
        <v>0</v>
      </c>
    </row>
    <row r="266" spans="1:19" x14ac:dyDescent="0.25">
      <c r="F266" s="7" t="e">
        <f t="shared" si="171"/>
        <v>#DIV/0!</v>
      </c>
      <c r="G266" s="7">
        <f t="shared" si="172"/>
        <v>0</v>
      </c>
      <c r="H266" s="8">
        <f t="shared" si="173"/>
        <v>0</v>
      </c>
      <c r="I266" s="8">
        <f t="shared" si="174"/>
        <v>0</v>
      </c>
      <c r="J266" s="8">
        <f t="shared" si="174"/>
        <v>0</v>
      </c>
      <c r="K266" s="8">
        <f t="shared" ca="1" si="175"/>
        <v>0</v>
      </c>
      <c r="L266" s="8">
        <f t="shared" ca="1" si="176"/>
        <v>0</v>
      </c>
      <c r="M266" s="8"/>
      <c r="N266" s="8"/>
      <c r="O266" s="8">
        <f t="shared" ref="O266:O270" si="179">$J266-($P266+$Q266)</f>
        <v>0</v>
      </c>
      <c r="P266" s="8"/>
      <c r="Q266" s="8"/>
      <c r="R266" s="9" t="str">
        <f t="shared" si="177"/>
        <v/>
      </c>
      <c r="S266" s="9">
        <f t="shared" si="178"/>
        <v>0</v>
      </c>
    </row>
    <row r="267" spans="1:19" x14ac:dyDescent="0.25">
      <c r="F267" s="7" t="e">
        <f t="shared" si="171"/>
        <v>#DIV/0!</v>
      </c>
      <c r="G267" s="7">
        <f t="shared" si="172"/>
        <v>0</v>
      </c>
      <c r="H267" s="8">
        <f t="shared" si="173"/>
        <v>0</v>
      </c>
      <c r="I267" s="8">
        <f t="shared" si="174"/>
        <v>0</v>
      </c>
      <c r="J267" s="8">
        <f t="shared" si="174"/>
        <v>0</v>
      </c>
      <c r="K267" s="8">
        <f t="shared" ca="1" si="175"/>
        <v>0</v>
      </c>
      <c r="L267" s="8">
        <f t="shared" ca="1" si="176"/>
        <v>0</v>
      </c>
      <c r="M267" s="8"/>
      <c r="N267" s="8"/>
      <c r="O267" s="8">
        <f>$J267-($P267+$Q267)</f>
        <v>0</v>
      </c>
      <c r="P267" s="8"/>
      <c r="Q267" s="8"/>
      <c r="R267" s="9" t="str">
        <f t="shared" si="177"/>
        <v/>
      </c>
      <c r="S267" s="9">
        <f t="shared" si="178"/>
        <v>0</v>
      </c>
    </row>
    <row r="268" spans="1:19" x14ac:dyDescent="0.25">
      <c r="F268" s="7" t="e">
        <f t="shared" si="171"/>
        <v>#DIV/0!</v>
      </c>
      <c r="G268" s="7">
        <f t="shared" si="172"/>
        <v>0</v>
      </c>
      <c r="H268" s="8">
        <f t="shared" si="173"/>
        <v>0</v>
      </c>
      <c r="I268" s="8">
        <f t="shared" si="174"/>
        <v>0</v>
      </c>
      <c r="J268" s="8">
        <f t="shared" si="174"/>
        <v>0</v>
      </c>
      <c r="K268" s="8">
        <f t="shared" ca="1" si="175"/>
        <v>0</v>
      </c>
      <c r="L268" s="8">
        <f t="shared" ca="1" si="176"/>
        <v>0</v>
      </c>
      <c r="M268" s="8"/>
      <c r="N268" s="8"/>
      <c r="O268" s="8">
        <f t="shared" si="179"/>
        <v>0</v>
      </c>
      <c r="P268" s="8"/>
      <c r="Q268" s="8"/>
      <c r="R268" s="9" t="str">
        <f t="shared" si="177"/>
        <v/>
      </c>
      <c r="S268" s="9">
        <f t="shared" si="178"/>
        <v>0</v>
      </c>
    </row>
    <row r="269" spans="1:19" x14ac:dyDescent="0.25">
      <c r="F269" s="7" t="e">
        <f t="shared" si="171"/>
        <v>#DIV/0!</v>
      </c>
      <c r="G269" s="7">
        <f t="shared" si="172"/>
        <v>0</v>
      </c>
      <c r="H269" s="8">
        <f t="shared" si="173"/>
        <v>0</v>
      </c>
      <c r="I269" s="8">
        <f t="shared" si="174"/>
        <v>0</v>
      </c>
      <c r="J269" s="8">
        <f t="shared" si="174"/>
        <v>0</v>
      </c>
      <c r="K269" s="8">
        <f t="shared" ca="1" si="175"/>
        <v>0</v>
      </c>
      <c r="L269" s="8">
        <f t="shared" ca="1" si="176"/>
        <v>0</v>
      </c>
      <c r="M269" s="8"/>
      <c r="N269" s="8"/>
      <c r="O269" s="8">
        <f>$J269-($P269+$Q269)</f>
        <v>0</v>
      </c>
      <c r="P269" s="8"/>
      <c r="Q269" s="8"/>
      <c r="R269" s="9" t="str">
        <f t="shared" si="177"/>
        <v/>
      </c>
      <c r="S269" s="9">
        <f t="shared" si="178"/>
        <v>0</v>
      </c>
    </row>
    <row r="270" spans="1:19" x14ac:dyDescent="0.25">
      <c r="F270" s="7" t="e">
        <f t="shared" si="171"/>
        <v>#DIV/0!</v>
      </c>
      <c r="G270" s="7">
        <f t="shared" si="172"/>
        <v>0</v>
      </c>
      <c r="H270" s="8">
        <f t="shared" si="173"/>
        <v>0</v>
      </c>
      <c r="I270" s="8">
        <f t="shared" si="174"/>
        <v>0</v>
      </c>
      <c r="J270" s="8">
        <f t="shared" si="174"/>
        <v>0</v>
      </c>
      <c r="K270" s="8">
        <f t="shared" ca="1" si="175"/>
        <v>0</v>
      </c>
      <c r="L270" s="8">
        <f t="shared" ca="1" si="176"/>
        <v>0</v>
      </c>
      <c r="M270" s="8"/>
      <c r="N270" s="8"/>
      <c r="O270" s="8">
        <f t="shared" si="179"/>
        <v>0</v>
      </c>
      <c r="P270" s="8"/>
      <c r="Q270" s="8"/>
      <c r="R270" s="9" t="str">
        <f t="shared" si="177"/>
        <v/>
      </c>
      <c r="S270" s="9">
        <f t="shared" si="178"/>
        <v>0</v>
      </c>
    </row>
    <row r="271" spans="1:19" x14ac:dyDescent="0.25">
      <c r="F271" s="7" t="e">
        <f t="shared" si="171"/>
        <v>#DIV/0!</v>
      </c>
      <c r="G271" s="7">
        <f t="shared" si="172"/>
        <v>0</v>
      </c>
      <c r="H271" s="8">
        <f t="shared" si="173"/>
        <v>0</v>
      </c>
      <c r="I271" s="8">
        <f t="shared" si="174"/>
        <v>0</v>
      </c>
      <c r="J271" s="8">
        <f t="shared" si="174"/>
        <v>0</v>
      </c>
      <c r="K271" s="8">
        <f t="shared" ca="1" si="175"/>
        <v>0</v>
      </c>
      <c r="L271" s="8">
        <f t="shared" ca="1" si="176"/>
        <v>0</v>
      </c>
      <c r="M271" s="8"/>
      <c r="N271" s="8"/>
      <c r="O271" s="8">
        <f>$J271-($P271+$Q271)</f>
        <v>0</v>
      </c>
      <c r="P271" s="8"/>
      <c r="Q271" s="8"/>
      <c r="R271" s="9" t="str">
        <f t="shared" si="177"/>
        <v/>
      </c>
      <c r="S271" s="9">
        <f t="shared" si="178"/>
        <v>0</v>
      </c>
    </row>
    <row r="272" spans="1:19" x14ac:dyDescent="0.25">
      <c r="B272" s="1">
        <f>SUMPRODUCT((B262:B271&lt;&gt;"")/COUNTIF(B262:B271,B262:B271&amp;""))</f>
        <v>0</v>
      </c>
      <c r="C272" s="1">
        <f>COUNTA(Tableau15923[Culture / Livres / DvD ...])</f>
        <v>0</v>
      </c>
      <c r="D272" s="1">
        <f>COUNTA(Tableau15923[Nature des Dépenses])</f>
        <v>0</v>
      </c>
      <c r="F272" s="7" t="e">
        <f t="shared" ref="F272:S272" si="180">SUM(F262:F271)</f>
        <v>#DIV/0!</v>
      </c>
      <c r="G272" s="7">
        <f t="shared" si="180"/>
        <v>0</v>
      </c>
      <c r="H272" s="8">
        <f t="shared" si="180"/>
        <v>0</v>
      </c>
      <c r="I272" s="8">
        <f t="shared" si="180"/>
        <v>0</v>
      </c>
      <c r="J272" s="8">
        <f t="shared" si="180"/>
        <v>0</v>
      </c>
      <c r="K272" s="8">
        <f t="shared" ca="1" si="180"/>
        <v>0</v>
      </c>
      <c r="L272" s="8">
        <f t="shared" ca="1" si="180"/>
        <v>0</v>
      </c>
      <c r="M272" s="8">
        <f t="shared" si="180"/>
        <v>0</v>
      </c>
      <c r="N272" s="8">
        <f t="shared" si="180"/>
        <v>0</v>
      </c>
      <c r="O272" s="8">
        <f t="shared" si="180"/>
        <v>0</v>
      </c>
      <c r="P272" s="8">
        <f t="shared" si="180"/>
        <v>0</v>
      </c>
      <c r="Q272" s="8">
        <f t="shared" si="180"/>
        <v>0</v>
      </c>
      <c r="R272" s="8">
        <f t="shared" si="180"/>
        <v>0</v>
      </c>
      <c r="S272" s="8">
        <f t="shared" si="180"/>
        <v>0</v>
      </c>
    </row>
    <row r="273" spans="1:19" x14ac:dyDescent="0.25">
      <c r="F273" s="7"/>
      <c r="G273" s="7"/>
    </row>
    <row r="274" spans="1:19" x14ac:dyDescent="0.25">
      <c r="F274" s="7"/>
      <c r="G274" s="7"/>
    </row>
    <row r="275" spans="1:19" ht="15.75" thickBot="1" x14ac:dyDescent="0.3">
      <c r="F275" s="7"/>
      <c r="G275" s="7"/>
    </row>
    <row r="276" spans="1:19" ht="15.75" thickBot="1" x14ac:dyDescent="0.3">
      <c r="F276" s="7"/>
      <c r="G276" s="7"/>
      <c r="M276" s="23" t="s">
        <v>0</v>
      </c>
      <c r="N276" s="24"/>
      <c r="O276" s="2" t="s">
        <v>1</v>
      </c>
      <c r="P276" s="25" t="s">
        <v>2</v>
      </c>
      <c r="Q276" s="26"/>
      <c r="R276" s="23" t="s">
        <v>3</v>
      </c>
      <c r="S276" s="24"/>
    </row>
    <row r="277" spans="1:19" s="6" customFormat="1" ht="14.1" customHeight="1" x14ac:dyDescent="0.2">
      <c r="A277" s="21" t="s">
        <v>4</v>
      </c>
      <c r="B277" s="4" t="s">
        <v>5</v>
      </c>
      <c r="C277" s="17" t="s">
        <v>38</v>
      </c>
      <c r="D277" s="3" t="s">
        <v>7</v>
      </c>
      <c r="E277" s="3" t="s">
        <v>8</v>
      </c>
      <c r="F277" s="5" t="s">
        <v>9</v>
      </c>
      <c r="G277" s="5" t="s">
        <v>10</v>
      </c>
      <c r="H277" s="4" t="s">
        <v>11</v>
      </c>
      <c r="I277" s="3" t="s">
        <v>12</v>
      </c>
      <c r="J277" s="3" t="s">
        <v>13</v>
      </c>
      <c r="K277" s="3" t="s">
        <v>14</v>
      </c>
      <c r="L277" s="3" t="s">
        <v>15</v>
      </c>
      <c r="M277" s="3" t="s">
        <v>16</v>
      </c>
      <c r="N277" s="3" t="s">
        <v>17</v>
      </c>
      <c r="O277" s="3" t="s">
        <v>1</v>
      </c>
      <c r="P277" s="3" t="s">
        <v>18</v>
      </c>
      <c r="Q277" s="3" t="s">
        <v>19</v>
      </c>
      <c r="R277" s="3" t="s">
        <v>20</v>
      </c>
      <c r="S277" s="3" t="s">
        <v>21</v>
      </c>
    </row>
    <row r="278" spans="1:19" x14ac:dyDescent="0.25">
      <c r="F278" s="7" t="e">
        <f t="shared" ref="F278:F287" si="181">$J278/J$288</f>
        <v>#DIV/0!</v>
      </c>
      <c r="G278" s="7">
        <f t="shared" ref="G278:G287" si="182">$J278/J$57</f>
        <v>0</v>
      </c>
      <c r="H278" s="8">
        <f t="shared" ref="H278:H287" si="183">$J278-$I278</f>
        <v>0</v>
      </c>
      <c r="I278" s="8">
        <f t="shared" ref="I278:J287" si="184">$M278+$N278</f>
        <v>0</v>
      </c>
      <c r="J278" s="8">
        <f t="shared" si="184"/>
        <v>0</v>
      </c>
      <c r="K278" s="8">
        <f t="shared" ref="K278:K287" ca="1" si="185">IF(($K278)&gt;=$N278+$M278,"",($L278-$M278-$N278))</f>
        <v>0</v>
      </c>
      <c r="L278" s="8">
        <f ca="1">M278+N278-K278</f>
        <v>0</v>
      </c>
      <c r="M278" s="8"/>
      <c r="N278" s="8"/>
      <c r="O278" s="8">
        <f>$J278-($P278+$Q278)</f>
        <v>0</v>
      </c>
      <c r="P278" s="8"/>
      <c r="Q278" s="8"/>
      <c r="R278" s="9" t="str">
        <f>IF(($M278+$P278)&gt;=$N278+$Q278,"",($O278/2)+$P278-$M278)</f>
        <v/>
      </c>
      <c r="S278" s="9">
        <f>IF(($M278+$P278)&gt;=$N278+$Q278,($O278/2)+$Q278-$N278,"")</f>
        <v>0</v>
      </c>
    </row>
    <row r="279" spans="1:19" x14ac:dyDescent="0.25">
      <c r="F279" s="7" t="e">
        <f t="shared" si="181"/>
        <v>#DIV/0!</v>
      </c>
      <c r="G279" s="7">
        <f t="shared" si="182"/>
        <v>0</v>
      </c>
      <c r="H279" s="8">
        <f t="shared" si="183"/>
        <v>0</v>
      </c>
      <c r="I279" s="8">
        <f t="shared" si="184"/>
        <v>0</v>
      </c>
      <c r="J279" s="8">
        <f t="shared" si="184"/>
        <v>0</v>
      </c>
      <c r="K279" s="8">
        <f t="shared" ca="1" si="185"/>
        <v>0</v>
      </c>
      <c r="L279" s="8">
        <f t="shared" ref="L279:L287" ca="1" si="186">M279+N279-K279</f>
        <v>0</v>
      </c>
      <c r="M279" s="8"/>
      <c r="N279" s="8"/>
      <c r="O279" s="8">
        <f>$J279-($P279+$Q279)</f>
        <v>0</v>
      </c>
      <c r="P279" s="8"/>
      <c r="Q279" s="8"/>
      <c r="R279" s="9" t="str">
        <f t="shared" ref="R279:R287" si="187">IF(($M279+$P279)&gt;=$N279+$Q279,"",($O279/2)+$P279-$M279)</f>
        <v/>
      </c>
      <c r="S279" s="9">
        <f t="shared" ref="S279:S287" si="188">IF(($M279+$P279)&gt;=$N279+$Q279,($O279/2)+$Q279-$N279,"")</f>
        <v>0</v>
      </c>
    </row>
    <row r="280" spans="1:19" x14ac:dyDescent="0.25">
      <c r="F280" s="7" t="e">
        <f t="shared" si="181"/>
        <v>#DIV/0!</v>
      </c>
      <c r="G280" s="7">
        <f t="shared" si="182"/>
        <v>0</v>
      </c>
      <c r="H280" s="8">
        <f t="shared" si="183"/>
        <v>0</v>
      </c>
      <c r="I280" s="8">
        <f t="shared" si="184"/>
        <v>0</v>
      </c>
      <c r="J280" s="8">
        <f t="shared" si="184"/>
        <v>0</v>
      </c>
      <c r="K280" s="8">
        <f t="shared" ca="1" si="185"/>
        <v>0</v>
      </c>
      <c r="L280" s="8">
        <f t="shared" ca="1" si="186"/>
        <v>0</v>
      </c>
      <c r="M280" s="8"/>
      <c r="N280" s="8"/>
      <c r="O280" s="8">
        <f>$J280-($P280+$Q280)</f>
        <v>0</v>
      </c>
      <c r="P280" s="8"/>
      <c r="Q280" s="8"/>
      <c r="R280" s="9" t="str">
        <f t="shared" si="187"/>
        <v/>
      </c>
      <c r="S280" s="9">
        <f t="shared" si="188"/>
        <v>0</v>
      </c>
    </row>
    <row r="281" spans="1:19" x14ac:dyDescent="0.25">
      <c r="F281" s="7" t="e">
        <f t="shared" si="181"/>
        <v>#DIV/0!</v>
      </c>
      <c r="G281" s="7">
        <f t="shared" si="182"/>
        <v>0</v>
      </c>
      <c r="H281" s="8">
        <f t="shared" si="183"/>
        <v>0</v>
      </c>
      <c r="I281" s="8">
        <f t="shared" si="184"/>
        <v>0</v>
      </c>
      <c r="J281" s="8">
        <f t="shared" si="184"/>
        <v>0</v>
      </c>
      <c r="K281" s="8">
        <f t="shared" ca="1" si="185"/>
        <v>0</v>
      </c>
      <c r="L281" s="8">
        <f t="shared" ca="1" si="186"/>
        <v>0</v>
      </c>
      <c r="M281" s="8"/>
      <c r="N281" s="8"/>
      <c r="O281" s="8">
        <f>$J281-($P281+$Q281)</f>
        <v>0</v>
      </c>
      <c r="P281" s="8"/>
      <c r="Q281" s="8"/>
      <c r="R281" s="9" t="str">
        <f t="shared" si="187"/>
        <v/>
      </c>
      <c r="S281" s="9">
        <f t="shared" si="188"/>
        <v>0</v>
      </c>
    </row>
    <row r="282" spans="1:19" x14ac:dyDescent="0.25">
      <c r="F282" s="7" t="e">
        <f t="shared" si="181"/>
        <v>#DIV/0!</v>
      </c>
      <c r="G282" s="7">
        <f t="shared" si="182"/>
        <v>0</v>
      </c>
      <c r="H282" s="8">
        <f t="shared" si="183"/>
        <v>0</v>
      </c>
      <c r="I282" s="8">
        <f t="shared" si="184"/>
        <v>0</v>
      </c>
      <c r="J282" s="8">
        <f t="shared" si="184"/>
        <v>0</v>
      </c>
      <c r="K282" s="8">
        <f t="shared" ca="1" si="185"/>
        <v>0</v>
      </c>
      <c r="L282" s="8">
        <f t="shared" ca="1" si="186"/>
        <v>0</v>
      </c>
      <c r="M282" s="8"/>
      <c r="N282" s="8"/>
      <c r="O282" s="8">
        <f t="shared" ref="O282:O286" si="189">$J282-($P282+$Q282)</f>
        <v>0</v>
      </c>
      <c r="P282" s="8"/>
      <c r="Q282" s="8"/>
      <c r="R282" s="9" t="str">
        <f t="shared" si="187"/>
        <v/>
      </c>
      <c r="S282" s="9">
        <f t="shared" si="188"/>
        <v>0</v>
      </c>
    </row>
    <row r="283" spans="1:19" x14ac:dyDescent="0.25">
      <c r="F283" s="7" t="e">
        <f t="shared" si="181"/>
        <v>#DIV/0!</v>
      </c>
      <c r="G283" s="7">
        <f t="shared" si="182"/>
        <v>0</v>
      </c>
      <c r="H283" s="8">
        <f t="shared" si="183"/>
        <v>0</v>
      </c>
      <c r="I283" s="8">
        <f t="shared" si="184"/>
        <v>0</v>
      </c>
      <c r="J283" s="8">
        <f t="shared" si="184"/>
        <v>0</v>
      </c>
      <c r="K283" s="8">
        <f t="shared" ca="1" si="185"/>
        <v>0</v>
      </c>
      <c r="L283" s="8">
        <f t="shared" ca="1" si="186"/>
        <v>0</v>
      </c>
      <c r="M283" s="8"/>
      <c r="N283" s="8"/>
      <c r="O283" s="8">
        <f>$J283-($P283+$Q283)</f>
        <v>0</v>
      </c>
      <c r="P283" s="8"/>
      <c r="Q283" s="8"/>
      <c r="R283" s="9" t="str">
        <f t="shared" si="187"/>
        <v/>
      </c>
      <c r="S283" s="9">
        <f t="shared" si="188"/>
        <v>0</v>
      </c>
    </row>
    <row r="284" spans="1:19" x14ac:dyDescent="0.25">
      <c r="F284" s="7" t="e">
        <f t="shared" si="181"/>
        <v>#DIV/0!</v>
      </c>
      <c r="G284" s="7">
        <f t="shared" si="182"/>
        <v>0</v>
      </c>
      <c r="H284" s="8">
        <f t="shared" si="183"/>
        <v>0</v>
      </c>
      <c r="I284" s="8">
        <f t="shared" si="184"/>
        <v>0</v>
      </c>
      <c r="J284" s="8">
        <f t="shared" si="184"/>
        <v>0</v>
      </c>
      <c r="K284" s="8">
        <f t="shared" ca="1" si="185"/>
        <v>0</v>
      </c>
      <c r="L284" s="8">
        <f t="shared" ca="1" si="186"/>
        <v>0</v>
      </c>
      <c r="M284" s="8"/>
      <c r="N284" s="8"/>
      <c r="O284" s="8">
        <f t="shared" si="189"/>
        <v>0</v>
      </c>
      <c r="P284" s="8"/>
      <c r="Q284" s="8"/>
      <c r="R284" s="9" t="str">
        <f t="shared" si="187"/>
        <v/>
      </c>
      <c r="S284" s="9">
        <f t="shared" si="188"/>
        <v>0</v>
      </c>
    </row>
    <row r="285" spans="1:19" x14ac:dyDescent="0.25">
      <c r="F285" s="7" t="e">
        <f t="shared" si="181"/>
        <v>#DIV/0!</v>
      </c>
      <c r="G285" s="7">
        <f t="shared" si="182"/>
        <v>0</v>
      </c>
      <c r="H285" s="8">
        <f t="shared" si="183"/>
        <v>0</v>
      </c>
      <c r="I285" s="8">
        <f t="shared" si="184"/>
        <v>0</v>
      </c>
      <c r="J285" s="8">
        <f t="shared" si="184"/>
        <v>0</v>
      </c>
      <c r="K285" s="8">
        <f t="shared" ca="1" si="185"/>
        <v>0</v>
      </c>
      <c r="L285" s="8">
        <f t="shared" ca="1" si="186"/>
        <v>0</v>
      </c>
      <c r="M285" s="8"/>
      <c r="N285" s="8"/>
      <c r="O285" s="8">
        <f>$J285-($P285+$Q285)</f>
        <v>0</v>
      </c>
      <c r="P285" s="8"/>
      <c r="Q285" s="8"/>
      <c r="R285" s="9" t="str">
        <f t="shared" si="187"/>
        <v/>
      </c>
      <c r="S285" s="9">
        <f t="shared" si="188"/>
        <v>0</v>
      </c>
    </row>
    <row r="286" spans="1:19" x14ac:dyDescent="0.25">
      <c r="F286" s="7" t="e">
        <f t="shared" si="181"/>
        <v>#DIV/0!</v>
      </c>
      <c r="G286" s="7">
        <f t="shared" si="182"/>
        <v>0</v>
      </c>
      <c r="H286" s="8">
        <f t="shared" si="183"/>
        <v>0</v>
      </c>
      <c r="I286" s="8">
        <f t="shared" si="184"/>
        <v>0</v>
      </c>
      <c r="J286" s="8">
        <f t="shared" si="184"/>
        <v>0</v>
      </c>
      <c r="K286" s="8">
        <f t="shared" ca="1" si="185"/>
        <v>0</v>
      </c>
      <c r="L286" s="8">
        <f t="shared" ca="1" si="186"/>
        <v>0</v>
      </c>
      <c r="M286" s="8"/>
      <c r="N286" s="8"/>
      <c r="O286" s="8">
        <f t="shared" si="189"/>
        <v>0</v>
      </c>
      <c r="P286" s="8"/>
      <c r="Q286" s="8"/>
      <c r="R286" s="9" t="str">
        <f t="shared" si="187"/>
        <v/>
      </c>
      <c r="S286" s="9">
        <f t="shared" si="188"/>
        <v>0</v>
      </c>
    </row>
    <row r="287" spans="1:19" x14ac:dyDescent="0.25">
      <c r="F287" s="7" t="e">
        <f t="shared" si="181"/>
        <v>#DIV/0!</v>
      </c>
      <c r="G287" s="7">
        <f t="shared" si="182"/>
        <v>0</v>
      </c>
      <c r="H287" s="8">
        <f t="shared" si="183"/>
        <v>0</v>
      </c>
      <c r="I287" s="8">
        <f t="shared" si="184"/>
        <v>0</v>
      </c>
      <c r="J287" s="8">
        <f t="shared" si="184"/>
        <v>0</v>
      </c>
      <c r="K287" s="8">
        <f t="shared" ca="1" si="185"/>
        <v>0</v>
      </c>
      <c r="L287" s="8">
        <f t="shared" ca="1" si="186"/>
        <v>0</v>
      </c>
      <c r="M287" s="8"/>
      <c r="N287" s="8"/>
      <c r="O287" s="8">
        <f>$J287-($P287+$Q287)</f>
        <v>0</v>
      </c>
      <c r="P287" s="8"/>
      <c r="Q287" s="8"/>
      <c r="R287" s="9" t="str">
        <f t="shared" si="187"/>
        <v/>
      </c>
      <c r="S287" s="9">
        <f t="shared" si="188"/>
        <v>0</v>
      </c>
    </row>
    <row r="288" spans="1:19" x14ac:dyDescent="0.25">
      <c r="B288" s="1">
        <f>SUMPRODUCT((B278:B287&lt;&gt;"")/COUNTIF(B278:B287,B278:B287&amp;""))</f>
        <v>0</v>
      </c>
      <c r="C288" s="1">
        <f>COUNTA(Tableau15924[Informatique/Medias Digitaux])</f>
        <v>0</v>
      </c>
      <c r="D288" s="1">
        <f>COUNTA(Tableau15924[Nature des Dépenses])</f>
        <v>0</v>
      </c>
      <c r="F288" s="7" t="e">
        <f t="shared" ref="F288:S288" si="190">SUM(F278:F287)</f>
        <v>#DIV/0!</v>
      </c>
      <c r="G288" s="7">
        <f t="shared" si="190"/>
        <v>0</v>
      </c>
      <c r="H288" s="8">
        <f t="shared" si="190"/>
        <v>0</v>
      </c>
      <c r="I288" s="8">
        <f t="shared" si="190"/>
        <v>0</v>
      </c>
      <c r="J288" s="8">
        <f t="shared" si="190"/>
        <v>0</v>
      </c>
      <c r="K288" s="8">
        <f t="shared" ca="1" si="190"/>
        <v>0</v>
      </c>
      <c r="L288" s="8">
        <f t="shared" ca="1" si="190"/>
        <v>0</v>
      </c>
      <c r="M288" s="8">
        <f t="shared" si="190"/>
        <v>0</v>
      </c>
      <c r="N288" s="8">
        <f t="shared" si="190"/>
        <v>0</v>
      </c>
      <c r="O288" s="8">
        <f t="shared" si="190"/>
        <v>0</v>
      </c>
      <c r="P288" s="8">
        <f t="shared" si="190"/>
        <v>0</v>
      </c>
      <c r="Q288" s="8">
        <f t="shared" si="190"/>
        <v>0</v>
      </c>
      <c r="R288" s="8">
        <f t="shared" si="190"/>
        <v>0</v>
      </c>
      <c r="S288" s="8">
        <f t="shared" si="190"/>
        <v>0</v>
      </c>
    </row>
    <row r="289" spans="1:19" x14ac:dyDescent="0.25">
      <c r="F289" s="7"/>
      <c r="G289" s="7"/>
    </row>
    <row r="290" spans="1:19" x14ac:dyDescent="0.25">
      <c r="F290" s="7"/>
      <c r="G290" s="7"/>
    </row>
    <row r="291" spans="1:19" ht="15.75" thickBot="1" x14ac:dyDescent="0.3">
      <c r="F291" s="7"/>
      <c r="G291" s="7"/>
    </row>
    <row r="292" spans="1:19" ht="15.75" thickBot="1" x14ac:dyDescent="0.3">
      <c r="F292" s="7"/>
      <c r="G292" s="7"/>
      <c r="M292" s="23" t="s">
        <v>0</v>
      </c>
      <c r="N292" s="24"/>
      <c r="O292" s="2" t="s">
        <v>1</v>
      </c>
      <c r="P292" s="25" t="s">
        <v>2</v>
      </c>
      <c r="Q292" s="26"/>
      <c r="R292" s="23" t="s">
        <v>3</v>
      </c>
      <c r="S292" s="24"/>
    </row>
    <row r="293" spans="1:19" s="6" customFormat="1" ht="14.1" customHeight="1" x14ac:dyDescent="0.2">
      <c r="A293" s="21" t="s">
        <v>4</v>
      </c>
      <c r="B293" s="4" t="s">
        <v>5</v>
      </c>
      <c r="C293" s="17" t="s">
        <v>39</v>
      </c>
      <c r="D293" s="3" t="s">
        <v>7</v>
      </c>
      <c r="E293" s="3" t="s">
        <v>8</v>
      </c>
      <c r="F293" s="5" t="s">
        <v>9</v>
      </c>
      <c r="G293" s="5" t="s">
        <v>10</v>
      </c>
      <c r="H293" s="4" t="s">
        <v>11</v>
      </c>
      <c r="I293" s="3" t="s">
        <v>12</v>
      </c>
      <c r="J293" s="3" t="s">
        <v>13</v>
      </c>
      <c r="K293" s="3" t="s">
        <v>14</v>
      </c>
      <c r="L293" s="3" t="s">
        <v>15</v>
      </c>
      <c r="M293" s="3" t="s">
        <v>16</v>
      </c>
      <c r="N293" s="3" t="s">
        <v>17</v>
      </c>
      <c r="O293" s="3" t="s">
        <v>1</v>
      </c>
      <c r="P293" s="3" t="s">
        <v>18</v>
      </c>
      <c r="Q293" s="3" t="s">
        <v>19</v>
      </c>
      <c r="R293" s="3" t="s">
        <v>20</v>
      </c>
      <c r="S293" s="3" t="s">
        <v>21</v>
      </c>
    </row>
    <row r="294" spans="1:19" x14ac:dyDescent="0.25">
      <c r="A294" s="20">
        <v>40900</v>
      </c>
      <c r="B294" s="1" t="s">
        <v>103</v>
      </c>
      <c r="C294" s="1" t="s">
        <v>104</v>
      </c>
      <c r="D294" s="1" t="s">
        <v>105</v>
      </c>
      <c r="E294" s="1" t="s">
        <v>71</v>
      </c>
      <c r="F294" s="7">
        <f t="shared" ref="F294:F302" si="191">$J294/J$304</f>
        <v>4.0506329113924051E-2</v>
      </c>
      <c r="G294" s="7">
        <f t="shared" ref="G294:G302" si="192">$J294/J$57</f>
        <v>3.667188859080246E-4</v>
      </c>
      <c r="H294" s="8">
        <f t="shared" ref="H294:H303" si="193">$J294-$I294</f>
        <v>0</v>
      </c>
      <c r="I294" s="8">
        <f t="shared" ref="I294:J303" si="194">$M294+$N294</f>
        <v>3.2</v>
      </c>
      <c r="J294" s="8">
        <f t="shared" si="194"/>
        <v>3.2</v>
      </c>
      <c r="K294" s="8">
        <v>0.52</v>
      </c>
      <c r="L294" s="8">
        <v>2.68</v>
      </c>
      <c r="M294" s="8">
        <v>3.2</v>
      </c>
      <c r="N294" s="8"/>
      <c r="O294" s="8">
        <f t="shared" ref="O294:O302" si="195">$J294-($P294+$Q294)</f>
        <v>0</v>
      </c>
      <c r="P294" s="8">
        <v>3.2</v>
      </c>
      <c r="Q294" s="8"/>
      <c r="R294" s="9" t="str">
        <f t="shared" ref="R294:R303" si="196">IF(($M294+$P294)&gt;=$N294+$Q294,"",($O294/2)+$P294-$M294)</f>
        <v/>
      </c>
      <c r="S294" s="9">
        <f t="shared" ref="S294:S303" si="197">IF(($M294+$P294)&gt;=$N294+$Q294,($O294/2)+$Q294-$N294,"")</f>
        <v>0</v>
      </c>
    </row>
    <row r="295" spans="1:19" x14ac:dyDescent="0.25">
      <c r="A295" s="20">
        <v>40900</v>
      </c>
      <c r="B295" s="1" t="s">
        <v>103</v>
      </c>
      <c r="C295" s="1" t="s">
        <v>104</v>
      </c>
      <c r="D295" s="1" t="s">
        <v>105</v>
      </c>
      <c r="E295" s="1" t="s">
        <v>71</v>
      </c>
      <c r="F295" s="7">
        <f t="shared" si="191"/>
        <v>0.27088607594936709</v>
      </c>
      <c r="G295" s="7">
        <f t="shared" si="192"/>
        <v>2.4524325495099142E-3</v>
      </c>
      <c r="H295" s="8">
        <f t="shared" si="193"/>
        <v>0</v>
      </c>
      <c r="I295" s="8">
        <f t="shared" si="194"/>
        <v>21.4</v>
      </c>
      <c r="J295" s="8">
        <f t="shared" si="194"/>
        <v>21.4</v>
      </c>
      <c r="K295" s="8">
        <v>17.89</v>
      </c>
      <c r="L295" s="8">
        <v>3.51</v>
      </c>
      <c r="M295" s="8">
        <v>21.4</v>
      </c>
      <c r="N295" s="8"/>
      <c r="O295" s="8">
        <f t="shared" si="195"/>
        <v>0</v>
      </c>
      <c r="P295" s="8">
        <v>21.4</v>
      </c>
      <c r="Q295" s="8"/>
      <c r="R295" s="9" t="str">
        <f t="shared" si="196"/>
        <v/>
      </c>
      <c r="S295" s="9">
        <f t="shared" si="197"/>
        <v>0</v>
      </c>
    </row>
    <row r="296" spans="1:19" x14ac:dyDescent="0.25">
      <c r="A296" s="20">
        <v>40900</v>
      </c>
      <c r="B296" s="1" t="s">
        <v>106</v>
      </c>
      <c r="C296" s="1" t="s">
        <v>104</v>
      </c>
      <c r="D296" s="1" t="s">
        <v>105</v>
      </c>
      <c r="E296" s="1" t="s">
        <v>71</v>
      </c>
      <c r="F296" s="7">
        <f t="shared" si="191"/>
        <v>0.38734177215189874</v>
      </c>
      <c r="G296" s="7">
        <f t="shared" si="192"/>
        <v>3.5067493464954851E-3</v>
      </c>
      <c r="H296" s="8">
        <f t="shared" si="193"/>
        <v>0</v>
      </c>
      <c r="I296" s="8">
        <f t="shared" si="194"/>
        <v>30.6</v>
      </c>
      <c r="J296" s="8">
        <f t="shared" si="194"/>
        <v>30.6</v>
      </c>
      <c r="K296" s="8">
        <v>25.590000000000003</v>
      </c>
      <c r="L296" s="8">
        <v>5.01</v>
      </c>
      <c r="M296" s="8">
        <v>30.6</v>
      </c>
      <c r="N296" s="8"/>
      <c r="O296" s="8">
        <f t="shared" si="195"/>
        <v>0</v>
      </c>
      <c r="P296" s="8">
        <v>30.6</v>
      </c>
      <c r="Q296" s="8"/>
      <c r="R296" s="9" t="str">
        <f t="shared" si="196"/>
        <v/>
      </c>
      <c r="S296" s="9">
        <f t="shared" si="197"/>
        <v>0</v>
      </c>
    </row>
    <row r="297" spans="1:19" x14ac:dyDescent="0.25">
      <c r="A297" s="20">
        <v>40903</v>
      </c>
      <c r="B297" s="1" t="s">
        <v>107</v>
      </c>
      <c r="C297" s="1" t="s">
        <v>104</v>
      </c>
      <c r="D297" s="1" t="s">
        <v>108</v>
      </c>
      <c r="E297" s="1" t="s">
        <v>71</v>
      </c>
      <c r="F297" s="7">
        <f t="shared" si="191"/>
        <v>6.0759493670886074E-2</v>
      </c>
      <c r="G297" s="7">
        <f t="shared" si="192"/>
        <v>5.5007832886203685E-4</v>
      </c>
      <c r="H297" s="8">
        <f t="shared" si="193"/>
        <v>0</v>
      </c>
      <c r="I297" s="8">
        <f t="shared" si="194"/>
        <v>4.8</v>
      </c>
      <c r="J297" s="8">
        <f t="shared" si="194"/>
        <v>4.8</v>
      </c>
      <c r="K297" s="8"/>
      <c r="L297" s="8"/>
      <c r="M297" s="8">
        <v>4.8</v>
      </c>
      <c r="N297" s="8"/>
      <c r="O297" s="8">
        <f t="shared" si="195"/>
        <v>0</v>
      </c>
      <c r="P297" s="8">
        <v>4.8</v>
      </c>
      <c r="Q297" s="8"/>
      <c r="R297" s="9" t="str">
        <f t="shared" si="196"/>
        <v/>
      </c>
      <c r="S297" s="9">
        <f t="shared" si="197"/>
        <v>0</v>
      </c>
    </row>
    <row r="298" spans="1:19" x14ac:dyDescent="0.25">
      <c r="A298" s="20">
        <v>40903</v>
      </c>
      <c r="B298" s="1" t="s">
        <v>107</v>
      </c>
      <c r="C298" s="1" t="s">
        <v>104</v>
      </c>
      <c r="D298" s="1" t="s">
        <v>108</v>
      </c>
      <c r="E298" s="1" t="s">
        <v>71</v>
      </c>
      <c r="F298" s="7">
        <f t="shared" si="191"/>
        <v>0.24050632911392406</v>
      </c>
      <c r="G298" s="7">
        <f t="shared" si="192"/>
        <v>2.177393385078896E-3</v>
      </c>
      <c r="H298" s="8">
        <f t="shared" si="193"/>
        <v>0</v>
      </c>
      <c r="I298" s="8">
        <f t="shared" si="194"/>
        <v>19</v>
      </c>
      <c r="J298" s="8">
        <f t="shared" si="194"/>
        <v>19</v>
      </c>
      <c r="K298" s="8"/>
      <c r="L298" s="8"/>
      <c r="M298" s="8">
        <v>19</v>
      </c>
      <c r="N298" s="8"/>
      <c r="O298" s="8">
        <f t="shared" si="195"/>
        <v>0</v>
      </c>
      <c r="P298" s="8">
        <v>19</v>
      </c>
      <c r="Q298" s="8"/>
      <c r="R298" s="9" t="str">
        <f t="shared" si="196"/>
        <v/>
      </c>
      <c r="S298" s="9">
        <f t="shared" si="197"/>
        <v>0</v>
      </c>
    </row>
    <row r="299" spans="1:19" x14ac:dyDescent="0.25">
      <c r="F299" s="7">
        <f t="shared" si="191"/>
        <v>0</v>
      </c>
      <c r="G299" s="7">
        <f t="shared" si="192"/>
        <v>0</v>
      </c>
      <c r="H299" s="8">
        <f t="shared" si="193"/>
        <v>0</v>
      </c>
      <c r="I299" s="8">
        <f t="shared" si="194"/>
        <v>0</v>
      </c>
      <c r="J299" s="8">
        <f t="shared" si="194"/>
        <v>0</v>
      </c>
      <c r="K299" s="8">
        <f t="shared" ref="K294:K303" ca="1" si="198">IF(($K299)&gt;=$N299+$M299,"",($L299-$M299-$N299))</f>
        <v>0</v>
      </c>
      <c r="L299" s="8">
        <f t="shared" ref="L295:L303" ca="1" si="199">M299+N299-K299</f>
        <v>0</v>
      </c>
      <c r="M299" s="8"/>
      <c r="N299" s="8"/>
      <c r="O299" s="8">
        <f t="shared" si="195"/>
        <v>0</v>
      </c>
      <c r="P299" s="8"/>
      <c r="Q299" s="8"/>
      <c r="R299" s="9" t="str">
        <f t="shared" si="196"/>
        <v/>
      </c>
      <c r="S299" s="9">
        <f t="shared" si="197"/>
        <v>0</v>
      </c>
    </row>
    <row r="300" spans="1:19" x14ac:dyDescent="0.25">
      <c r="F300" s="7">
        <f t="shared" si="191"/>
        <v>0</v>
      </c>
      <c r="G300" s="7">
        <f t="shared" si="192"/>
        <v>0</v>
      </c>
      <c r="H300" s="8">
        <f t="shared" si="193"/>
        <v>0</v>
      </c>
      <c r="I300" s="8">
        <f t="shared" si="194"/>
        <v>0</v>
      </c>
      <c r="J300" s="8">
        <f t="shared" si="194"/>
        <v>0</v>
      </c>
      <c r="K300" s="8">
        <f t="shared" ca="1" si="198"/>
        <v>0</v>
      </c>
      <c r="L300" s="8">
        <f t="shared" ca="1" si="199"/>
        <v>0</v>
      </c>
      <c r="M300" s="8"/>
      <c r="N300" s="8"/>
      <c r="O300" s="8">
        <f t="shared" si="195"/>
        <v>0</v>
      </c>
      <c r="P300" s="8"/>
      <c r="Q300" s="8"/>
      <c r="R300" s="9" t="str">
        <f t="shared" si="196"/>
        <v/>
      </c>
      <c r="S300" s="9">
        <f t="shared" si="197"/>
        <v>0</v>
      </c>
    </row>
    <row r="301" spans="1:19" x14ac:dyDescent="0.25">
      <c r="F301" s="7">
        <f t="shared" si="191"/>
        <v>0</v>
      </c>
      <c r="G301" s="7">
        <f t="shared" si="192"/>
        <v>0</v>
      </c>
      <c r="H301" s="8">
        <f t="shared" si="193"/>
        <v>0</v>
      </c>
      <c r="I301" s="8">
        <f t="shared" si="194"/>
        <v>0</v>
      </c>
      <c r="J301" s="8">
        <f t="shared" si="194"/>
        <v>0</v>
      </c>
      <c r="K301" s="8">
        <f t="shared" ca="1" si="198"/>
        <v>0</v>
      </c>
      <c r="L301" s="8">
        <f t="shared" ca="1" si="199"/>
        <v>0</v>
      </c>
      <c r="M301" s="8"/>
      <c r="N301" s="8"/>
      <c r="O301" s="8">
        <f t="shared" si="195"/>
        <v>0</v>
      </c>
      <c r="P301" s="8"/>
      <c r="Q301" s="8"/>
      <c r="R301" s="9" t="str">
        <f t="shared" si="196"/>
        <v/>
      </c>
      <c r="S301" s="9">
        <f t="shared" si="197"/>
        <v>0</v>
      </c>
    </row>
    <row r="302" spans="1:19" x14ac:dyDescent="0.25">
      <c r="F302" s="7">
        <f t="shared" si="191"/>
        <v>0</v>
      </c>
      <c r="G302" s="7">
        <f t="shared" si="192"/>
        <v>0</v>
      </c>
      <c r="H302" s="8">
        <f t="shared" si="193"/>
        <v>0</v>
      </c>
      <c r="I302" s="8">
        <f t="shared" si="194"/>
        <v>0</v>
      </c>
      <c r="J302" s="8">
        <f t="shared" si="194"/>
        <v>0</v>
      </c>
      <c r="K302" s="8">
        <f t="shared" ca="1" si="198"/>
        <v>0</v>
      </c>
      <c r="L302" s="8">
        <f t="shared" ca="1" si="199"/>
        <v>0</v>
      </c>
      <c r="M302" s="8"/>
      <c r="N302" s="8"/>
      <c r="O302" s="8">
        <f t="shared" si="195"/>
        <v>0</v>
      </c>
      <c r="P302" s="8"/>
      <c r="Q302" s="8"/>
      <c r="R302" s="9" t="str">
        <f t="shared" si="196"/>
        <v/>
      </c>
      <c r="S302" s="9">
        <f t="shared" si="197"/>
        <v>0</v>
      </c>
    </row>
    <row r="303" spans="1:19" x14ac:dyDescent="0.25">
      <c r="F303" s="7">
        <f t="shared" ref="F294:F303" si="200">$J303/J$304</f>
        <v>0</v>
      </c>
      <c r="G303" s="7">
        <f t="shared" ref="G294:G303" si="201">$J303/J$57</f>
        <v>0</v>
      </c>
      <c r="H303" s="8">
        <f t="shared" si="193"/>
        <v>0</v>
      </c>
      <c r="I303" s="8">
        <f t="shared" si="194"/>
        <v>0</v>
      </c>
      <c r="J303" s="8">
        <f t="shared" si="194"/>
        <v>0</v>
      </c>
      <c r="K303" s="8">
        <f t="shared" ca="1" si="198"/>
        <v>0</v>
      </c>
      <c r="L303" s="8">
        <f t="shared" ca="1" si="199"/>
        <v>0</v>
      </c>
      <c r="M303" s="8"/>
      <c r="N303" s="8"/>
      <c r="O303" s="8">
        <f>$J303-($P303+$Q303)</f>
        <v>0</v>
      </c>
      <c r="P303" s="8"/>
      <c r="Q303" s="8"/>
      <c r="R303" s="9" t="str">
        <f t="shared" si="196"/>
        <v/>
      </c>
      <c r="S303" s="9">
        <f t="shared" si="197"/>
        <v>0</v>
      </c>
    </row>
    <row r="304" spans="1:19" x14ac:dyDescent="0.25">
      <c r="B304" s="1">
        <f>SUMPRODUCT((B294:B303&lt;&gt;"")/COUNTIF(B294:B303,B294:B303&amp;""))</f>
        <v>3</v>
      </c>
      <c r="C304" s="1">
        <f>COUNTA(Tableau15926[Voyages])</f>
        <v>5</v>
      </c>
      <c r="D304" s="1">
        <f>COUNTA(Tableau15926[Nature des Dépenses])</f>
        <v>5</v>
      </c>
      <c r="F304" s="7">
        <f t="shared" ref="F304:S304" si="202">SUM(F294:F303)</f>
        <v>1</v>
      </c>
      <c r="G304" s="7">
        <f t="shared" si="202"/>
        <v>9.0533724958543563E-3</v>
      </c>
      <c r="H304" s="8">
        <f t="shared" si="202"/>
        <v>0</v>
      </c>
      <c r="I304" s="8">
        <f t="shared" si="202"/>
        <v>79</v>
      </c>
      <c r="J304" s="8">
        <f t="shared" si="202"/>
        <v>79</v>
      </c>
      <c r="K304" s="8">
        <f t="shared" ca="1" si="202"/>
        <v>0</v>
      </c>
      <c r="L304" s="8">
        <f t="shared" ca="1" si="202"/>
        <v>0</v>
      </c>
      <c r="M304" s="8">
        <f t="shared" si="202"/>
        <v>79</v>
      </c>
      <c r="N304" s="8">
        <f t="shared" si="202"/>
        <v>0</v>
      </c>
      <c r="O304" s="8">
        <f t="shared" si="202"/>
        <v>0</v>
      </c>
      <c r="P304" s="8">
        <f t="shared" si="202"/>
        <v>79</v>
      </c>
      <c r="Q304" s="8">
        <f t="shared" si="202"/>
        <v>0</v>
      </c>
      <c r="R304" s="8">
        <f t="shared" si="202"/>
        <v>0</v>
      </c>
      <c r="S304" s="8">
        <f t="shared" si="202"/>
        <v>0</v>
      </c>
    </row>
    <row r="305" spans="1:19" x14ac:dyDescent="0.25">
      <c r="F305" s="7"/>
      <c r="G305" s="7"/>
    </row>
    <row r="306" spans="1:19" x14ac:dyDescent="0.25">
      <c r="F306" s="7"/>
      <c r="G306" s="7"/>
    </row>
    <row r="307" spans="1:19" ht="15.75" thickBot="1" x14ac:dyDescent="0.3">
      <c r="F307" s="7"/>
      <c r="G307" s="7"/>
    </row>
    <row r="308" spans="1:19" ht="15.75" thickBot="1" x14ac:dyDescent="0.3">
      <c r="F308" s="7"/>
      <c r="G308" s="7"/>
      <c r="M308" s="23" t="s">
        <v>0</v>
      </c>
      <c r="N308" s="24"/>
      <c r="O308" s="2" t="s">
        <v>1</v>
      </c>
      <c r="P308" s="25" t="s">
        <v>2</v>
      </c>
      <c r="Q308" s="26"/>
      <c r="R308" s="23" t="s">
        <v>3</v>
      </c>
      <c r="S308" s="24"/>
    </row>
    <row r="309" spans="1:19" s="6" customFormat="1" ht="14.1" customHeight="1" x14ac:dyDescent="0.2">
      <c r="A309" s="21" t="s">
        <v>4</v>
      </c>
      <c r="B309" s="4" t="s">
        <v>5</v>
      </c>
      <c r="C309" s="17" t="s">
        <v>40</v>
      </c>
      <c r="D309" s="3" t="s">
        <v>7</v>
      </c>
      <c r="E309" s="3" t="s">
        <v>8</v>
      </c>
      <c r="F309" s="5" t="s">
        <v>9</v>
      </c>
      <c r="G309" s="5" t="s">
        <v>10</v>
      </c>
      <c r="H309" s="4" t="s">
        <v>11</v>
      </c>
      <c r="I309" s="3" t="s">
        <v>12</v>
      </c>
      <c r="J309" s="3" t="s">
        <v>13</v>
      </c>
      <c r="K309" s="3" t="s">
        <v>14</v>
      </c>
      <c r="L309" s="3" t="s">
        <v>15</v>
      </c>
      <c r="M309" s="3" t="s">
        <v>16</v>
      </c>
      <c r="N309" s="3" t="s">
        <v>17</v>
      </c>
      <c r="O309" s="3" t="s">
        <v>1</v>
      </c>
      <c r="P309" s="3" t="s">
        <v>18</v>
      </c>
      <c r="Q309" s="3" t="s">
        <v>19</v>
      </c>
      <c r="R309" s="3" t="s">
        <v>20</v>
      </c>
      <c r="S309" s="3" t="s">
        <v>21</v>
      </c>
    </row>
    <row r="310" spans="1:19" x14ac:dyDescent="0.25">
      <c r="F310" s="7" t="e">
        <f t="shared" ref="F310:F319" si="203">$J310/J$320</f>
        <v>#DIV/0!</v>
      </c>
      <c r="G310" s="7">
        <f t="shared" ref="G310:G319" si="204">$J310/J$57</f>
        <v>0</v>
      </c>
      <c r="H310" s="8">
        <f t="shared" ref="H310:H319" si="205">$J310-$I310</f>
        <v>0</v>
      </c>
      <c r="I310" s="8">
        <f t="shared" ref="I310:J319" si="206">$M310+$N310</f>
        <v>0</v>
      </c>
      <c r="J310" s="8">
        <f t="shared" si="206"/>
        <v>0</v>
      </c>
      <c r="K310" s="8">
        <f t="shared" ref="K310:K319" ca="1" si="207">IF(($K310)&gt;=$N310+$M310,"",($L310-$M310-$N310))</f>
        <v>0</v>
      </c>
      <c r="L310" s="8">
        <f ca="1">M310+N310-K310</f>
        <v>0</v>
      </c>
      <c r="M310" s="8"/>
      <c r="N310" s="8"/>
      <c r="O310" s="8">
        <f>$J310-($P310+$Q310)</f>
        <v>0</v>
      </c>
      <c r="P310" s="8"/>
      <c r="Q310" s="8"/>
      <c r="R310" s="9" t="str">
        <f>IF(($M310+$P310)&gt;=$N310+$Q310,"",($O310/2)+$P310-$M310)</f>
        <v/>
      </c>
      <c r="S310" s="9">
        <f>IF(($M310+$P310)&gt;=$N310+$Q310,($O310/2)+$Q310-$N310,"")</f>
        <v>0</v>
      </c>
    </row>
    <row r="311" spans="1:19" x14ac:dyDescent="0.25">
      <c r="F311" s="7" t="e">
        <f t="shared" si="203"/>
        <v>#DIV/0!</v>
      </c>
      <c r="G311" s="7">
        <f t="shared" si="204"/>
        <v>0</v>
      </c>
      <c r="H311" s="8">
        <f t="shared" si="205"/>
        <v>0</v>
      </c>
      <c r="I311" s="8">
        <f t="shared" si="206"/>
        <v>0</v>
      </c>
      <c r="J311" s="8">
        <f t="shared" si="206"/>
        <v>0</v>
      </c>
      <c r="K311" s="8">
        <f t="shared" ca="1" si="207"/>
        <v>0</v>
      </c>
      <c r="L311" s="8">
        <f t="shared" ref="L311:L319" ca="1" si="208">M311+N311-K311</f>
        <v>0</v>
      </c>
      <c r="M311" s="8"/>
      <c r="N311" s="8"/>
      <c r="O311" s="8">
        <f>$J311-($P311+$Q311)</f>
        <v>0</v>
      </c>
      <c r="P311" s="8"/>
      <c r="Q311" s="8"/>
      <c r="R311" s="9" t="str">
        <f t="shared" ref="R311:R319" si="209">IF(($M311+$P311)&gt;=$N311+$Q311,"",($O311/2)+$P311-$M311)</f>
        <v/>
      </c>
      <c r="S311" s="9">
        <f t="shared" ref="S311:S319" si="210">IF(($M311+$P311)&gt;=$N311+$Q311,($O311/2)+$Q311-$N311,"")</f>
        <v>0</v>
      </c>
    </row>
    <row r="312" spans="1:19" x14ac:dyDescent="0.25">
      <c r="F312" s="7" t="e">
        <f t="shared" si="203"/>
        <v>#DIV/0!</v>
      </c>
      <c r="G312" s="7">
        <f t="shared" si="204"/>
        <v>0</v>
      </c>
      <c r="H312" s="8">
        <f t="shared" si="205"/>
        <v>0</v>
      </c>
      <c r="I312" s="8">
        <f t="shared" si="206"/>
        <v>0</v>
      </c>
      <c r="J312" s="8">
        <f t="shared" si="206"/>
        <v>0</v>
      </c>
      <c r="K312" s="8">
        <f t="shared" ca="1" si="207"/>
        <v>0</v>
      </c>
      <c r="L312" s="8">
        <f t="shared" ca="1" si="208"/>
        <v>0</v>
      </c>
      <c r="M312" s="8"/>
      <c r="N312" s="8"/>
      <c r="O312" s="8">
        <f>$J312-($P312+$Q312)</f>
        <v>0</v>
      </c>
      <c r="P312" s="8"/>
      <c r="Q312" s="8"/>
      <c r="R312" s="9" t="str">
        <f t="shared" si="209"/>
        <v/>
      </c>
      <c r="S312" s="9">
        <f t="shared" si="210"/>
        <v>0</v>
      </c>
    </row>
    <row r="313" spans="1:19" x14ac:dyDescent="0.25">
      <c r="F313" s="7" t="e">
        <f t="shared" si="203"/>
        <v>#DIV/0!</v>
      </c>
      <c r="G313" s="7">
        <f t="shared" si="204"/>
        <v>0</v>
      </c>
      <c r="H313" s="8">
        <f t="shared" si="205"/>
        <v>0</v>
      </c>
      <c r="I313" s="8">
        <f t="shared" si="206"/>
        <v>0</v>
      </c>
      <c r="J313" s="8">
        <f t="shared" si="206"/>
        <v>0</v>
      </c>
      <c r="K313" s="8">
        <f t="shared" ca="1" si="207"/>
        <v>0</v>
      </c>
      <c r="L313" s="8">
        <f t="shared" ca="1" si="208"/>
        <v>0</v>
      </c>
      <c r="M313" s="8"/>
      <c r="N313" s="8"/>
      <c r="O313" s="8">
        <f>$J313-($P313+$Q313)</f>
        <v>0</v>
      </c>
      <c r="P313" s="8"/>
      <c r="Q313" s="8"/>
      <c r="R313" s="9" t="str">
        <f t="shared" si="209"/>
        <v/>
      </c>
      <c r="S313" s="9">
        <f t="shared" si="210"/>
        <v>0</v>
      </c>
    </row>
    <row r="314" spans="1:19" x14ac:dyDescent="0.25">
      <c r="F314" s="7" t="e">
        <f t="shared" si="203"/>
        <v>#DIV/0!</v>
      </c>
      <c r="G314" s="7">
        <f t="shared" si="204"/>
        <v>0</v>
      </c>
      <c r="H314" s="8">
        <f t="shared" si="205"/>
        <v>0</v>
      </c>
      <c r="I314" s="8">
        <f t="shared" si="206"/>
        <v>0</v>
      </c>
      <c r="J314" s="8">
        <f t="shared" si="206"/>
        <v>0</v>
      </c>
      <c r="K314" s="8">
        <f t="shared" ca="1" si="207"/>
        <v>0</v>
      </c>
      <c r="L314" s="8">
        <f t="shared" ca="1" si="208"/>
        <v>0</v>
      </c>
      <c r="M314" s="8"/>
      <c r="N314" s="8"/>
      <c r="O314" s="8">
        <f t="shared" ref="O314:O318" si="211">$J314-($P314+$Q314)</f>
        <v>0</v>
      </c>
      <c r="P314" s="8"/>
      <c r="Q314" s="8"/>
      <c r="R314" s="9" t="str">
        <f t="shared" si="209"/>
        <v/>
      </c>
      <c r="S314" s="9">
        <f t="shared" si="210"/>
        <v>0</v>
      </c>
    </row>
    <row r="315" spans="1:19" x14ac:dyDescent="0.25">
      <c r="F315" s="7" t="e">
        <f t="shared" si="203"/>
        <v>#DIV/0!</v>
      </c>
      <c r="G315" s="7">
        <f t="shared" si="204"/>
        <v>0</v>
      </c>
      <c r="H315" s="8">
        <f t="shared" si="205"/>
        <v>0</v>
      </c>
      <c r="I315" s="8">
        <f t="shared" si="206"/>
        <v>0</v>
      </c>
      <c r="J315" s="8">
        <f t="shared" si="206"/>
        <v>0</v>
      </c>
      <c r="K315" s="8">
        <f t="shared" ca="1" si="207"/>
        <v>0</v>
      </c>
      <c r="L315" s="8">
        <f t="shared" ca="1" si="208"/>
        <v>0</v>
      </c>
      <c r="M315" s="8"/>
      <c r="N315" s="8"/>
      <c r="O315" s="8">
        <f>$J315-($P315+$Q315)</f>
        <v>0</v>
      </c>
      <c r="P315" s="8"/>
      <c r="Q315" s="8"/>
      <c r="R315" s="9" t="str">
        <f t="shared" si="209"/>
        <v/>
      </c>
      <c r="S315" s="9">
        <f t="shared" si="210"/>
        <v>0</v>
      </c>
    </row>
    <row r="316" spans="1:19" x14ac:dyDescent="0.25">
      <c r="F316" s="7" t="e">
        <f t="shared" si="203"/>
        <v>#DIV/0!</v>
      </c>
      <c r="G316" s="7">
        <f t="shared" si="204"/>
        <v>0</v>
      </c>
      <c r="H316" s="8">
        <f t="shared" si="205"/>
        <v>0</v>
      </c>
      <c r="I316" s="8">
        <f t="shared" si="206"/>
        <v>0</v>
      </c>
      <c r="J316" s="8">
        <f t="shared" si="206"/>
        <v>0</v>
      </c>
      <c r="K316" s="8">
        <f t="shared" ca="1" si="207"/>
        <v>0</v>
      </c>
      <c r="L316" s="8">
        <f t="shared" ca="1" si="208"/>
        <v>0</v>
      </c>
      <c r="M316" s="8"/>
      <c r="N316" s="8"/>
      <c r="O316" s="8">
        <f t="shared" si="211"/>
        <v>0</v>
      </c>
      <c r="P316" s="8"/>
      <c r="Q316" s="8"/>
      <c r="R316" s="9" t="str">
        <f t="shared" si="209"/>
        <v/>
      </c>
      <c r="S316" s="9">
        <f t="shared" si="210"/>
        <v>0</v>
      </c>
    </row>
    <row r="317" spans="1:19" x14ac:dyDescent="0.25">
      <c r="F317" s="7" t="e">
        <f t="shared" si="203"/>
        <v>#DIV/0!</v>
      </c>
      <c r="G317" s="7">
        <f t="shared" si="204"/>
        <v>0</v>
      </c>
      <c r="H317" s="8">
        <f t="shared" si="205"/>
        <v>0</v>
      </c>
      <c r="I317" s="8">
        <f t="shared" si="206"/>
        <v>0</v>
      </c>
      <c r="J317" s="8">
        <f t="shared" si="206"/>
        <v>0</v>
      </c>
      <c r="K317" s="8">
        <f t="shared" ca="1" si="207"/>
        <v>0</v>
      </c>
      <c r="L317" s="8">
        <f t="shared" ca="1" si="208"/>
        <v>0</v>
      </c>
      <c r="M317" s="8"/>
      <c r="N317" s="8"/>
      <c r="O317" s="8">
        <f>$J317-($P317+$Q317)</f>
        <v>0</v>
      </c>
      <c r="P317" s="8"/>
      <c r="Q317" s="8"/>
      <c r="R317" s="9" t="str">
        <f t="shared" si="209"/>
        <v/>
      </c>
      <c r="S317" s="9">
        <f t="shared" si="210"/>
        <v>0</v>
      </c>
    </row>
    <row r="318" spans="1:19" x14ac:dyDescent="0.25">
      <c r="F318" s="7" t="e">
        <f t="shared" si="203"/>
        <v>#DIV/0!</v>
      </c>
      <c r="G318" s="7">
        <f t="shared" si="204"/>
        <v>0</v>
      </c>
      <c r="H318" s="8">
        <f t="shared" si="205"/>
        <v>0</v>
      </c>
      <c r="I318" s="8">
        <f t="shared" si="206"/>
        <v>0</v>
      </c>
      <c r="J318" s="8">
        <f t="shared" si="206"/>
        <v>0</v>
      </c>
      <c r="K318" s="8">
        <f t="shared" ca="1" si="207"/>
        <v>0</v>
      </c>
      <c r="L318" s="8">
        <f t="shared" ca="1" si="208"/>
        <v>0</v>
      </c>
      <c r="M318" s="8"/>
      <c r="N318" s="8"/>
      <c r="O318" s="8">
        <f t="shared" si="211"/>
        <v>0</v>
      </c>
      <c r="P318" s="8"/>
      <c r="Q318" s="8"/>
      <c r="R318" s="9" t="str">
        <f t="shared" si="209"/>
        <v/>
      </c>
      <c r="S318" s="9">
        <f t="shared" si="210"/>
        <v>0</v>
      </c>
    </row>
    <row r="319" spans="1:19" x14ac:dyDescent="0.25">
      <c r="F319" s="7" t="e">
        <f t="shared" si="203"/>
        <v>#DIV/0!</v>
      </c>
      <c r="G319" s="7">
        <f t="shared" si="204"/>
        <v>0</v>
      </c>
      <c r="H319" s="8">
        <f t="shared" si="205"/>
        <v>0</v>
      </c>
      <c r="I319" s="8">
        <f t="shared" si="206"/>
        <v>0</v>
      </c>
      <c r="J319" s="8">
        <f t="shared" si="206"/>
        <v>0</v>
      </c>
      <c r="K319" s="8">
        <f t="shared" ca="1" si="207"/>
        <v>0</v>
      </c>
      <c r="L319" s="8">
        <f t="shared" ca="1" si="208"/>
        <v>0</v>
      </c>
      <c r="M319" s="8"/>
      <c r="N319" s="8"/>
      <c r="O319" s="8">
        <f>$J319-($P319+$Q319)</f>
        <v>0</v>
      </c>
      <c r="P319" s="8"/>
      <c r="Q319" s="8"/>
      <c r="R319" s="9" t="str">
        <f t="shared" si="209"/>
        <v/>
      </c>
      <c r="S319" s="9">
        <f t="shared" si="210"/>
        <v>0</v>
      </c>
    </row>
    <row r="320" spans="1:19" x14ac:dyDescent="0.25">
      <c r="B320" s="1">
        <f>SUMPRODUCT((B310:B319&lt;&gt;"")/COUNTIF(B310:B319,B310:B319&amp;""))</f>
        <v>0</v>
      </c>
      <c r="C320" s="1">
        <f>COUNTA(Tableau15927[Moto])</f>
        <v>0</v>
      </c>
      <c r="D320" s="1">
        <f>COUNTA(Tableau15927[Nature des Dépenses])</f>
        <v>0</v>
      </c>
      <c r="F320" s="7" t="e">
        <f t="shared" ref="F320:S320" si="212">SUM(F310:F319)</f>
        <v>#DIV/0!</v>
      </c>
      <c r="G320" s="7">
        <f t="shared" si="212"/>
        <v>0</v>
      </c>
      <c r="H320" s="8">
        <f t="shared" si="212"/>
        <v>0</v>
      </c>
      <c r="I320" s="8">
        <f t="shared" si="212"/>
        <v>0</v>
      </c>
      <c r="J320" s="8">
        <f t="shared" si="212"/>
        <v>0</v>
      </c>
      <c r="K320" s="8">
        <f t="shared" ca="1" si="212"/>
        <v>0</v>
      </c>
      <c r="L320" s="8">
        <f t="shared" ca="1" si="212"/>
        <v>0</v>
      </c>
      <c r="M320" s="8">
        <f t="shared" si="212"/>
        <v>0</v>
      </c>
      <c r="N320" s="8">
        <f t="shared" si="212"/>
        <v>0</v>
      </c>
      <c r="O320" s="8">
        <f t="shared" si="212"/>
        <v>0</v>
      </c>
      <c r="P320" s="8">
        <f t="shared" si="212"/>
        <v>0</v>
      </c>
      <c r="Q320" s="8">
        <f t="shared" si="212"/>
        <v>0</v>
      </c>
      <c r="R320" s="8">
        <f t="shared" si="212"/>
        <v>0</v>
      </c>
      <c r="S320" s="8">
        <f t="shared" si="212"/>
        <v>0</v>
      </c>
    </row>
    <row r="321" spans="1:19" x14ac:dyDescent="0.25">
      <c r="F321" s="7"/>
      <c r="G321" s="7"/>
    </row>
    <row r="322" spans="1:19" x14ac:dyDescent="0.25">
      <c r="F322" s="7"/>
      <c r="G322" s="7"/>
    </row>
    <row r="323" spans="1:19" ht="15.75" thickBot="1" x14ac:dyDescent="0.3">
      <c r="F323" s="7"/>
      <c r="G323" s="7"/>
    </row>
    <row r="324" spans="1:19" ht="15.75" thickBot="1" x14ac:dyDescent="0.3">
      <c r="F324" s="7"/>
      <c r="G324" s="7"/>
      <c r="M324" s="23" t="s">
        <v>0</v>
      </c>
      <c r="N324" s="24"/>
      <c r="O324" s="2" t="s">
        <v>1</v>
      </c>
      <c r="P324" s="25" t="s">
        <v>2</v>
      </c>
      <c r="Q324" s="26"/>
      <c r="R324" s="23" t="s">
        <v>3</v>
      </c>
      <c r="S324" s="24"/>
    </row>
    <row r="325" spans="1:19" s="6" customFormat="1" ht="14.1" customHeight="1" x14ac:dyDescent="0.2">
      <c r="A325" s="21" t="s">
        <v>4</v>
      </c>
      <c r="B325" s="4" t="s">
        <v>5</v>
      </c>
      <c r="C325" s="17" t="s">
        <v>41</v>
      </c>
      <c r="D325" s="3" t="s">
        <v>7</v>
      </c>
      <c r="E325" s="3" t="s">
        <v>8</v>
      </c>
      <c r="F325" s="5" t="s">
        <v>9</v>
      </c>
      <c r="G325" s="5" t="s">
        <v>10</v>
      </c>
      <c r="H325" s="4" t="s">
        <v>11</v>
      </c>
      <c r="I325" s="3" t="s">
        <v>12</v>
      </c>
      <c r="J325" s="3" t="s">
        <v>13</v>
      </c>
      <c r="K325" s="3" t="s">
        <v>14</v>
      </c>
      <c r="L325" s="3" t="s">
        <v>15</v>
      </c>
      <c r="M325" s="3" t="s">
        <v>16</v>
      </c>
      <c r="N325" s="3" t="s">
        <v>17</v>
      </c>
      <c r="O325" s="3" t="s">
        <v>1</v>
      </c>
      <c r="P325" s="3" t="s">
        <v>18</v>
      </c>
      <c r="Q325" s="3" t="s">
        <v>19</v>
      </c>
      <c r="R325" s="3" t="s">
        <v>20</v>
      </c>
      <c r="S325" s="3" t="s">
        <v>21</v>
      </c>
    </row>
    <row r="326" spans="1:19" x14ac:dyDescent="0.25">
      <c r="A326" s="20">
        <v>40910</v>
      </c>
      <c r="B326" s="1" t="s">
        <v>109</v>
      </c>
      <c r="C326" s="1" t="s">
        <v>110</v>
      </c>
      <c r="D326" s="1" t="s">
        <v>111</v>
      </c>
      <c r="F326" s="7">
        <f t="shared" ref="F326:F334" si="213">$J326/J$336</f>
        <v>1</v>
      </c>
      <c r="G326" s="7">
        <f t="shared" ref="G326:G334" si="214">$J326/J$57</f>
        <v>6.8645191455908355E-4</v>
      </c>
      <c r="H326" s="8">
        <f t="shared" ref="H326:H335" si="215">$J326-$I326</f>
        <v>0</v>
      </c>
      <c r="I326" s="8">
        <f t="shared" ref="I326:J335" si="216">$M326+$N326</f>
        <v>5.99</v>
      </c>
      <c r="J326" s="8">
        <f t="shared" si="216"/>
        <v>5.99</v>
      </c>
      <c r="K326" s="8">
        <v>0.98000000000000043</v>
      </c>
      <c r="L326" s="8">
        <v>5.01</v>
      </c>
      <c r="M326" s="8">
        <v>5.99</v>
      </c>
      <c r="N326" s="8"/>
      <c r="O326" s="8">
        <f t="shared" ref="O326:O334" si="217">$J326-($P326+$Q326)</f>
        <v>0</v>
      </c>
      <c r="P326" s="8">
        <v>5.99</v>
      </c>
      <c r="Q326" s="8"/>
      <c r="R326" s="9" t="str">
        <f t="shared" ref="R326:R335" si="218">IF(($M326+$P326)&gt;=$N326+$Q326,"",($O326/2)+$P326-$M326)</f>
        <v/>
      </c>
      <c r="S326" s="9">
        <f t="shared" ref="S326:S335" si="219">IF(($M326+$P326)&gt;=$N326+$Q326,($O326/2)+$Q326-$N326,"")</f>
        <v>0</v>
      </c>
    </row>
    <row r="327" spans="1:19" x14ac:dyDescent="0.25">
      <c r="F327" s="7">
        <f t="shared" si="213"/>
        <v>0</v>
      </c>
      <c r="G327" s="7">
        <f t="shared" si="214"/>
        <v>0</v>
      </c>
      <c r="H327" s="8">
        <f t="shared" si="215"/>
        <v>0</v>
      </c>
      <c r="I327" s="8">
        <f t="shared" si="216"/>
        <v>0</v>
      </c>
      <c r="J327" s="8">
        <f t="shared" si="216"/>
        <v>0</v>
      </c>
      <c r="K327" s="8">
        <f t="shared" ref="K326:K335" ca="1" si="220">IF(($K327)&gt;=$N327+$M327,"",($L327-$M327-$N327))</f>
        <v>0</v>
      </c>
      <c r="L327" s="8">
        <f t="shared" ref="L327:L335" ca="1" si="221">M327+N327-K327</f>
        <v>0</v>
      </c>
      <c r="M327" s="8"/>
      <c r="N327" s="8"/>
      <c r="O327" s="8">
        <f t="shared" si="217"/>
        <v>0</v>
      </c>
      <c r="P327" s="8"/>
      <c r="Q327" s="8"/>
      <c r="R327" s="9" t="str">
        <f t="shared" si="218"/>
        <v/>
      </c>
      <c r="S327" s="9">
        <f t="shared" si="219"/>
        <v>0</v>
      </c>
    </row>
    <row r="328" spans="1:19" x14ac:dyDescent="0.25">
      <c r="F328" s="7">
        <f t="shared" si="213"/>
        <v>0</v>
      </c>
      <c r="G328" s="7">
        <f t="shared" si="214"/>
        <v>0</v>
      </c>
      <c r="H328" s="8">
        <f t="shared" si="215"/>
        <v>0</v>
      </c>
      <c r="I328" s="8">
        <f t="shared" si="216"/>
        <v>0</v>
      </c>
      <c r="J328" s="8">
        <f t="shared" si="216"/>
        <v>0</v>
      </c>
      <c r="K328" s="8">
        <f t="shared" ca="1" si="220"/>
        <v>0</v>
      </c>
      <c r="L328" s="8">
        <f t="shared" ca="1" si="221"/>
        <v>0</v>
      </c>
      <c r="M328" s="8"/>
      <c r="N328" s="8"/>
      <c r="O328" s="8">
        <f t="shared" si="217"/>
        <v>0</v>
      </c>
      <c r="P328" s="8"/>
      <c r="Q328" s="8"/>
      <c r="R328" s="9" t="str">
        <f t="shared" si="218"/>
        <v/>
      </c>
      <c r="S328" s="9">
        <f t="shared" si="219"/>
        <v>0</v>
      </c>
    </row>
    <row r="329" spans="1:19" x14ac:dyDescent="0.25">
      <c r="F329" s="7">
        <f t="shared" si="213"/>
        <v>0</v>
      </c>
      <c r="G329" s="7">
        <f t="shared" si="214"/>
        <v>0</v>
      </c>
      <c r="H329" s="8">
        <f t="shared" si="215"/>
        <v>0</v>
      </c>
      <c r="I329" s="8">
        <f t="shared" si="216"/>
        <v>0</v>
      </c>
      <c r="J329" s="8">
        <f t="shared" si="216"/>
        <v>0</v>
      </c>
      <c r="K329" s="8">
        <f t="shared" ca="1" si="220"/>
        <v>0</v>
      </c>
      <c r="L329" s="8">
        <f t="shared" ca="1" si="221"/>
        <v>0</v>
      </c>
      <c r="M329" s="8"/>
      <c r="N329" s="8"/>
      <c r="O329" s="8">
        <f t="shared" si="217"/>
        <v>0</v>
      </c>
      <c r="P329" s="8"/>
      <c r="Q329" s="8"/>
      <c r="R329" s="9" t="str">
        <f t="shared" si="218"/>
        <v/>
      </c>
      <c r="S329" s="9">
        <f t="shared" si="219"/>
        <v>0</v>
      </c>
    </row>
    <row r="330" spans="1:19" x14ac:dyDescent="0.25">
      <c r="F330" s="7">
        <f t="shared" si="213"/>
        <v>0</v>
      </c>
      <c r="G330" s="7">
        <f t="shared" si="214"/>
        <v>0</v>
      </c>
      <c r="H330" s="8">
        <f t="shared" si="215"/>
        <v>0</v>
      </c>
      <c r="I330" s="8">
        <f t="shared" si="216"/>
        <v>0</v>
      </c>
      <c r="J330" s="8">
        <f t="shared" si="216"/>
        <v>0</v>
      </c>
      <c r="K330" s="8">
        <f t="shared" ca="1" si="220"/>
        <v>0</v>
      </c>
      <c r="L330" s="8">
        <f t="shared" ca="1" si="221"/>
        <v>0</v>
      </c>
      <c r="M330" s="8"/>
      <c r="N330" s="8"/>
      <c r="O330" s="8">
        <f t="shared" si="217"/>
        <v>0</v>
      </c>
      <c r="P330" s="8"/>
      <c r="Q330" s="8"/>
      <c r="R330" s="9" t="str">
        <f t="shared" si="218"/>
        <v/>
      </c>
      <c r="S330" s="9">
        <f t="shared" si="219"/>
        <v>0</v>
      </c>
    </row>
    <row r="331" spans="1:19" x14ac:dyDescent="0.25">
      <c r="F331" s="7">
        <f t="shared" si="213"/>
        <v>0</v>
      </c>
      <c r="G331" s="7">
        <f t="shared" si="214"/>
        <v>0</v>
      </c>
      <c r="H331" s="8">
        <f t="shared" si="215"/>
        <v>0</v>
      </c>
      <c r="I331" s="8">
        <f t="shared" si="216"/>
        <v>0</v>
      </c>
      <c r="J331" s="8">
        <f t="shared" si="216"/>
        <v>0</v>
      </c>
      <c r="K331" s="8">
        <f t="shared" ca="1" si="220"/>
        <v>0</v>
      </c>
      <c r="L331" s="8">
        <f t="shared" ca="1" si="221"/>
        <v>0</v>
      </c>
      <c r="M331" s="8"/>
      <c r="N331" s="8"/>
      <c r="O331" s="8">
        <f t="shared" si="217"/>
        <v>0</v>
      </c>
      <c r="P331" s="8"/>
      <c r="Q331" s="8"/>
      <c r="R331" s="9" t="str">
        <f t="shared" si="218"/>
        <v/>
      </c>
      <c r="S331" s="9">
        <f t="shared" si="219"/>
        <v>0</v>
      </c>
    </row>
    <row r="332" spans="1:19" x14ac:dyDescent="0.25">
      <c r="F332" s="7">
        <f t="shared" si="213"/>
        <v>0</v>
      </c>
      <c r="G332" s="7">
        <f t="shared" si="214"/>
        <v>0</v>
      </c>
      <c r="H332" s="8">
        <f t="shared" si="215"/>
        <v>0</v>
      </c>
      <c r="I332" s="8">
        <f t="shared" si="216"/>
        <v>0</v>
      </c>
      <c r="J332" s="8">
        <f t="shared" si="216"/>
        <v>0</v>
      </c>
      <c r="K332" s="8">
        <f t="shared" ca="1" si="220"/>
        <v>0</v>
      </c>
      <c r="L332" s="8">
        <f t="shared" ca="1" si="221"/>
        <v>0</v>
      </c>
      <c r="M332" s="8"/>
      <c r="N332" s="8"/>
      <c r="O332" s="8">
        <f t="shared" si="217"/>
        <v>0</v>
      </c>
      <c r="P332" s="8"/>
      <c r="Q332" s="8"/>
      <c r="R332" s="9" t="str">
        <f t="shared" si="218"/>
        <v/>
      </c>
      <c r="S332" s="9">
        <f t="shared" si="219"/>
        <v>0</v>
      </c>
    </row>
    <row r="333" spans="1:19" x14ac:dyDescent="0.25">
      <c r="F333" s="7">
        <f t="shared" si="213"/>
        <v>0</v>
      </c>
      <c r="G333" s="7">
        <f t="shared" si="214"/>
        <v>0</v>
      </c>
      <c r="H333" s="8">
        <f t="shared" si="215"/>
        <v>0</v>
      </c>
      <c r="I333" s="8">
        <f t="shared" si="216"/>
        <v>0</v>
      </c>
      <c r="J333" s="8">
        <f t="shared" si="216"/>
        <v>0</v>
      </c>
      <c r="K333" s="8">
        <f t="shared" ca="1" si="220"/>
        <v>0</v>
      </c>
      <c r="L333" s="8">
        <f t="shared" ca="1" si="221"/>
        <v>0</v>
      </c>
      <c r="M333" s="8"/>
      <c r="N333" s="8"/>
      <c r="O333" s="8">
        <f t="shared" si="217"/>
        <v>0</v>
      </c>
      <c r="P333" s="8"/>
      <c r="Q333" s="8"/>
      <c r="R333" s="9" t="str">
        <f t="shared" si="218"/>
        <v/>
      </c>
      <c r="S333" s="9">
        <f t="shared" si="219"/>
        <v>0</v>
      </c>
    </row>
    <row r="334" spans="1:19" x14ac:dyDescent="0.25">
      <c r="F334" s="7">
        <f t="shared" si="213"/>
        <v>0</v>
      </c>
      <c r="G334" s="7">
        <f t="shared" si="214"/>
        <v>0</v>
      </c>
      <c r="H334" s="8">
        <f t="shared" si="215"/>
        <v>0</v>
      </c>
      <c r="I334" s="8">
        <f t="shared" si="216"/>
        <v>0</v>
      </c>
      <c r="J334" s="8">
        <f t="shared" si="216"/>
        <v>0</v>
      </c>
      <c r="K334" s="8">
        <f t="shared" ca="1" si="220"/>
        <v>0</v>
      </c>
      <c r="L334" s="8">
        <f t="shared" ca="1" si="221"/>
        <v>0</v>
      </c>
      <c r="M334" s="8"/>
      <c r="N334" s="8"/>
      <c r="O334" s="8">
        <f t="shared" si="217"/>
        <v>0</v>
      </c>
      <c r="P334" s="8"/>
      <c r="Q334" s="8"/>
      <c r="R334" s="9" t="str">
        <f t="shared" si="218"/>
        <v/>
      </c>
      <c r="S334" s="9">
        <f t="shared" si="219"/>
        <v>0</v>
      </c>
    </row>
    <row r="335" spans="1:19" x14ac:dyDescent="0.25">
      <c r="F335" s="7">
        <f t="shared" ref="F326:F335" si="222">$J335/J$336</f>
        <v>0</v>
      </c>
      <c r="G335" s="7">
        <f t="shared" ref="G326:G335" si="223">$J335/J$57</f>
        <v>0</v>
      </c>
      <c r="H335" s="8">
        <f t="shared" si="215"/>
        <v>0</v>
      </c>
      <c r="I335" s="8">
        <f t="shared" si="216"/>
        <v>0</v>
      </c>
      <c r="J335" s="8">
        <f t="shared" si="216"/>
        <v>0</v>
      </c>
      <c r="K335" s="8">
        <f t="shared" ca="1" si="220"/>
        <v>0</v>
      </c>
      <c r="L335" s="8">
        <f t="shared" ca="1" si="221"/>
        <v>0</v>
      </c>
      <c r="M335" s="8"/>
      <c r="N335" s="8"/>
      <c r="O335" s="8">
        <f>$J335-($P335+$Q335)</f>
        <v>0</v>
      </c>
      <c r="P335" s="8"/>
      <c r="Q335" s="8"/>
      <c r="R335" s="9" t="str">
        <f t="shared" si="218"/>
        <v/>
      </c>
      <c r="S335" s="9">
        <f t="shared" si="219"/>
        <v>0</v>
      </c>
    </row>
    <row r="336" spans="1:19" x14ac:dyDescent="0.25">
      <c r="B336" s="1">
        <f>SUMPRODUCT((B326:B335&lt;&gt;"")/COUNTIF(B326:B335,B326:B335&amp;""))</f>
        <v>1</v>
      </c>
      <c r="C336" s="1">
        <f>COUNTA(Tableau15929[Cadeaux])</f>
        <v>1</v>
      </c>
      <c r="D336" s="1">
        <f>COUNTA(Tableau15929[Nature des Dépenses])</f>
        <v>1</v>
      </c>
      <c r="F336" s="7">
        <f t="shared" ref="F336:S336" si="224">SUM(F326:F335)</f>
        <v>1</v>
      </c>
      <c r="G336" s="7">
        <f t="shared" si="224"/>
        <v>6.8645191455908355E-4</v>
      </c>
      <c r="H336" s="8">
        <f t="shared" si="224"/>
        <v>0</v>
      </c>
      <c r="I336" s="8">
        <f t="shared" si="224"/>
        <v>5.99</v>
      </c>
      <c r="J336" s="8">
        <f t="shared" si="224"/>
        <v>5.99</v>
      </c>
      <c r="K336" s="8">
        <f t="shared" ca="1" si="224"/>
        <v>0</v>
      </c>
      <c r="L336" s="8">
        <f t="shared" ca="1" si="224"/>
        <v>0</v>
      </c>
      <c r="M336" s="8">
        <f t="shared" si="224"/>
        <v>5.99</v>
      </c>
      <c r="N336" s="8">
        <f t="shared" si="224"/>
        <v>0</v>
      </c>
      <c r="O336" s="8">
        <f t="shared" si="224"/>
        <v>0</v>
      </c>
      <c r="P336" s="8">
        <f t="shared" si="224"/>
        <v>5.99</v>
      </c>
      <c r="Q336" s="8">
        <f t="shared" si="224"/>
        <v>0</v>
      </c>
      <c r="R336" s="8">
        <f t="shared" si="224"/>
        <v>0</v>
      </c>
      <c r="S336" s="8">
        <f t="shared" si="224"/>
        <v>0</v>
      </c>
    </row>
    <row r="337" spans="1:19" x14ac:dyDescent="0.25">
      <c r="F337" s="7"/>
      <c r="G337" s="7"/>
    </row>
    <row r="338" spans="1:19" x14ac:dyDescent="0.25">
      <c r="F338" s="7"/>
      <c r="G338" s="7"/>
    </row>
    <row r="339" spans="1:19" ht="15.75" thickBot="1" x14ac:dyDescent="0.3">
      <c r="F339" s="7"/>
      <c r="G339" s="7"/>
    </row>
    <row r="340" spans="1:19" ht="15.75" thickBot="1" x14ac:dyDescent="0.3">
      <c r="F340" s="7"/>
      <c r="G340" s="7"/>
      <c r="M340" s="23" t="s">
        <v>0</v>
      </c>
      <c r="N340" s="24"/>
      <c r="O340" s="2" t="s">
        <v>1</v>
      </c>
      <c r="P340" s="25" t="s">
        <v>2</v>
      </c>
      <c r="Q340" s="26"/>
      <c r="R340" s="23" t="s">
        <v>3</v>
      </c>
      <c r="S340" s="24"/>
    </row>
    <row r="341" spans="1:19" s="6" customFormat="1" ht="14.1" customHeight="1" x14ac:dyDescent="0.2">
      <c r="A341" s="21" t="s">
        <v>4</v>
      </c>
      <c r="B341" s="4" t="s">
        <v>5</v>
      </c>
      <c r="C341" s="18" t="s">
        <v>42</v>
      </c>
      <c r="D341" s="3" t="s">
        <v>7</v>
      </c>
      <c r="E341" s="3" t="s">
        <v>8</v>
      </c>
      <c r="F341" s="5" t="s">
        <v>9</v>
      </c>
      <c r="G341" s="5" t="s">
        <v>10</v>
      </c>
      <c r="H341" s="4" t="s">
        <v>11</v>
      </c>
      <c r="I341" s="3" t="s">
        <v>12</v>
      </c>
      <c r="J341" s="3" t="s">
        <v>13</v>
      </c>
      <c r="K341" s="3" t="s">
        <v>14</v>
      </c>
      <c r="L341" s="3" t="s">
        <v>15</v>
      </c>
      <c r="M341" s="3" t="s">
        <v>16</v>
      </c>
      <c r="N341" s="3" t="s">
        <v>17</v>
      </c>
      <c r="O341" s="3" t="s">
        <v>1</v>
      </c>
      <c r="P341" s="3" t="s">
        <v>18</v>
      </c>
      <c r="Q341" s="3" t="s">
        <v>19</v>
      </c>
      <c r="R341" s="3" t="s">
        <v>20</v>
      </c>
      <c r="S341" s="3" t="s">
        <v>21</v>
      </c>
    </row>
    <row r="342" spans="1:19" x14ac:dyDescent="0.25">
      <c r="F342" s="7" t="e">
        <f t="shared" ref="F342:F351" si="225">$J342/J$352</f>
        <v>#DIV/0!</v>
      </c>
      <c r="G342" s="7">
        <f t="shared" ref="G342:G351" si="226">$J342/J$57</f>
        <v>0</v>
      </c>
      <c r="H342" s="8">
        <f t="shared" ref="H342:H351" si="227">$J342-$I342</f>
        <v>0</v>
      </c>
      <c r="I342" s="8">
        <f t="shared" ref="I342:J351" si="228">$M342+$N342</f>
        <v>0</v>
      </c>
      <c r="J342" s="8">
        <f t="shared" si="228"/>
        <v>0</v>
      </c>
      <c r="K342" s="8">
        <f t="shared" ref="K342:K351" ca="1" si="229">IF(($K342)&gt;=$N342+$M342,"",($L342-$M342-$N342))</f>
        <v>0</v>
      </c>
      <c r="L342" s="8">
        <f ca="1">M342+N342-K342</f>
        <v>0</v>
      </c>
      <c r="M342" s="8"/>
      <c r="N342" s="8"/>
      <c r="O342" s="8">
        <f>$J342-($P342+$Q342)</f>
        <v>0</v>
      </c>
      <c r="P342" s="8"/>
      <c r="Q342" s="8"/>
      <c r="R342" s="9" t="str">
        <f>IF(($M342+$P342)&gt;=$N342+$Q342,"",($O342/2)+$P342-$M342)</f>
        <v/>
      </c>
      <c r="S342" s="9">
        <f>IF(($M342+$P342)&gt;=$N342+$Q342,($O342/2)+$Q342-$N342,"")</f>
        <v>0</v>
      </c>
    </row>
    <row r="343" spans="1:19" x14ac:dyDescent="0.25">
      <c r="F343" s="7" t="e">
        <f t="shared" si="225"/>
        <v>#DIV/0!</v>
      </c>
      <c r="G343" s="7">
        <f t="shared" si="226"/>
        <v>0</v>
      </c>
      <c r="H343" s="8">
        <f t="shared" si="227"/>
        <v>0</v>
      </c>
      <c r="I343" s="8">
        <f t="shared" si="228"/>
        <v>0</v>
      </c>
      <c r="J343" s="8">
        <f t="shared" si="228"/>
        <v>0</v>
      </c>
      <c r="K343" s="8">
        <f t="shared" ca="1" si="229"/>
        <v>0</v>
      </c>
      <c r="L343" s="8">
        <f t="shared" ref="L343:L351" ca="1" si="230">M343+N343-K343</f>
        <v>0</v>
      </c>
      <c r="M343" s="8"/>
      <c r="N343" s="8"/>
      <c r="O343" s="8">
        <f>$J343-($P343+$Q343)</f>
        <v>0</v>
      </c>
      <c r="P343" s="8"/>
      <c r="Q343" s="8"/>
      <c r="R343" s="9" t="str">
        <f t="shared" ref="R343:R351" si="231">IF(($M343+$P343)&gt;=$N343+$Q343,"",($O343/2)+$P343-$M343)</f>
        <v/>
      </c>
      <c r="S343" s="9">
        <f t="shared" ref="S343:S351" si="232">IF(($M343+$P343)&gt;=$N343+$Q343,($O343/2)+$Q343-$N343,"")</f>
        <v>0</v>
      </c>
    </row>
    <row r="344" spans="1:19" x14ac:dyDescent="0.25">
      <c r="F344" s="7" t="e">
        <f t="shared" si="225"/>
        <v>#DIV/0!</v>
      </c>
      <c r="G344" s="7">
        <f t="shared" si="226"/>
        <v>0</v>
      </c>
      <c r="H344" s="8">
        <f t="shared" si="227"/>
        <v>0</v>
      </c>
      <c r="I344" s="8">
        <f t="shared" si="228"/>
        <v>0</v>
      </c>
      <c r="J344" s="8">
        <f t="shared" si="228"/>
        <v>0</v>
      </c>
      <c r="K344" s="8">
        <f t="shared" ca="1" si="229"/>
        <v>0</v>
      </c>
      <c r="L344" s="8">
        <f t="shared" ca="1" si="230"/>
        <v>0</v>
      </c>
      <c r="M344" s="8"/>
      <c r="N344" s="8"/>
      <c r="O344" s="8">
        <f>$J344-($P344+$Q344)</f>
        <v>0</v>
      </c>
      <c r="P344" s="8"/>
      <c r="Q344" s="8"/>
      <c r="R344" s="9" t="str">
        <f t="shared" si="231"/>
        <v/>
      </c>
      <c r="S344" s="9">
        <f t="shared" si="232"/>
        <v>0</v>
      </c>
    </row>
    <row r="345" spans="1:19" x14ac:dyDescent="0.25">
      <c r="F345" s="7" t="e">
        <f t="shared" si="225"/>
        <v>#DIV/0!</v>
      </c>
      <c r="G345" s="7">
        <f t="shared" si="226"/>
        <v>0</v>
      </c>
      <c r="H345" s="8">
        <f t="shared" si="227"/>
        <v>0</v>
      </c>
      <c r="I345" s="8">
        <f t="shared" si="228"/>
        <v>0</v>
      </c>
      <c r="J345" s="8">
        <f t="shared" si="228"/>
        <v>0</v>
      </c>
      <c r="K345" s="8">
        <f t="shared" ca="1" si="229"/>
        <v>0</v>
      </c>
      <c r="L345" s="8">
        <f t="shared" ca="1" si="230"/>
        <v>0</v>
      </c>
      <c r="M345" s="8"/>
      <c r="N345" s="8"/>
      <c r="O345" s="8">
        <f>$J345-($P345+$Q345)</f>
        <v>0</v>
      </c>
      <c r="P345" s="8"/>
      <c r="Q345" s="8"/>
      <c r="R345" s="9" t="str">
        <f t="shared" si="231"/>
        <v/>
      </c>
      <c r="S345" s="9">
        <f t="shared" si="232"/>
        <v>0</v>
      </c>
    </row>
    <row r="346" spans="1:19" x14ac:dyDescent="0.25">
      <c r="F346" s="7" t="e">
        <f t="shared" si="225"/>
        <v>#DIV/0!</v>
      </c>
      <c r="G346" s="7">
        <f t="shared" si="226"/>
        <v>0</v>
      </c>
      <c r="H346" s="8">
        <f t="shared" si="227"/>
        <v>0</v>
      </c>
      <c r="I346" s="8">
        <f t="shared" si="228"/>
        <v>0</v>
      </c>
      <c r="J346" s="8">
        <f t="shared" si="228"/>
        <v>0</v>
      </c>
      <c r="K346" s="8">
        <f t="shared" ca="1" si="229"/>
        <v>0</v>
      </c>
      <c r="L346" s="8">
        <f t="shared" ca="1" si="230"/>
        <v>0</v>
      </c>
      <c r="M346" s="8"/>
      <c r="N346" s="8"/>
      <c r="O346" s="8">
        <f t="shared" ref="O346:O350" si="233">$J346-($P346+$Q346)</f>
        <v>0</v>
      </c>
      <c r="P346" s="8"/>
      <c r="Q346" s="8"/>
      <c r="R346" s="9" t="str">
        <f t="shared" si="231"/>
        <v/>
      </c>
      <c r="S346" s="9">
        <f t="shared" si="232"/>
        <v>0</v>
      </c>
    </row>
    <row r="347" spans="1:19" x14ac:dyDescent="0.25">
      <c r="F347" s="7" t="e">
        <f t="shared" si="225"/>
        <v>#DIV/0!</v>
      </c>
      <c r="G347" s="7">
        <f t="shared" si="226"/>
        <v>0</v>
      </c>
      <c r="H347" s="8">
        <f t="shared" si="227"/>
        <v>0</v>
      </c>
      <c r="I347" s="8">
        <f t="shared" si="228"/>
        <v>0</v>
      </c>
      <c r="J347" s="8">
        <f t="shared" si="228"/>
        <v>0</v>
      </c>
      <c r="K347" s="8">
        <f t="shared" ca="1" si="229"/>
        <v>0</v>
      </c>
      <c r="L347" s="8">
        <f t="shared" ca="1" si="230"/>
        <v>0</v>
      </c>
      <c r="M347" s="8"/>
      <c r="N347" s="8"/>
      <c r="O347" s="8">
        <f>$J347-($P347+$Q347)</f>
        <v>0</v>
      </c>
      <c r="P347" s="8"/>
      <c r="Q347" s="8"/>
      <c r="R347" s="9" t="str">
        <f t="shared" si="231"/>
        <v/>
      </c>
      <c r="S347" s="9">
        <f t="shared" si="232"/>
        <v>0</v>
      </c>
    </row>
    <row r="348" spans="1:19" x14ac:dyDescent="0.25">
      <c r="F348" s="7" t="e">
        <f t="shared" si="225"/>
        <v>#DIV/0!</v>
      </c>
      <c r="G348" s="7">
        <f t="shared" si="226"/>
        <v>0</v>
      </c>
      <c r="H348" s="8">
        <f t="shared" si="227"/>
        <v>0</v>
      </c>
      <c r="I348" s="8">
        <f t="shared" si="228"/>
        <v>0</v>
      </c>
      <c r="J348" s="8">
        <f t="shared" si="228"/>
        <v>0</v>
      </c>
      <c r="K348" s="8">
        <f t="shared" ca="1" si="229"/>
        <v>0</v>
      </c>
      <c r="L348" s="8">
        <f t="shared" ca="1" si="230"/>
        <v>0</v>
      </c>
      <c r="M348" s="8"/>
      <c r="N348" s="8"/>
      <c r="O348" s="8">
        <f t="shared" si="233"/>
        <v>0</v>
      </c>
      <c r="P348" s="8"/>
      <c r="Q348" s="8"/>
      <c r="R348" s="9" t="str">
        <f t="shared" si="231"/>
        <v/>
      </c>
      <c r="S348" s="9">
        <f t="shared" si="232"/>
        <v>0</v>
      </c>
    </row>
    <row r="349" spans="1:19" x14ac:dyDescent="0.25">
      <c r="F349" s="7" t="e">
        <f t="shared" si="225"/>
        <v>#DIV/0!</v>
      </c>
      <c r="G349" s="7">
        <f t="shared" si="226"/>
        <v>0</v>
      </c>
      <c r="H349" s="8">
        <f t="shared" si="227"/>
        <v>0</v>
      </c>
      <c r="I349" s="8">
        <f t="shared" si="228"/>
        <v>0</v>
      </c>
      <c r="J349" s="8">
        <f t="shared" si="228"/>
        <v>0</v>
      </c>
      <c r="K349" s="8">
        <f t="shared" ca="1" si="229"/>
        <v>0</v>
      </c>
      <c r="L349" s="8">
        <f t="shared" ca="1" si="230"/>
        <v>0</v>
      </c>
      <c r="M349" s="8"/>
      <c r="N349" s="8"/>
      <c r="O349" s="8">
        <f>$J349-($P349+$Q349)</f>
        <v>0</v>
      </c>
      <c r="P349" s="8"/>
      <c r="Q349" s="8"/>
      <c r="R349" s="9" t="str">
        <f t="shared" si="231"/>
        <v/>
      </c>
      <c r="S349" s="9">
        <f t="shared" si="232"/>
        <v>0</v>
      </c>
    </row>
    <row r="350" spans="1:19" x14ac:dyDescent="0.25">
      <c r="F350" s="7" t="e">
        <f t="shared" si="225"/>
        <v>#DIV/0!</v>
      </c>
      <c r="G350" s="7">
        <f t="shared" si="226"/>
        <v>0</v>
      </c>
      <c r="H350" s="8">
        <f t="shared" si="227"/>
        <v>0</v>
      </c>
      <c r="I350" s="8">
        <f t="shared" si="228"/>
        <v>0</v>
      </c>
      <c r="J350" s="8">
        <f t="shared" si="228"/>
        <v>0</v>
      </c>
      <c r="K350" s="8">
        <f t="shared" ca="1" si="229"/>
        <v>0</v>
      </c>
      <c r="L350" s="8">
        <f t="shared" ca="1" si="230"/>
        <v>0</v>
      </c>
      <c r="M350" s="8"/>
      <c r="N350" s="8"/>
      <c r="O350" s="8">
        <f t="shared" si="233"/>
        <v>0</v>
      </c>
      <c r="P350" s="8"/>
      <c r="Q350" s="8"/>
      <c r="R350" s="9" t="str">
        <f t="shared" si="231"/>
        <v/>
      </c>
      <c r="S350" s="9">
        <f t="shared" si="232"/>
        <v>0</v>
      </c>
    </row>
    <row r="351" spans="1:19" x14ac:dyDescent="0.25">
      <c r="F351" s="7" t="e">
        <f t="shared" si="225"/>
        <v>#DIV/0!</v>
      </c>
      <c r="G351" s="7">
        <f t="shared" si="226"/>
        <v>0</v>
      </c>
      <c r="H351" s="8">
        <f t="shared" si="227"/>
        <v>0</v>
      </c>
      <c r="I351" s="8">
        <f t="shared" si="228"/>
        <v>0</v>
      </c>
      <c r="J351" s="8">
        <f t="shared" si="228"/>
        <v>0</v>
      </c>
      <c r="K351" s="8">
        <f t="shared" ca="1" si="229"/>
        <v>0</v>
      </c>
      <c r="L351" s="8">
        <f t="shared" ca="1" si="230"/>
        <v>0</v>
      </c>
      <c r="M351" s="8"/>
      <c r="N351" s="8"/>
      <c r="O351" s="8">
        <f>$J351-($P351+$Q351)</f>
        <v>0</v>
      </c>
      <c r="P351" s="8"/>
      <c r="Q351" s="8"/>
      <c r="R351" s="9" t="str">
        <f t="shared" si="231"/>
        <v/>
      </c>
      <c r="S351" s="9">
        <f t="shared" si="232"/>
        <v>0</v>
      </c>
    </row>
    <row r="352" spans="1:19" x14ac:dyDescent="0.25">
      <c r="B352" s="1">
        <f>SUMPRODUCT((B342:B351&lt;&gt;"")/COUNTIF(B342:B351,B342:B351&amp;""))</f>
        <v>0</v>
      </c>
      <c r="C352" s="1">
        <f>COUNTA(Tableau15931[Soins Médicaux])</f>
        <v>0</v>
      </c>
      <c r="D352" s="1">
        <f>COUNTA(Tableau15931[Nature des Dépenses])</f>
        <v>0</v>
      </c>
      <c r="F352" s="7" t="e">
        <f t="shared" ref="F352:S352" si="234">SUM(F342:F351)</f>
        <v>#DIV/0!</v>
      </c>
      <c r="G352" s="7">
        <f t="shared" si="234"/>
        <v>0</v>
      </c>
      <c r="H352" s="8">
        <f t="shared" si="234"/>
        <v>0</v>
      </c>
      <c r="I352" s="8">
        <f t="shared" si="234"/>
        <v>0</v>
      </c>
      <c r="J352" s="8">
        <f t="shared" si="234"/>
        <v>0</v>
      </c>
      <c r="K352" s="8">
        <f t="shared" ca="1" si="234"/>
        <v>0</v>
      </c>
      <c r="L352" s="8">
        <f t="shared" ca="1" si="234"/>
        <v>0</v>
      </c>
      <c r="M352" s="8">
        <f t="shared" si="234"/>
        <v>0</v>
      </c>
      <c r="N352" s="8">
        <f t="shared" si="234"/>
        <v>0</v>
      </c>
      <c r="O352" s="8">
        <f t="shared" si="234"/>
        <v>0</v>
      </c>
      <c r="P352" s="8">
        <f t="shared" si="234"/>
        <v>0</v>
      </c>
      <c r="Q352" s="8">
        <f t="shared" si="234"/>
        <v>0</v>
      </c>
      <c r="R352" s="8">
        <f t="shared" si="234"/>
        <v>0</v>
      </c>
      <c r="S352" s="8">
        <f t="shared" si="234"/>
        <v>0</v>
      </c>
    </row>
    <row r="353" spans="1:19" x14ac:dyDescent="0.25">
      <c r="F353" s="7"/>
      <c r="G353" s="7"/>
    </row>
    <row r="354" spans="1:19" x14ac:dyDescent="0.25">
      <c r="F354" s="7"/>
      <c r="G354" s="7"/>
    </row>
    <row r="355" spans="1:19" ht="15.75" thickBot="1" x14ac:dyDescent="0.3">
      <c r="F355" s="7"/>
      <c r="G355" s="7"/>
    </row>
    <row r="356" spans="1:19" ht="15.75" thickBot="1" x14ac:dyDescent="0.3">
      <c r="F356" s="7"/>
      <c r="G356" s="7"/>
      <c r="M356" s="23" t="s">
        <v>0</v>
      </c>
      <c r="N356" s="24"/>
      <c r="O356" s="2" t="s">
        <v>1</v>
      </c>
      <c r="P356" s="25" t="s">
        <v>2</v>
      </c>
      <c r="Q356" s="26"/>
      <c r="R356" s="23" t="s">
        <v>3</v>
      </c>
      <c r="S356" s="24"/>
    </row>
    <row r="357" spans="1:19" s="6" customFormat="1" ht="14.1" customHeight="1" x14ac:dyDescent="0.2">
      <c r="A357" s="21" t="s">
        <v>4</v>
      </c>
      <c r="B357" s="4" t="s">
        <v>5</v>
      </c>
      <c r="C357" s="18" t="s">
        <v>43</v>
      </c>
      <c r="D357" s="3" t="s">
        <v>7</v>
      </c>
      <c r="E357" s="3" t="s">
        <v>8</v>
      </c>
      <c r="F357" s="5" t="s">
        <v>9</v>
      </c>
      <c r="G357" s="5" t="s">
        <v>10</v>
      </c>
      <c r="H357" s="4" t="s">
        <v>11</v>
      </c>
      <c r="I357" s="3" t="s">
        <v>12</v>
      </c>
      <c r="J357" s="3" t="s">
        <v>13</v>
      </c>
      <c r="K357" s="3" t="s">
        <v>14</v>
      </c>
      <c r="L357" s="3" t="s">
        <v>15</v>
      </c>
      <c r="M357" s="3" t="s">
        <v>16</v>
      </c>
      <c r="N357" s="3" t="s">
        <v>17</v>
      </c>
      <c r="O357" s="3" t="s">
        <v>1</v>
      </c>
      <c r="P357" s="3" t="s">
        <v>18</v>
      </c>
      <c r="Q357" s="3" t="s">
        <v>19</v>
      </c>
      <c r="R357" s="3" t="s">
        <v>20</v>
      </c>
      <c r="S357" s="3" t="s">
        <v>21</v>
      </c>
    </row>
    <row r="358" spans="1:19" x14ac:dyDescent="0.25">
      <c r="F358" s="7" t="e">
        <f t="shared" ref="F358:F367" si="235">$J358/J$368</f>
        <v>#DIV/0!</v>
      </c>
      <c r="G358" s="7">
        <f t="shared" ref="G358:G367" si="236">$J358/J$57</f>
        <v>0</v>
      </c>
      <c r="H358" s="8">
        <f t="shared" ref="H358:H367" si="237">$J358-$I358</f>
        <v>0</v>
      </c>
      <c r="I358" s="8">
        <f t="shared" ref="I358:J367" si="238">$M358+$N358</f>
        <v>0</v>
      </c>
      <c r="J358" s="8">
        <f t="shared" si="238"/>
        <v>0</v>
      </c>
      <c r="K358" s="8">
        <f t="shared" ref="K358:K367" ca="1" si="239">IF(($K358)&gt;=$N358+$M358,"",($L358-$M358-$N358))</f>
        <v>0</v>
      </c>
      <c r="L358" s="8">
        <f ca="1">M358+N358-K358</f>
        <v>0</v>
      </c>
      <c r="M358" s="8"/>
      <c r="N358" s="8"/>
      <c r="O358" s="8">
        <f>$J358-($P358+$Q358)</f>
        <v>0</v>
      </c>
      <c r="P358" s="8"/>
      <c r="Q358" s="8"/>
      <c r="R358" s="9" t="str">
        <f>IF(($M358+$P358)&gt;=$N358+$Q358,"",($O358/2)+$P358-$M358)</f>
        <v/>
      </c>
      <c r="S358" s="9">
        <f>IF(($M358+$P358)&gt;=$N358+$Q358,($O358/2)+$Q358-$N358,"")</f>
        <v>0</v>
      </c>
    </row>
    <row r="359" spans="1:19" x14ac:dyDescent="0.25">
      <c r="F359" s="7" t="e">
        <f t="shared" si="235"/>
        <v>#DIV/0!</v>
      </c>
      <c r="G359" s="7">
        <f t="shared" si="236"/>
        <v>0</v>
      </c>
      <c r="H359" s="8">
        <f t="shared" si="237"/>
        <v>0</v>
      </c>
      <c r="I359" s="8">
        <f t="shared" si="238"/>
        <v>0</v>
      </c>
      <c r="J359" s="8">
        <f t="shared" si="238"/>
        <v>0</v>
      </c>
      <c r="K359" s="8">
        <f t="shared" ca="1" si="239"/>
        <v>0</v>
      </c>
      <c r="L359" s="8">
        <f t="shared" ref="L359:L367" ca="1" si="240">M359+N359-K359</f>
        <v>0</v>
      </c>
      <c r="M359" s="8"/>
      <c r="N359" s="8"/>
      <c r="O359" s="8">
        <f>$J359-($P359+$Q359)</f>
        <v>0</v>
      </c>
      <c r="P359" s="8"/>
      <c r="Q359" s="8"/>
      <c r="R359" s="9" t="str">
        <f t="shared" ref="R359:R367" si="241">IF(($M359+$P359)&gt;=$N359+$Q359,"",($O359/2)+$P359-$M359)</f>
        <v/>
      </c>
      <c r="S359" s="9">
        <f t="shared" ref="S359:S367" si="242">IF(($M359+$P359)&gt;=$N359+$Q359,($O359/2)+$Q359-$N359,"")</f>
        <v>0</v>
      </c>
    </row>
    <row r="360" spans="1:19" x14ac:dyDescent="0.25">
      <c r="F360" s="7" t="e">
        <f t="shared" si="235"/>
        <v>#DIV/0!</v>
      </c>
      <c r="G360" s="7">
        <f t="shared" si="236"/>
        <v>0</v>
      </c>
      <c r="H360" s="8">
        <f t="shared" si="237"/>
        <v>0</v>
      </c>
      <c r="I360" s="8">
        <f t="shared" si="238"/>
        <v>0</v>
      </c>
      <c r="J360" s="8">
        <f t="shared" si="238"/>
        <v>0</v>
      </c>
      <c r="K360" s="8">
        <f t="shared" ca="1" si="239"/>
        <v>0</v>
      </c>
      <c r="L360" s="8">
        <f t="shared" ca="1" si="240"/>
        <v>0</v>
      </c>
      <c r="M360" s="8"/>
      <c r="N360" s="8"/>
      <c r="O360" s="8">
        <f>$J360-($P360+$Q360)</f>
        <v>0</v>
      </c>
      <c r="P360" s="8"/>
      <c r="Q360" s="8"/>
      <c r="R360" s="9" t="str">
        <f t="shared" si="241"/>
        <v/>
      </c>
      <c r="S360" s="9">
        <f t="shared" si="242"/>
        <v>0</v>
      </c>
    </row>
    <row r="361" spans="1:19" x14ac:dyDescent="0.25">
      <c r="F361" s="7" t="e">
        <f t="shared" si="235"/>
        <v>#DIV/0!</v>
      </c>
      <c r="G361" s="7">
        <f t="shared" si="236"/>
        <v>0</v>
      </c>
      <c r="H361" s="8">
        <f t="shared" si="237"/>
        <v>0</v>
      </c>
      <c r="I361" s="8">
        <f t="shared" si="238"/>
        <v>0</v>
      </c>
      <c r="J361" s="8">
        <f t="shared" si="238"/>
        <v>0</v>
      </c>
      <c r="K361" s="8">
        <f t="shared" ca="1" si="239"/>
        <v>0</v>
      </c>
      <c r="L361" s="8">
        <f t="shared" ca="1" si="240"/>
        <v>0</v>
      </c>
      <c r="M361" s="8"/>
      <c r="N361" s="8"/>
      <c r="O361" s="8">
        <f>$J361-($P361+$Q361)</f>
        <v>0</v>
      </c>
      <c r="P361" s="8"/>
      <c r="Q361" s="8"/>
      <c r="R361" s="9" t="str">
        <f t="shared" si="241"/>
        <v/>
      </c>
      <c r="S361" s="9">
        <f t="shared" si="242"/>
        <v>0</v>
      </c>
    </row>
    <row r="362" spans="1:19" x14ac:dyDescent="0.25">
      <c r="F362" s="7" t="e">
        <f t="shared" si="235"/>
        <v>#DIV/0!</v>
      </c>
      <c r="G362" s="7">
        <f t="shared" si="236"/>
        <v>0</v>
      </c>
      <c r="H362" s="8">
        <f t="shared" si="237"/>
        <v>0</v>
      </c>
      <c r="I362" s="8">
        <f t="shared" si="238"/>
        <v>0</v>
      </c>
      <c r="J362" s="8">
        <f t="shared" si="238"/>
        <v>0</v>
      </c>
      <c r="K362" s="8">
        <f t="shared" ca="1" si="239"/>
        <v>0</v>
      </c>
      <c r="L362" s="8">
        <f t="shared" ca="1" si="240"/>
        <v>0</v>
      </c>
      <c r="M362" s="8"/>
      <c r="N362" s="8"/>
      <c r="O362" s="8">
        <f t="shared" ref="O362:O366" si="243">$J362-($P362+$Q362)</f>
        <v>0</v>
      </c>
      <c r="P362" s="8"/>
      <c r="Q362" s="8"/>
      <c r="R362" s="9" t="str">
        <f t="shared" si="241"/>
        <v/>
      </c>
      <c r="S362" s="9">
        <f t="shared" si="242"/>
        <v>0</v>
      </c>
    </row>
    <row r="363" spans="1:19" x14ac:dyDescent="0.25">
      <c r="F363" s="7" t="e">
        <f t="shared" si="235"/>
        <v>#DIV/0!</v>
      </c>
      <c r="G363" s="7">
        <f t="shared" si="236"/>
        <v>0</v>
      </c>
      <c r="H363" s="8">
        <f t="shared" si="237"/>
        <v>0</v>
      </c>
      <c r="I363" s="8">
        <f t="shared" si="238"/>
        <v>0</v>
      </c>
      <c r="J363" s="8">
        <f t="shared" si="238"/>
        <v>0</v>
      </c>
      <c r="K363" s="8">
        <f t="shared" ca="1" si="239"/>
        <v>0</v>
      </c>
      <c r="L363" s="8">
        <f t="shared" ca="1" si="240"/>
        <v>0</v>
      </c>
      <c r="M363" s="8"/>
      <c r="N363" s="8"/>
      <c r="O363" s="8">
        <f>$J363-($P363+$Q363)</f>
        <v>0</v>
      </c>
      <c r="P363" s="8"/>
      <c r="Q363" s="8"/>
      <c r="R363" s="9" t="str">
        <f t="shared" si="241"/>
        <v/>
      </c>
      <c r="S363" s="9">
        <f t="shared" si="242"/>
        <v>0</v>
      </c>
    </row>
    <row r="364" spans="1:19" x14ac:dyDescent="0.25">
      <c r="F364" s="7" t="e">
        <f t="shared" si="235"/>
        <v>#DIV/0!</v>
      </c>
      <c r="G364" s="7">
        <f t="shared" si="236"/>
        <v>0</v>
      </c>
      <c r="H364" s="8">
        <f t="shared" si="237"/>
        <v>0</v>
      </c>
      <c r="I364" s="8">
        <f t="shared" si="238"/>
        <v>0</v>
      </c>
      <c r="J364" s="8">
        <f t="shared" si="238"/>
        <v>0</v>
      </c>
      <c r="K364" s="8">
        <f t="shared" ca="1" si="239"/>
        <v>0</v>
      </c>
      <c r="L364" s="8">
        <f t="shared" ca="1" si="240"/>
        <v>0</v>
      </c>
      <c r="M364" s="8"/>
      <c r="N364" s="8"/>
      <c r="O364" s="8">
        <f t="shared" si="243"/>
        <v>0</v>
      </c>
      <c r="P364" s="8"/>
      <c r="Q364" s="8"/>
      <c r="R364" s="9" t="str">
        <f t="shared" si="241"/>
        <v/>
      </c>
      <c r="S364" s="9">
        <f t="shared" si="242"/>
        <v>0</v>
      </c>
    </row>
    <row r="365" spans="1:19" x14ac:dyDescent="0.25">
      <c r="F365" s="7" t="e">
        <f t="shared" si="235"/>
        <v>#DIV/0!</v>
      </c>
      <c r="G365" s="7">
        <f t="shared" si="236"/>
        <v>0</v>
      </c>
      <c r="H365" s="8">
        <f t="shared" si="237"/>
        <v>0</v>
      </c>
      <c r="I365" s="8">
        <f t="shared" si="238"/>
        <v>0</v>
      </c>
      <c r="J365" s="8">
        <f t="shared" si="238"/>
        <v>0</v>
      </c>
      <c r="K365" s="8">
        <f t="shared" ca="1" si="239"/>
        <v>0</v>
      </c>
      <c r="L365" s="8">
        <f t="shared" ca="1" si="240"/>
        <v>0</v>
      </c>
      <c r="M365" s="8"/>
      <c r="N365" s="8"/>
      <c r="O365" s="8">
        <f>$J365-($P365+$Q365)</f>
        <v>0</v>
      </c>
      <c r="P365" s="8"/>
      <c r="Q365" s="8"/>
      <c r="R365" s="9" t="str">
        <f t="shared" si="241"/>
        <v/>
      </c>
      <c r="S365" s="9">
        <f t="shared" si="242"/>
        <v>0</v>
      </c>
    </row>
    <row r="366" spans="1:19" x14ac:dyDescent="0.25">
      <c r="F366" s="7" t="e">
        <f t="shared" si="235"/>
        <v>#DIV/0!</v>
      </c>
      <c r="G366" s="7">
        <f t="shared" si="236"/>
        <v>0</v>
      </c>
      <c r="H366" s="8">
        <f t="shared" si="237"/>
        <v>0</v>
      </c>
      <c r="I366" s="8">
        <f t="shared" si="238"/>
        <v>0</v>
      </c>
      <c r="J366" s="8">
        <f t="shared" si="238"/>
        <v>0</v>
      </c>
      <c r="K366" s="8">
        <f t="shared" ca="1" si="239"/>
        <v>0</v>
      </c>
      <c r="L366" s="8">
        <f t="shared" ca="1" si="240"/>
        <v>0</v>
      </c>
      <c r="M366" s="8"/>
      <c r="N366" s="8"/>
      <c r="O366" s="8">
        <f t="shared" si="243"/>
        <v>0</v>
      </c>
      <c r="P366" s="8"/>
      <c r="Q366" s="8"/>
      <c r="R366" s="9" t="str">
        <f t="shared" si="241"/>
        <v/>
      </c>
      <c r="S366" s="9">
        <f t="shared" si="242"/>
        <v>0</v>
      </c>
    </row>
    <row r="367" spans="1:19" x14ac:dyDescent="0.25">
      <c r="F367" s="7" t="e">
        <f t="shared" si="235"/>
        <v>#DIV/0!</v>
      </c>
      <c r="G367" s="7">
        <f t="shared" si="236"/>
        <v>0</v>
      </c>
      <c r="H367" s="8">
        <f t="shared" si="237"/>
        <v>0</v>
      </c>
      <c r="I367" s="8">
        <f t="shared" si="238"/>
        <v>0</v>
      </c>
      <c r="J367" s="8">
        <f t="shared" si="238"/>
        <v>0</v>
      </c>
      <c r="K367" s="8">
        <f t="shared" ca="1" si="239"/>
        <v>0</v>
      </c>
      <c r="L367" s="8">
        <f t="shared" ca="1" si="240"/>
        <v>0</v>
      </c>
      <c r="M367" s="8"/>
      <c r="N367" s="8"/>
      <c r="O367" s="8">
        <f>$J367-($P367+$Q367)</f>
        <v>0</v>
      </c>
      <c r="P367" s="8"/>
      <c r="Q367" s="8"/>
      <c r="R367" s="9" t="str">
        <f t="shared" si="241"/>
        <v/>
      </c>
      <c r="S367" s="9">
        <f t="shared" si="242"/>
        <v>0</v>
      </c>
    </row>
    <row r="368" spans="1:19" x14ac:dyDescent="0.25">
      <c r="B368" s="1">
        <f>SUMPRODUCT((B358:B367&lt;&gt;"")/COUNTIF(B358:B367,B358:B367&amp;""))</f>
        <v>0</v>
      </c>
      <c r="C368" s="1">
        <f>COUNTA(Tableau15933[Soins de la personne])</f>
        <v>0</v>
      </c>
      <c r="D368" s="1">
        <f>COUNTA(Tableau15933[Nature des Dépenses])</f>
        <v>0</v>
      </c>
      <c r="F368" s="7" t="e">
        <f t="shared" ref="F368:S368" si="244">SUM(F358:F367)</f>
        <v>#DIV/0!</v>
      </c>
      <c r="G368" s="7">
        <f t="shared" si="244"/>
        <v>0</v>
      </c>
      <c r="H368" s="8">
        <f t="shared" si="244"/>
        <v>0</v>
      </c>
      <c r="I368" s="8">
        <f t="shared" si="244"/>
        <v>0</v>
      </c>
      <c r="J368" s="8">
        <f t="shared" si="244"/>
        <v>0</v>
      </c>
      <c r="K368" s="8">
        <f t="shared" ca="1" si="244"/>
        <v>0</v>
      </c>
      <c r="L368" s="8">
        <f t="shared" ca="1" si="244"/>
        <v>0</v>
      </c>
      <c r="M368" s="8">
        <f t="shared" si="244"/>
        <v>0</v>
      </c>
      <c r="N368" s="8">
        <f t="shared" si="244"/>
        <v>0</v>
      </c>
      <c r="O368" s="8">
        <f t="shared" si="244"/>
        <v>0</v>
      </c>
      <c r="P368" s="8">
        <f t="shared" si="244"/>
        <v>0</v>
      </c>
      <c r="Q368" s="8">
        <f t="shared" si="244"/>
        <v>0</v>
      </c>
      <c r="R368" s="8">
        <f t="shared" si="244"/>
        <v>0</v>
      </c>
      <c r="S368" s="8">
        <f t="shared" si="244"/>
        <v>0</v>
      </c>
    </row>
    <row r="369" spans="1:19" x14ac:dyDescent="0.25">
      <c r="F369" s="7"/>
      <c r="G369" s="7"/>
    </row>
    <row r="370" spans="1:19" x14ac:dyDescent="0.25">
      <c r="F370" s="7"/>
      <c r="G370" s="7"/>
    </row>
    <row r="371" spans="1:19" ht="15.75" thickBot="1" x14ac:dyDescent="0.3">
      <c r="F371" s="7"/>
      <c r="G371" s="7"/>
    </row>
    <row r="372" spans="1:19" ht="15.75" thickBot="1" x14ac:dyDescent="0.3">
      <c r="F372" s="7"/>
      <c r="G372" s="7"/>
      <c r="M372" s="23" t="s">
        <v>0</v>
      </c>
      <c r="N372" s="24"/>
      <c r="O372" s="2" t="s">
        <v>1</v>
      </c>
      <c r="P372" s="25" t="s">
        <v>2</v>
      </c>
      <c r="Q372" s="26"/>
      <c r="R372" s="23" t="s">
        <v>3</v>
      </c>
      <c r="S372" s="24"/>
    </row>
    <row r="373" spans="1:19" s="6" customFormat="1" ht="14.1" customHeight="1" x14ac:dyDescent="0.2">
      <c r="A373" s="21" t="s">
        <v>4</v>
      </c>
      <c r="B373" s="4" t="s">
        <v>5</v>
      </c>
      <c r="C373" s="18" t="s">
        <v>44</v>
      </c>
      <c r="D373" s="3" t="s">
        <v>7</v>
      </c>
      <c r="E373" s="3" t="s">
        <v>8</v>
      </c>
      <c r="F373" s="5" t="s">
        <v>9</v>
      </c>
      <c r="G373" s="5" t="s">
        <v>10</v>
      </c>
      <c r="H373" s="4" t="s">
        <v>11</v>
      </c>
      <c r="I373" s="3" t="s">
        <v>12</v>
      </c>
      <c r="J373" s="3" t="s">
        <v>13</v>
      </c>
      <c r="K373" s="3" t="s">
        <v>14</v>
      </c>
      <c r="L373" s="3" t="s">
        <v>15</v>
      </c>
      <c r="M373" s="3" t="s">
        <v>16</v>
      </c>
      <c r="N373" s="3" t="s">
        <v>17</v>
      </c>
      <c r="O373" s="3" t="s">
        <v>1</v>
      </c>
      <c r="P373" s="3" t="s">
        <v>18</v>
      </c>
      <c r="Q373" s="3" t="s">
        <v>19</v>
      </c>
      <c r="R373" s="3" t="s">
        <v>20</v>
      </c>
      <c r="S373" s="3" t="s">
        <v>21</v>
      </c>
    </row>
    <row r="374" spans="1:19" x14ac:dyDescent="0.25">
      <c r="F374" s="7" t="e">
        <f t="shared" ref="F374:F383" si="245">$J374/J$384</f>
        <v>#DIV/0!</v>
      </c>
      <c r="G374" s="7">
        <f t="shared" ref="G374:G383" si="246">$J374/J$57</f>
        <v>0</v>
      </c>
      <c r="H374" s="8">
        <f t="shared" ref="H374:H383" si="247">$J374-$I374</f>
        <v>0</v>
      </c>
      <c r="I374" s="8">
        <f t="shared" ref="I374:J383" si="248">$M374+$N374</f>
        <v>0</v>
      </c>
      <c r="J374" s="8">
        <f t="shared" si="248"/>
        <v>0</v>
      </c>
      <c r="K374" s="8">
        <f t="shared" ref="K374:K383" ca="1" si="249">IF(($K374)&gt;=$N374+$M374,"",($L374-$M374-$N374))</f>
        <v>0</v>
      </c>
      <c r="L374" s="8">
        <f ca="1">M374+N374-K374</f>
        <v>0</v>
      </c>
      <c r="M374" s="8"/>
      <c r="N374" s="8"/>
      <c r="O374" s="8">
        <f>$J374-($P374+$Q374)</f>
        <v>0</v>
      </c>
      <c r="P374" s="8"/>
      <c r="Q374" s="8"/>
      <c r="R374" s="9" t="str">
        <f>IF(($M374+$P374)&gt;=$N374+$Q374,"",($O374/2)+$P374-$M374)</f>
        <v/>
      </c>
      <c r="S374" s="9">
        <f>IF(($M374+$P374)&gt;=$N374+$Q374,($O374/2)+$Q374-$N374,"")</f>
        <v>0</v>
      </c>
    </row>
    <row r="375" spans="1:19" x14ac:dyDescent="0.25">
      <c r="F375" s="7" t="e">
        <f t="shared" si="245"/>
        <v>#DIV/0!</v>
      </c>
      <c r="G375" s="7">
        <f t="shared" si="246"/>
        <v>0</v>
      </c>
      <c r="H375" s="8">
        <f t="shared" si="247"/>
        <v>0</v>
      </c>
      <c r="I375" s="8">
        <f t="shared" si="248"/>
        <v>0</v>
      </c>
      <c r="J375" s="8">
        <f t="shared" si="248"/>
        <v>0</v>
      </c>
      <c r="K375" s="8">
        <f t="shared" ca="1" si="249"/>
        <v>0</v>
      </c>
      <c r="L375" s="8">
        <f t="shared" ref="L375:L383" ca="1" si="250">M375+N375-K375</f>
        <v>0</v>
      </c>
      <c r="M375" s="8"/>
      <c r="N375" s="8"/>
      <c r="O375" s="8">
        <f>$J375-($P375+$Q375)</f>
        <v>0</v>
      </c>
      <c r="P375" s="8"/>
      <c r="Q375" s="8"/>
      <c r="R375" s="9" t="str">
        <f t="shared" ref="R375:R383" si="251">IF(($M375+$P375)&gt;=$N375+$Q375,"",($O375/2)+$P375-$M375)</f>
        <v/>
      </c>
      <c r="S375" s="9">
        <f t="shared" ref="S375:S383" si="252">IF(($M375+$P375)&gt;=$N375+$Q375,($O375/2)+$Q375-$N375,"")</f>
        <v>0</v>
      </c>
    </row>
    <row r="376" spans="1:19" x14ac:dyDescent="0.25">
      <c r="F376" s="7" t="e">
        <f t="shared" si="245"/>
        <v>#DIV/0!</v>
      </c>
      <c r="G376" s="7">
        <f t="shared" si="246"/>
        <v>0</v>
      </c>
      <c r="H376" s="8">
        <f t="shared" si="247"/>
        <v>0</v>
      </c>
      <c r="I376" s="8">
        <f t="shared" si="248"/>
        <v>0</v>
      </c>
      <c r="J376" s="8">
        <f t="shared" si="248"/>
        <v>0</v>
      </c>
      <c r="K376" s="8">
        <f t="shared" ca="1" si="249"/>
        <v>0</v>
      </c>
      <c r="L376" s="8">
        <f t="shared" ca="1" si="250"/>
        <v>0</v>
      </c>
      <c r="M376" s="8"/>
      <c r="N376" s="8"/>
      <c r="O376" s="8">
        <f>$J376-($P376+$Q376)</f>
        <v>0</v>
      </c>
      <c r="P376" s="8"/>
      <c r="Q376" s="8"/>
      <c r="R376" s="9" t="str">
        <f t="shared" si="251"/>
        <v/>
      </c>
      <c r="S376" s="9">
        <f t="shared" si="252"/>
        <v>0</v>
      </c>
    </row>
    <row r="377" spans="1:19" x14ac:dyDescent="0.25">
      <c r="F377" s="7" t="e">
        <f t="shared" si="245"/>
        <v>#DIV/0!</v>
      </c>
      <c r="G377" s="7">
        <f t="shared" si="246"/>
        <v>0</v>
      </c>
      <c r="H377" s="8">
        <f t="shared" si="247"/>
        <v>0</v>
      </c>
      <c r="I377" s="8">
        <f t="shared" si="248"/>
        <v>0</v>
      </c>
      <c r="J377" s="8">
        <f t="shared" si="248"/>
        <v>0</v>
      </c>
      <c r="K377" s="8">
        <f t="shared" ca="1" si="249"/>
        <v>0</v>
      </c>
      <c r="L377" s="8">
        <f t="shared" ca="1" si="250"/>
        <v>0</v>
      </c>
      <c r="M377" s="8"/>
      <c r="N377" s="8"/>
      <c r="O377" s="8">
        <f>$J377-($P377+$Q377)</f>
        <v>0</v>
      </c>
      <c r="P377" s="8"/>
      <c r="Q377" s="8"/>
      <c r="R377" s="9" t="str">
        <f t="shared" si="251"/>
        <v/>
      </c>
      <c r="S377" s="9">
        <f t="shared" si="252"/>
        <v>0</v>
      </c>
    </row>
    <row r="378" spans="1:19" x14ac:dyDescent="0.25">
      <c r="F378" s="7" t="e">
        <f t="shared" si="245"/>
        <v>#DIV/0!</v>
      </c>
      <c r="G378" s="7">
        <f t="shared" si="246"/>
        <v>0</v>
      </c>
      <c r="H378" s="8">
        <f t="shared" si="247"/>
        <v>0</v>
      </c>
      <c r="I378" s="8">
        <f t="shared" si="248"/>
        <v>0</v>
      </c>
      <c r="J378" s="8">
        <f t="shared" si="248"/>
        <v>0</v>
      </c>
      <c r="K378" s="8">
        <f t="shared" ca="1" si="249"/>
        <v>0</v>
      </c>
      <c r="L378" s="8">
        <f t="shared" ca="1" si="250"/>
        <v>0</v>
      </c>
      <c r="M378" s="8"/>
      <c r="N378" s="8"/>
      <c r="O378" s="8">
        <f t="shared" ref="O378:O382" si="253">$J378-($P378+$Q378)</f>
        <v>0</v>
      </c>
      <c r="P378" s="8"/>
      <c r="Q378" s="8"/>
      <c r="R378" s="9" t="str">
        <f t="shared" si="251"/>
        <v/>
      </c>
      <c r="S378" s="9">
        <f t="shared" si="252"/>
        <v>0</v>
      </c>
    </row>
    <row r="379" spans="1:19" x14ac:dyDescent="0.25">
      <c r="F379" s="7" t="e">
        <f t="shared" si="245"/>
        <v>#DIV/0!</v>
      </c>
      <c r="G379" s="7">
        <f t="shared" si="246"/>
        <v>0</v>
      </c>
      <c r="H379" s="8">
        <f t="shared" si="247"/>
        <v>0</v>
      </c>
      <c r="I379" s="8">
        <f t="shared" si="248"/>
        <v>0</v>
      </c>
      <c r="J379" s="8">
        <f t="shared" si="248"/>
        <v>0</v>
      </c>
      <c r="K379" s="8">
        <f t="shared" ca="1" si="249"/>
        <v>0</v>
      </c>
      <c r="L379" s="8">
        <f t="shared" ca="1" si="250"/>
        <v>0</v>
      </c>
      <c r="M379" s="8"/>
      <c r="N379" s="8"/>
      <c r="O379" s="8">
        <f>$J379-($P379+$Q379)</f>
        <v>0</v>
      </c>
      <c r="P379" s="8"/>
      <c r="Q379" s="8"/>
      <c r="R379" s="9" t="str">
        <f t="shared" si="251"/>
        <v/>
      </c>
      <c r="S379" s="9">
        <f t="shared" si="252"/>
        <v>0</v>
      </c>
    </row>
    <row r="380" spans="1:19" x14ac:dyDescent="0.25">
      <c r="F380" s="7" t="e">
        <f t="shared" si="245"/>
        <v>#DIV/0!</v>
      </c>
      <c r="G380" s="7">
        <f t="shared" si="246"/>
        <v>0</v>
      </c>
      <c r="H380" s="8">
        <f t="shared" si="247"/>
        <v>0</v>
      </c>
      <c r="I380" s="8">
        <f t="shared" si="248"/>
        <v>0</v>
      </c>
      <c r="J380" s="8">
        <f t="shared" si="248"/>
        <v>0</v>
      </c>
      <c r="K380" s="8">
        <f t="shared" ca="1" si="249"/>
        <v>0</v>
      </c>
      <c r="L380" s="8">
        <f t="shared" ca="1" si="250"/>
        <v>0</v>
      </c>
      <c r="M380" s="8"/>
      <c r="N380" s="8"/>
      <c r="O380" s="8">
        <f t="shared" si="253"/>
        <v>0</v>
      </c>
      <c r="P380" s="8"/>
      <c r="Q380" s="8"/>
      <c r="R380" s="9" t="str">
        <f t="shared" si="251"/>
        <v/>
      </c>
      <c r="S380" s="9">
        <f t="shared" si="252"/>
        <v>0</v>
      </c>
    </row>
    <row r="381" spans="1:19" x14ac:dyDescent="0.25">
      <c r="F381" s="7" t="e">
        <f t="shared" si="245"/>
        <v>#DIV/0!</v>
      </c>
      <c r="G381" s="7">
        <f t="shared" si="246"/>
        <v>0</v>
      </c>
      <c r="H381" s="8">
        <f t="shared" si="247"/>
        <v>0</v>
      </c>
      <c r="I381" s="8">
        <f t="shared" si="248"/>
        <v>0</v>
      </c>
      <c r="J381" s="8">
        <f t="shared" si="248"/>
        <v>0</v>
      </c>
      <c r="K381" s="8">
        <f t="shared" ca="1" si="249"/>
        <v>0</v>
      </c>
      <c r="L381" s="8">
        <f t="shared" ca="1" si="250"/>
        <v>0</v>
      </c>
      <c r="M381" s="8"/>
      <c r="N381" s="8"/>
      <c r="O381" s="8">
        <f>$J381-($P381+$Q381)</f>
        <v>0</v>
      </c>
      <c r="P381" s="8"/>
      <c r="Q381" s="8"/>
      <c r="R381" s="9" t="str">
        <f t="shared" si="251"/>
        <v/>
      </c>
      <c r="S381" s="9">
        <f t="shared" si="252"/>
        <v>0</v>
      </c>
    </row>
    <row r="382" spans="1:19" x14ac:dyDescent="0.25">
      <c r="F382" s="7" t="e">
        <f t="shared" si="245"/>
        <v>#DIV/0!</v>
      </c>
      <c r="G382" s="7">
        <f t="shared" si="246"/>
        <v>0</v>
      </c>
      <c r="H382" s="8">
        <f t="shared" si="247"/>
        <v>0</v>
      </c>
      <c r="I382" s="8">
        <f t="shared" si="248"/>
        <v>0</v>
      </c>
      <c r="J382" s="8">
        <f t="shared" si="248"/>
        <v>0</v>
      </c>
      <c r="K382" s="8">
        <f t="shared" ca="1" si="249"/>
        <v>0</v>
      </c>
      <c r="L382" s="8">
        <f t="shared" ca="1" si="250"/>
        <v>0</v>
      </c>
      <c r="M382" s="8"/>
      <c r="N382" s="8"/>
      <c r="O382" s="8">
        <f t="shared" si="253"/>
        <v>0</v>
      </c>
      <c r="P382" s="8"/>
      <c r="Q382" s="8"/>
      <c r="R382" s="9" t="str">
        <f t="shared" si="251"/>
        <v/>
      </c>
      <c r="S382" s="9">
        <f t="shared" si="252"/>
        <v>0</v>
      </c>
    </row>
    <row r="383" spans="1:19" x14ac:dyDescent="0.25">
      <c r="F383" s="7" t="e">
        <f t="shared" si="245"/>
        <v>#DIV/0!</v>
      </c>
      <c r="G383" s="7">
        <f t="shared" si="246"/>
        <v>0</v>
      </c>
      <c r="H383" s="8">
        <f t="shared" si="247"/>
        <v>0</v>
      </c>
      <c r="I383" s="8">
        <f t="shared" si="248"/>
        <v>0</v>
      </c>
      <c r="J383" s="8">
        <f t="shared" si="248"/>
        <v>0</v>
      </c>
      <c r="K383" s="8">
        <f t="shared" ca="1" si="249"/>
        <v>0</v>
      </c>
      <c r="L383" s="8">
        <f t="shared" ca="1" si="250"/>
        <v>0</v>
      </c>
      <c r="M383" s="8"/>
      <c r="N383" s="8"/>
      <c r="O383" s="8">
        <f>$J383-($P383+$Q383)</f>
        <v>0</v>
      </c>
      <c r="P383" s="8"/>
      <c r="Q383" s="8"/>
      <c r="R383" s="9" t="str">
        <f t="shared" si="251"/>
        <v/>
      </c>
      <c r="S383" s="9">
        <f t="shared" si="252"/>
        <v>0</v>
      </c>
    </row>
    <row r="384" spans="1:19" x14ac:dyDescent="0.25">
      <c r="B384" s="1">
        <f>SUMPRODUCT((B374:B383&lt;&gt;"")/COUNTIF(B374:B383,B374:B383&amp;""))</f>
        <v>0</v>
      </c>
      <c r="C384" s="1">
        <f>COUNTA(Tableau15935[Erotisme])</f>
        <v>0</v>
      </c>
      <c r="D384" s="1">
        <f>COUNTA(Tableau15935[Nature des Dépenses])</f>
        <v>0</v>
      </c>
      <c r="F384" s="7" t="e">
        <f t="shared" ref="F384:S384" si="254">SUM(F374:F383)</f>
        <v>#DIV/0!</v>
      </c>
      <c r="G384" s="7">
        <f t="shared" si="254"/>
        <v>0</v>
      </c>
      <c r="H384" s="8">
        <f t="shared" si="254"/>
        <v>0</v>
      </c>
      <c r="I384" s="8">
        <f t="shared" si="254"/>
        <v>0</v>
      </c>
      <c r="J384" s="8">
        <f t="shared" si="254"/>
        <v>0</v>
      </c>
      <c r="K384" s="8">
        <f t="shared" ca="1" si="254"/>
        <v>0</v>
      </c>
      <c r="L384" s="8">
        <f t="shared" ca="1" si="254"/>
        <v>0</v>
      </c>
      <c r="M384" s="8">
        <f t="shared" si="254"/>
        <v>0</v>
      </c>
      <c r="N384" s="8">
        <f t="shared" si="254"/>
        <v>0</v>
      </c>
      <c r="O384" s="8">
        <f t="shared" si="254"/>
        <v>0</v>
      </c>
      <c r="P384" s="8">
        <f t="shared" si="254"/>
        <v>0</v>
      </c>
      <c r="Q384" s="8">
        <f t="shared" si="254"/>
        <v>0</v>
      </c>
      <c r="R384" s="8">
        <f t="shared" si="254"/>
        <v>0</v>
      </c>
      <c r="S384" s="8">
        <f t="shared" si="254"/>
        <v>0</v>
      </c>
    </row>
    <row r="385" spans="1:19" x14ac:dyDescent="0.25">
      <c r="F385" s="7"/>
      <c r="G385" s="7"/>
    </row>
    <row r="386" spans="1:19" x14ac:dyDescent="0.25">
      <c r="F386" s="7"/>
      <c r="G386" s="7"/>
    </row>
    <row r="387" spans="1:19" ht="15.75" thickBot="1" x14ac:dyDescent="0.3">
      <c r="F387" s="7"/>
      <c r="G387" s="7"/>
    </row>
    <row r="388" spans="1:19" ht="15.75" thickBot="1" x14ac:dyDescent="0.3">
      <c r="F388" s="7"/>
      <c r="G388" s="7"/>
      <c r="M388" s="23" t="s">
        <v>0</v>
      </c>
      <c r="N388" s="24"/>
      <c r="O388" s="2" t="s">
        <v>1</v>
      </c>
      <c r="P388" s="25" t="s">
        <v>2</v>
      </c>
      <c r="Q388" s="26"/>
      <c r="R388" s="23" t="s">
        <v>3</v>
      </c>
      <c r="S388" s="24"/>
    </row>
    <row r="389" spans="1:19" s="6" customFormat="1" ht="14.1" customHeight="1" x14ac:dyDescent="0.2">
      <c r="A389" s="21" t="s">
        <v>4</v>
      </c>
      <c r="B389" s="4" t="s">
        <v>5</v>
      </c>
      <c r="C389" s="18" t="s">
        <v>45</v>
      </c>
      <c r="D389" s="3" t="s">
        <v>7</v>
      </c>
      <c r="E389" s="3" t="s">
        <v>8</v>
      </c>
      <c r="F389" s="5" t="s">
        <v>9</v>
      </c>
      <c r="G389" s="5" t="s">
        <v>10</v>
      </c>
      <c r="H389" s="4" t="s">
        <v>11</v>
      </c>
      <c r="I389" s="3" t="s">
        <v>12</v>
      </c>
      <c r="J389" s="3" t="s">
        <v>13</v>
      </c>
      <c r="K389" s="3" t="s">
        <v>14</v>
      </c>
      <c r="L389" s="3" t="s">
        <v>15</v>
      </c>
      <c r="M389" s="3" t="s">
        <v>16</v>
      </c>
      <c r="N389" s="3" t="s">
        <v>17</v>
      </c>
      <c r="O389" s="3" t="s">
        <v>1</v>
      </c>
      <c r="P389" s="3" t="s">
        <v>18</v>
      </c>
      <c r="Q389" s="3" t="s">
        <v>19</v>
      </c>
      <c r="R389" s="3" t="s">
        <v>20</v>
      </c>
      <c r="S389" s="3" t="s">
        <v>21</v>
      </c>
    </row>
    <row r="390" spans="1:19" x14ac:dyDescent="0.25">
      <c r="F390" s="7" t="e">
        <f t="shared" ref="F390:F399" si="255">$J390/J$400</f>
        <v>#DIV/0!</v>
      </c>
      <c r="G390" s="7">
        <f t="shared" ref="G390:G399" si="256">$J390/J$57</f>
        <v>0</v>
      </c>
      <c r="H390" s="8">
        <f t="shared" ref="H390:H399" si="257">$J390-$I390</f>
        <v>0</v>
      </c>
      <c r="I390" s="8">
        <f t="shared" ref="I390:J399" si="258">$M390+$N390</f>
        <v>0</v>
      </c>
      <c r="J390" s="8">
        <f t="shared" si="258"/>
        <v>0</v>
      </c>
      <c r="K390" s="8">
        <f t="shared" ref="K390:K399" ca="1" si="259">IF(($K390)&gt;=$N390+$M390,"",($L390-$M390-$N390))</f>
        <v>0</v>
      </c>
      <c r="L390" s="8">
        <f ca="1">M390+N390-K390</f>
        <v>0</v>
      </c>
      <c r="M390" s="8"/>
      <c r="N390" s="8"/>
      <c r="O390" s="8">
        <f>$J390-($P390+$Q390)</f>
        <v>0</v>
      </c>
      <c r="P390" s="8"/>
      <c r="Q390" s="8"/>
      <c r="R390" s="9" t="str">
        <f>IF(($M390+$P390)&gt;=$N390+$Q390,"",($O390/2)+$P390-$M390)</f>
        <v/>
      </c>
      <c r="S390" s="9">
        <f>IF(($M390+$P390)&gt;=$N390+$Q390,($O390/2)+$Q390-$N390,"")</f>
        <v>0</v>
      </c>
    </row>
    <row r="391" spans="1:19" x14ac:dyDescent="0.25">
      <c r="F391" s="7" t="e">
        <f t="shared" si="255"/>
        <v>#DIV/0!</v>
      </c>
      <c r="G391" s="7">
        <f t="shared" si="256"/>
        <v>0</v>
      </c>
      <c r="H391" s="8">
        <f t="shared" si="257"/>
        <v>0</v>
      </c>
      <c r="I391" s="8">
        <f t="shared" si="258"/>
        <v>0</v>
      </c>
      <c r="J391" s="8">
        <f t="shared" si="258"/>
        <v>0</v>
      </c>
      <c r="K391" s="8">
        <f t="shared" ca="1" si="259"/>
        <v>0</v>
      </c>
      <c r="L391" s="8">
        <f t="shared" ref="L391:L399" ca="1" si="260">M391+N391-K391</f>
        <v>0</v>
      </c>
      <c r="M391" s="8"/>
      <c r="N391" s="8"/>
      <c r="O391" s="8">
        <f>$J391-($P391+$Q391)</f>
        <v>0</v>
      </c>
      <c r="P391" s="8"/>
      <c r="Q391" s="8"/>
      <c r="R391" s="9" t="str">
        <f t="shared" ref="R391:R399" si="261">IF(($M391+$P391)&gt;=$N391+$Q391,"",($O391/2)+$P391-$M391)</f>
        <v/>
      </c>
      <c r="S391" s="9">
        <f t="shared" ref="S391:S399" si="262">IF(($M391+$P391)&gt;=$N391+$Q391,($O391/2)+$Q391-$N391,"")</f>
        <v>0</v>
      </c>
    </row>
    <row r="392" spans="1:19" x14ac:dyDescent="0.25">
      <c r="F392" s="7" t="e">
        <f t="shared" si="255"/>
        <v>#DIV/0!</v>
      </c>
      <c r="G392" s="7">
        <f t="shared" si="256"/>
        <v>0</v>
      </c>
      <c r="H392" s="8">
        <f t="shared" si="257"/>
        <v>0</v>
      </c>
      <c r="I392" s="8">
        <f t="shared" si="258"/>
        <v>0</v>
      </c>
      <c r="J392" s="8">
        <f t="shared" si="258"/>
        <v>0</v>
      </c>
      <c r="K392" s="8">
        <f t="shared" ca="1" si="259"/>
        <v>0</v>
      </c>
      <c r="L392" s="8">
        <f t="shared" ca="1" si="260"/>
        <v>0</v>
      </c>
      <c r="M392" s="8"/>
      <c r="N392" s="8"/>
      <c r="O392" s="8">
        <f>$J392-($P392+$Q392)</f>
        <v>0</v>
      </c>
      <c r="P392" s="8"/>
      <c r="Q392" s="8"/>
      <c r="R392" s="9" t="str">
        <f t="shared" si="261"/>
        <v/>
      </c>
      <c r="S392" s="9">
        <f t="shared" si="262"/>
        <v>0</v>
      </c>
    </row>
    <row r="393" spans="1:19" x14ac:dyDescent="0.25">
      <c r="F393" s="7" t="e">
        <f t="shared" si="255"/>
        <v>#DIV/0!</v>
      </c>
      <c r="G393" s="7">
        <f t="shared" si="256"/>
        <v>0</v>
      </c>
      <c r="H393" s="8">
        <f t="shared" si="257"/>
        <v>0</v>
      </c>
      <c r="I393" s="8">
        <f t="shared" si="258"/>
        <v>0</v>
      </c>
      <c r="J393" s="8">
        <f t="shared" si="258"/>
        <v>0</v>
      </c>
      <c r="K393" s="8">
        <f t="shared" ca="1" si="259"/>
        <v>0</v>
      </c>
      <c r="L393" s="8">
        <f t="shared" ca="1" si="260"/>
        <v>0</v>
      </c>
      <c r="M393" s="8"/>
      <c r="N393" s="8"/>
      <c r="O393" s="8">
        <f>$J393-($P393+$Q393)</f>
        <v>0</v>
      </c>
      <c r="P393" s="8"/>
      <c r="Q393" s="8"/>
      <c r="R393" s="9" t="str">
        <f t="shared" si="261"/>
        <v/>
      </c>
      <c r="S393" s="9">
        <f t="shared" si="262"/>
        <v>0</v>
      </c>
    </row>
    <row r="394" spans="1:19" x14ac:dyDescent="0.25">
      <c r="F394" s="7" t="e">
        <f t="shared" si="255"/>
        <v>#DIV/0!</v>
      </c>
      <c r="G394" s="7">
        <f t="shared" si="256"/>
        <v>0</v>
      </c>
      <c r="H394" s="8">
        <f t="shared" si="257"/>
        <v>0</v>
      </c>
      <c r="I394" s="8">
        <f t="shared" si="258"/>
        <v>0</v>
      </c>
      <c r="J394" s="8">
        <f t="shared" si="258"/>
        <v>0</v>
      </c>
      <c r="K394" s="8">
        <f t="shared" ca="1" si="259"/>
        <v>0</v>
      </c>
      <c r="L394" s="8">
        <f t="shared" ca="1" si="260"/>
        <v>0</v>
      </c>
      <c r="M394" s="8"/>
      <c r="N394" s="8"/>
      <c r="O394" s="8">
        <f t="shared" ref="O394:O398" si="263">$J394-($P394+$Q394)</f>
        <v>0</v>
      </c>
      <c r="P394" s="8"/>
      <c r="Q394" s="8"/>
      <c r="R394" s="9" t="str">
        <f t="shared" si="261"/>
        <v/>
      </c>
      <c r="S394" s="9">
        <f t="shared" si="262"/>
        <v>0</v>
      </c>
    </row>
    <row r="395" spans="1:19" x14ac:dyDescent="0.25">
      <c r="F395" s="7" t="e">
        <f t="shared" si="255"/>
        <v>#DIV/0!</v>
      </c>
      <c r="G395" s="7">
        <f t="shared" si="256"/>
        <v>0</v>
      </c>
      <c r="H395" s="8">
        <f t="shared" si="257"/>
        <v>0</v>
      </c>
      <c r="I395" s="8">
        <f t="shared" si="258"/>
        <v>0</v>
      </c>
      <c r="J395" s="8">
        <f t="shared" si="258"/>
        <v>0</v>
      </c>
      <c r="K395" s="8">
        <f t="shared" ca="1" si="259"/>
        <v>0</v>
      </c>
      <c r="L395" s="8">
        <f t="shared" ca="1" si="260"/>
        <v>0</v>
      </c>
      <c r="M395" s="8"/>
      <c r="N395" s="8"/>
      <c r="O395" s="8">
        <f>$J395-($P395+$Q395)</f>
        <v>0</v>
      </c>
      <c r="P395" s="8"/>
      <c r="Q395" s="8"/>
      <c r="R395" s="9" t="str">
        <f t="shared" si="261"/>
        <v/>
      </c>
      <c r="S395" s="9">
        <f t="shared" si="262"/>
        <v>0</v>
      </c>
    </row>
    <row r="396" spans="1:19" x14ac:dyDescent="0.25">
      <c r="F396" s="7" t="e">
        <f t="shared" si="255"/>
        <v>#DIV/0!</v>
      </c>
      <c r="G396" s="7">
        <f t="shared" si="256"/>
        <v>0</v>
      </c>
      <c r="H396" s="8">
        <f t="shared" si="257"/>
        <v>0</v>
      </c>
      <c r="I396" s="8">
        <f t="shared" si="258"/>
        <v>0</v>
      </c>
      <c r="J396" s="8">
        <f t="shared" si="258"/>
        <v>0</v>
      </c>
      <c r="K396" s="8">
        <f t="shared" ca="1" si="259"/>
        <v>0</v>
      </c>
      <c r="L396" s="8">
        <f t="shared" ca="1" si="260"/>
        <v>0</v>
      </c>
      <c r="M396" s="8"/>
      <c r="N396" s="8"/>
      <c r="O396" s="8">
        <f t="shared" si="263"/>
        <v>0</v>
      </c>
      <c r="P396" s="8"/>
      <c r="Q396" s="8"/>
      <c r="R396" s="9" t="str">
        <f t="shared" si="261"/>
        <v/>
      </c>
      <c r="S396" s="9">
        <f t="shared" si="262"/>
        <v>0</v>
      </c>
    </row>
    <row r="397" spans="1:19" x14ac:dyDescent="0.25">
      <c r="F397" s="7" t="e">
        <f t="shared" si="255"/>
        <v>#DIV/0!</v>
      </c>
      <c r="G397" s="7">
        <f t="shared" si="256"/>
        <v>0</v>
      </c>
      <c r="H397" s="8">
        <f t="shared" si="257"/>
        <v>0</v>
      </c>
      <c r="I397" s="8">
        <f t="shared" si="258"/>
        <v>0</v>
      </c>
      <c r="J397" s="8">
        <f t="shared" si="258"/>
        <v>0</v>
      </c>
      <c r="K397" s="8">
        <f t="shared" ca="1" si="259"/>
        <v>0</v>
      </c>
      <c r="L397" s="8">
        <f t="shared" ca="1" si="260"/>
        <v>0</v>
      </c>
      <c r="M397" s="8"/>
      <c r="N397" s="8"/>
      <c r="O397" s="8">
        <f>$J397-($P397+$Q397)</f>
        <v>0</v>
      </c>
      <c r="P397" s="8"/>
      <c r="Q397" s="8"/>
      <c r="R397" s="9" t="str">
        <f t="shared" si="261"/>
        <v/>
      </c>
      <c r="S397" s="9">
        <f t="shared" si="262"/>
        <v>0</v>
      </c>
    </row>
    <row r="398" spans="1:19" x14ac:dyDescent="0.25">
      <c r="F398" s="7" t="e">
        <f t="shared" si="255"/>
        <v>#DIV/0!</v>
      </c>
      <c r="G398" s="7">
        <f t="shared" si="256"/>
        <v>0</v>
      </c>
      <c r="H398" s="8">
        <f t="shared" si="257"/>
        <v>0</v>
      </c>
      <c r="I398" s="8">
        <f t="shared" si="258"/>
        <v>0</v>
      </c>
      <c r="J398" s="8">
        <f t="shared" si="258"/>
        <v>0</v>
      </c>
      <c r="K398" s="8">
        <f t="shared" ca="1" si="259"/>
        <v>0</v>
      </c>
      <c r="L398" s="8">
        <f t="shared" ca="1" si="260"/>
        <v>0</v>
      </c>
      <c r="M398" s="8"/>
      <c r="N398" s="8"/>
      <c r="O398" s="8">
        <f t="shared" si="263"/>
        <v>0</v>
      </c>
      <c r="P398" s="8"/>
      <c r="Q398" s="8"/>
      <c r="R398" s="9" t="str">
        <f t="shared" si="261"/>
        <v/>
      </c>
      <c r="S398" s="9">
        <f t="shared" si="262"/>
        <v>0</v>
      </c>
    </row>
    <row r="399" spans="1:19" x14ac:dyDescent="0.25">
      <c r="F399" s="7" t="e">
        <f t="shared" si="255"/>
        <v>#DIV/0!</v>
      </c>
      <c r="G399" s="7">
        <f t="shared" si="256"/>
        <v>0</v>
      </c>
      <c r="H399" s="8">
        <f t="shared" si="257"/>
        <v>0</v>
      </c>
      <c r="I399" s="8">
        <f t="shared" si="258"/>
        <v>0</v>
      </c>
      <c r="J399" s="8">
        <f t="shared" si="258"/>
        <v>0</v>
      </c>
      <c r="K399" s="8">
        <f t="shared" ca="1" si="259"/>
        <v>0</v>
      </c>
      <c r="L399" s="8">
        <f t="shared" ca="1" si="260"/>
        <v>0</v>
      </c>
      <c r="M399" s="8"/>
      <c r="N399" s="8"/>
      <c r="O399" s="8">
        <f>$J399-($P399+$Q399)</f>
        <v>0</v>
      </c>
      <c r="P399" s="8"/>
      <c r="Q399" s="8"/>
      <c r="R399" s="9" t="str">
        <f t="shared" si="261"/>
        <v/>
      </c>
      <c r="S399" s="9">
        <f t="shared" si="262"/>
        <v>0</v>
      </c>
    </row>
    <row r="400" spans="1:19" x14ac:dyDescent="0.25">
      <c r="B400" s="1">
        <f>SUMPRODUCT((B390:B399&lt;&gt;"")/COUNTIF(B390:B399,B390:B399&amp;""))</f>
        <v>0</v>
      </c>
      <c r="C400" s="1">
        <f>COUNTA(Tableau15936[Habillement])</f>
        <v>0</v>
      </c>
      <c r="D400" s="1">
        <f>COUNTA(Tableau15936[Nature des Dépenses])</f>
        <v>0</v>
      </c>
      <c r="F400" s="7" t="e">
        <f t="shared" ref="F400:S400" si="264">SUM(F390:F399)</f>
        <v>#DIV/0!</v>
      </c>
      <c r="G400" s="7">
        <f t="shared" si="264"/>
        <v>0</v>
      </c>
      <c r="H400" s="8">
        <f t="shared" si="264"/>
        <v>0</v>
      </c>
      <c r="I400" s="8">
        <f t="shared" si="264"/>
        <v>0</v>
      </c>
      <c r="J400" s="8">
        <f t="shared" si="264"/>
        <v>0</v>
      </c>
      <c r="K400" s="8">
        <f t="shared" ca="1" si="264"/>
        <v>0</v>
      </c>
      <c r="L400" s="8">
        <f t="shared" ca="1" si="264"/>
        <v>0</v>
      </c>
      <c r="M400" s="8">
        <f t="shared" si="264"/>
        <v>0</v>
      </c>
      <c r="N400" s="8">
        <f t="shared" si="264"/>
        <v>0</v>
      </c>
      <c r="O400" s="8">
        <f t="shared" si="264"/>
        <v>0</v>
      </c>
      <c r="P400" s="8">
        <f t="shared" si="264"/>
        <v>0</v>
      </c>
      <c r="Q400" s="8">
        <f t="shared" si="264"/>
        <v>0</v>
      </c>
      <c r="R400" s="8">
        <f t="shared" si="264"/>
        <v>0</v>
      </c>
      <c r="S400" s="8">
        <f t="shared" si="264"/>
        <v>0</v>
      </c>
    </row>
    <row r="401" spans="1:19" x14ac:dyDescent="0.25">
      <c r="F401" s="7"/>
      <c r="G401" s="7"/>
    </row>
    <row r="402" spans="1:19" x14ac:dyDescent="0.25">
      <c r="F402" s="7"/>
      <c r="G402" s="7"/>
    </row>
    <row r="403" spans="1:19" ht="15.75" thickBot="1" x14ac:dyDescent="0.3">
      <c r="F403" s="7"/>
      <c r="G403" s="7"/>
    </row>
    <row r="404" spans="1:19" ht="15.75" thickBot="1" x14ac:dyDescent="0.3">
      <c r="F404" s="7"/>
      <c r="G404" s="7"/>
      <c r="M404" s="23" t="s">
        <v>0</v>
      </c>
      <c r="N404" s="24"/>
      <c r="O404" s="2" t="s">
        <v>1</v>
      </c>
      <c r="P404" s="25" t="s">
        <v>2</v>
      </c>
      <c r="Q404" s="26"/>
      <c r="R404" s="23" t="s">
        <v>3</v>
      </c>
      <c r="S404" s="24"/>
    </row>
    <row r="405" spans="1:19" s="6" customFormat="1" ht="14.1" customHeight="1" x14ac:dyDescent="0.2">
      <c r="A405" s="21" t="s">
        <v>4</v>
      </c>
      <c r="B405" s="4" t="s">
        <v>5</v>
      </c>
      <c r="C405" s="18" t="s">
        <v>46</v>
      </c>
      <c r="D405" s="3" t="s">
        <v>7</v>
      </c>
      <c r="E405" s="3" t="s">
        <v>8</v>
      </c>
      <c r="F405" s="5" t="s">
        <v>9</v>
      </c>
      <c r="G405" s="5" t="s">
        <v>10</v>
      </c>
      <c r="H405" s="4" t="s">
        <v>11</v>
      </c>
      <c r="I405" s="3" t="s">
        <v>12</v>
      </c>
      <c r="J405" s="3" t="s">
        <v>13</v>
      </c>
      <c r="K405" s="3" t="s">
        <v>14</v>
      </c>
      <c r="L405" s="3" t="s">
        <v>15</v>
      </c>
      <c r="M405" s="3" t="s">
        <v>16</v>
      </c>
      <c r="N405" s="3" t="s">
        <v>17</v>
      </c>
      <c r="O405" s="3" t="s">
        <v>1</v>
      </c>
      <c r="P405" s="3" t="s">
        <v>18</v>
      </c>
      <c r="Q405" s="3" t="s">
        <v>19</v>
      </c>
      <c r="R405" s="3" t="s">
        <v>20</v>
      </c>
      <c r="S405" s="3" t="s">
        <v>21</v>
      </c>
    </row>
    <row r="406" spans="1:19" x14ac:dyDescent="0.25">
      <c r="F406" s="7" t="e">
        <f t="shared" ref="F406:F415" si="265">$J406/J$416</f>
        <v>#DIV/0!</v>
      </c>
      <c r="G406" s="7">
        <f t="shared" ref="G406:G415" si="266">$J406/J$57</f>
        <v>0</v>
      </c>
      <c r="H406" s="8">
        <f t="shared" ref="H406:H415" si="267">$J406-$I406</f>
        <v>0</v>
      </c>
      <c r="I406" s="8">
        <f t="shared" ref="I406:J415" si="268">$M406+$N406</f>
        <v>0</v>
      </c>
      <c r="J406" s="8">
        <f t="shared" si="268"/>
        <v>0</v>
      </c>
      <c r="K406" s="8">
        <f t="shared" ref="K406:K415" ca="1" si="269">IF(($K406)&gt;=$N406+$M406,"",($L406-$M406-$N406))</f>
        <v>0</v>
      </c>
      <c r="L406" s="8">
        <f ca="1">M406+N406-K406</f>
        <v>0</v>
      </c>
      <c r="M406" s="8"/>
      <c r="N406" s="8"/>
      <c r="O406" s="8">
        <f>$J406-($P406+$Q406)</f>
        <v>0</v>
      </c>
      <c r="P406" s="8"/>
      <c r="Q406" s="8"/>
      <c r="R406" s="9" t="str">
        <f>IF(($M406+$P406)&gt;=$N406+$Q406,"",($O406/2)+$P406-$M406)</f>
        <v/>
      </c>
      <c r="S406" s="9">
        <f>IF(($M406+$P406)&gt;=$N406+$Q406,($O406/2)+$Q406-$N406,"")</f>
        <v>0</v>
      </c>
    </row>
    <row r="407" spans="1:19" x14ac:dyDescent="0.25">
      <c r="F407" s="7" t="e">
        <f t="shared" si="265"/>
        <v>#DIV/0!</v>
      </c>
      <c r="G407" s="7">
        <f t="shared" si="266"/>
        <v>0</v>
      </c>
      <c r="H407" s="8">
        <f t="shared" si="267"/>
        <v>0</v>
      </c>
      <c r="I407" s="8">
        <f t="shared" si="268"/>
        <v>0</v>
      </c>
      <c r="J407" s="8">
        <f t="shared" si="268"/>
        <v>0</v>
      </c>
      <c r="K407" s="8">
        <f t="shared" ca="1" si="269"/>
        <v>0</v>
      </c>
      <c r="L407" s="8">
        <f t="shared" ref="L407:L415" ca="1" si="270">M407+N407-K407</f>
        <v>0</v>
      </c>
      <c r="M407" s="8"/>
      <c r="N407" s="8"/>
      <c r="O407" s="8">
        <f>$J407-($P407+$Q407)</f>
        <v>0</v>
      </c>
      <c r="P407" s="8"/>
      <c r="Q407" s="8"/>
      <c r="R407" s="9" t="str">
        <f t="shared" ref="R407:R415" si="271">IF(($M407+$P407)&gt;=$N407+$Q407,"",($O407/2)+$P407-$M407)</f>
        <v/>
      </c>
      <c r="S407" s="9">
        <f t="shared" ref="S407:S415" si="272">IF(($M407+$P407)&gt;=$N407+$Q407,($O407/2)+$Q407-$N407,"")</f>
        <v>0</v>
      </c>
    </row>
    <row r="408" spans="1:19" x14ac:dyDescent="0.25">
      <c r="F408" s="7" t="e">
        <f t="shared" si="265"/>
        <v>#DIV/0!</v>
      </c>
      <c r="G408" s="7">
        <f t="shared" si="266"/>
        <v>0</v>
      </c>
      <c r="H408" s="8">
        <f t="shared" si="267"/>
        <v>0</v>
      </c>
      <c r="I408" s="8">
        <f t="shared" si="268"/>
        <v>0</v>
      </c>
      <c r="J408" s="8">
        <f t="shared" si="268"/>
        <v>0</v>
      </c>
      <c r="K408" s="8">
        <f t="shared" ca="1" si="269"/>
        <v>0</v>
      </c>
      <c r="L408" s="8">
        <f t="shared" ca="1" si="270"/>
        <v>0</v>
      </c>
      <c r="M408" s="8"/>
      <c r="N408" s="8"/>
      <c r="O408" s="8">
        <f>$J408-($P408+$Q408)</f>
        <v>0</v>
      </c>
      <c r="P408" s="8"/>
      <c r="Q408" s="8"/>
      <c r="R408" s="9" t="str">
        <f t="shared" si="271"/>
        <v/>
      </c>
      <c r="S408" s="9">
        <f t="shared" si="272"/>
        <v>0</v>
      </c>
    </row>
    <row r="409" spans="1:19" x14ac:dyDescent="0.25">
      <c r="F409" s="7" t="e">
        <f t="shared" si="265"/>
        <v>#DIV/0!</v>
      </c>
      <c r="G409" s="7">
        <f t="shared" si="266"/>
        <v>0</v>
      </c>
      <c r="H409" s="8">
        <f t="shared" si="267"/>
        <v>0</v>
      </c>
      <c r="I409" s="8">
        <f t="shared" si="268"/>
        <v>0</v>
      </c>
      <c r="J409" s="8">
        <f t="shared" si="268"/>
        <v>0</v>
      </c>
      <c r="K409" s="8">
        <f t="shared" ca="1" si="269"/>
        <v>0</v>
      </c>
      <c r="L409" s="8">
        <f t="shared" ca="1" si="270"/>
        <v>0</v>
      </c>
      <c r="M409" s="8"/>
      <c r="N409" s="8"/>
      <c r="O409" s="8">
        <f>$J409-($P409+$Q409)</f>
        <v>0</v>
      </c>
      <c r="P409" s="8"/>
      <c r="Q409" s="8"/>
      <c r="R409" s="9" t="str">
        <f t="shared" si="271"/>
        <v/>
      </c>
      <c r="S409" s="9">
        <f t="shared" si="272"/>
        <v>0</v>
      </c>
    </row>
    <row r="410" spans="1:19" x14ac:dyDescent="0.25">
      <c r="F410" s="7" t="e">
        <f t="shared" si="265"/>
        <v>#DIV/0!</v>
      </c>
      <c r="G410" s="7">
        <f t="shared" si="266"/>
        <v>0</v>
      </c>
      <c r="H410" s="8">
        <f t="shared" si="267"/>
        <v>0</v>
      </c>
      <c r="I410" s="8">
        <f t="shared" si="268"/>
        <v>0</v>
      </c>
      <c r="J410" s="8">
        <f t="shared" si="268"/>
        <v>0</v>
      </c>
      <c r="K410" s="8">
        <f t="shared" ca="1" si="269"/>
        <v>0</v>
      </c>
      <c r="L410" s="8">
        <f t="shared" ca="1" si="270"/>
        <v>0</v>
      </c>
      <c r="M410" s="8"/>
      <c r="N410" s="8"/>
      <c r="O410" s="8">
        <f t="shared" ref="O410:O414" si="273">$J410-($P410+$Q410)</f>
        <v>0</v>
      </c>
      <c r="P410" s="8"/>
      <c r="Q410" s="8"/>
      <c r="R410" s="9" t="str">
        <f t="shared" si="271"/>
        <v/>
      </c>
      <c r="S410" s="9">
        <f t="shared" si="272"/>
        <v>0</v>
      </c>
    </row>
    <row r="411" spans="1:19" x14ac:dyDescent="0.25">
      <c r="F411" s="7" t="e">
        <f t="shared" si="265"/>
        <v>#DIV/0!</v>
      </c>
      <c r="G411" s="7">
        <f t="shared" si="266"/>
        <v>0</v>
      </c>
      <c r="H411" s="8">
        <f t="shared" si="267"/>
        <v>0</v>
      </c>
      <c r="I411" s="8">
        <f t="shared" si="268"/>
        <v>0</v>
      </c>
      <c r="J411" s="8">
        <f t="shared" si="268"/>
        <v>0</v>
      </c>
      <c r="K411" s="8">
        <f t="shared" ca="1" si="269"/>
        <v>0</v>
      </c>
      <c r="L411" s="8">
        <f t="shared" ca="1" si="270"/>
        <v>0</v>
      </c>
      <c r="M411" s="8"/>
      <c r="N411" s="8"/>
      <c r="O411" s="8">
        <f>$J411-($P411+$Q411)</f>
        <v>0</v>
      </c>
      <c r="P411" s="8"/>
      <c r="Q411" s="8"/>
      <c r="R411" s="9" t="str">
        <f t="shared" si="271"/>
        <v/>
      </c>
      <c r="S411" s="9">
        <f t="shared" si="272"/>
        <v>0</v>
      </c>
    </row>
    <row r="412" spans="1:19" x14ac:dyDescent="0.25">
      <c r="F412" s="7" t="e">
        <f t="shared" si="265"/>
        <v>#DIV/0!</v>
      </c>
      <c r="G412" s="7">
        <f t="shared" si="266"/>
        <v>0</v>
      </c>
      <c r="H412" s="8">
        <f t="shared" si="267"/>
        <v>0</v>
      </c>
      <c r="I412" s="8">
        <f t="shared" si="268"/>
        <v>0</v>
      </c>
      <c r="J412" s="8">
        <f t="shared" si="268"/>
        <v>0</v>
      </c>
      <c r="K412" s="8">
        <f t="shared" ca="1" si="269"/>
        <v>0</v>
      </c>
      <c r="L412" s="8">
        <f t="shared" ca="1" si="270"/>
        <v>0</v>
      </c>
      <c r="M412" s="8"/>
      <c r="N412" s="8"/>
      <c r="O412" s="8">
        <f t="shared" si="273"/>
        <v>0</v>
      </c>
      <c r="P412" s="8"/>
      <c r="Q412" s="8"/>
      <c r="R412" s="9" t="str">
        <f t="shared" si="271"/>
        <v/>
      </c>
      <c r="S412" s="9">
        <f t="shared" si="272"/>
        <v>0</v>
      </c>
    </row>
    <row r="413" spans="1:19" x14ac:dyDescent="0.25">
      <c r="F413" s="7" t="e">
        <f t="shared" si="265"/>
        <v>#DIV/0!</v>
      </c>
      <c r="G413" s="7">
        <f t="shared" si="266"/>
        <v>0</v>
      </c>
      <c r="H413" s="8">
        <f t="shared" si="267"/>
        <v>0</v>
      </c>
      <c r="I413" s="8">
        <f t="shared" si="268"/>
        <v>0</v>
      </c>
      <c r="J413" s="8">
        <f t="shared" si="268"/>
        <v>0</v>
      </c>
      <c r="K413" s="8">
        <f t="shared" ca="1" si="269"/>
        <v>0</v>
      </c>
      <c r="L413" s="8">
        <f t="shared" ca="1" si="270"/>
        <v>0</v>
      </c>
      <c r="M413" s="8"/>
      <c r="N413" s="8"/>
      <c r="O413" s="8">
        <f>$J413-($P413+$Q413)</f>
        <v>0</v>
      </c>
      <c r="P413" s="8"/>
      <c r="Q413" s="8"/>
      <c r="R413" s="9" t="str">
        <f t="shared" si="271"/>
        <v/>
      </c>
      <c r="S413" s="9">
        <f t="shared" si="272"/>
        <v>0</v>
      </c>
    </row>
    <row r="414" spans="1:19" x14ac:dyDescent="0.25">
      <c r="F414" s="7" t="e">
        <f t="shared" si="265"/>
        <v>#DIV/0!</v>
      </c>
      <c r="G414" s="7">
        <f t="shared" si="266"/>
        <v>0</v>
      </c>
      <c r="H414" s="8">
        <f t="shared" si="267"/>
        <v>0</v>
      </c>
      <c r="I414" s="8">
        <f t="shared" si="268"/>
        <v>0</v>
      </c>
      <c r="J414" s="8">
        <f t="shared" si="268"/>
        <v>0</v>
      </c>
      <c r="K414" s="8">
        <f t="shared" ca="1" si="269"/>
        <v>0</v>
      </c>
      <c r="L414" s="8">
        <f t="shared" ca="1" si="270"/>
        <v>0</v>
      </c>
      <c r="M414" s="8"/>
      <c r="N414" s="8"/>
      <c r="O414" s="8">
        <f t="shared" si="273"/>
        <v>0</v>
      </c>
      <c r="P414" s="8"/>
      <c r="Q414" s="8"/>
      <c r="R414" s="9" t="str">
        <f t="shared" si="271"/>
        <v/>
      </c>
      <c r="S414" s="9">
        <f t="shared" si="272"/>
        <v>0</v>
      </c>
    </row>
    <row r="415" spans="1:19" x14ac:dyDescent="0.25">
      <c r="F415" s="7" t="e">
        <f t="shared" si="265"/>
        <v>#DIV/0!</v>
      </c>
      <c r="G415" s="7">
        <f t="shared" si="266"/>
        <v>0</v>
      </c>
      <c r="H415" s="8">
        <f t="shared" si="267"/>
        <v>0</v>
      </c>
      <c r="I415" s="8">
        <f t="shared" si="268"/>
        <v>0</v>
      </c>
      <c r="J415" s="8">
        <f t="shared" si="268"/>
        <v>0</v>
      </c>
      <c r="K415" s="8">
        <f t="shared" ca="1" si="269"/>
        <v>0</v>
      </c>
      <c r="L415" s="8">
        <f t="shared" ca="1" si="270"/>
        <v>0</v>
      </c>
      <c r="M415" s="8"/>
      <c r="N415" s="8"/>
      <c r="O415" s="8">
        <f>$J415-($P415+$Q415)</f>
        <v>0</v>
      </c>
      <c r="P415" s="8"/>
      <c r="Q415" s="8"/>
      <c r="R415" s="9" t="str">
        <f t="shared" si="271"/>
        <v/>
      </c>
      <c r="S415" s="9">
        <f t="shared" si="272"/>
        <v>0</v>
      </c>
    </row>
    <row r="416" spans="1:19" x14ac:dyDescent="0.25">
      <c r="B416" s="1">
        <f>SUMPRODUCT((B406:B415&lt;&gt;"")/COUNTIF(B406:B415,B406:B415&amp;""))</f>
        <v>0</v>
      </c>
      <c r="C416" s="1">
        <f>COUNTA(Tableau15938[Mobilier])</f>
        <v>0</v>
      </c>
      <c r="D416" s="1">
        <f>COUNTA(Tableau15938[Nature des Dépenses])</f>
        <v>0</v>
      </c>
      <c r="F416" s="7" t="e">
        <f t="shared" ref="F416:S416" si="274">SUM(F406:F415)</f>
        <v>#DIV/0!</v>
      </c>
      <c r="G416" s="7">
        <f t="shared" si="274"/>
        <v>0</v>
      </c>
      <c r="H416" s="8">
        <f t="shared" si="274"/>
        <v>0</v>
      </c>
      <c r="I416" s="8">
        <f t="shared" si="274"/>
        <v>0</v>
      </c>
      <c r="J416" s="8">
        <f t="shared" si="274"/>
        <v>0</v>
      </c>
      <c r="K416" s="8">
        <f t="shared" ca="1" si="274"/>
        <v>0</v>
      </c>
      <c r="L416" s="8">
        <f t="shared" ca="1" si="274"/>
        <v>0</v>
      </c>
      <c r="M416" s="8">
        <f t="shared" si="274"/>
        <v>0</v>
      </c>
      <c r="N416" s="8">
        <f t="shared" si="274"/>
        <v>0</v>
      </c>
      <c r="O416" s="8">
        <f t="shared" si="274"/>
        <v>0</v>
      </c>
      <c r="P416" s="8">
        <f t="shared" si="274"/>
        <v>0</v>
      </c>
      <c r="Q416" s="8">
        <f t="shared" si="274"/>
        <v>0</v>
      </c>
      <c r="R416" s="8">
        <f t="shared" si="274"/>
        <v>0</v>
      </c>
      <c r="S416" s="8">
        <f t="shared" si="274"/>
        <v>0</v>
      </c>
    </row>
    <row r="417" spans="1:19" x14ac:dyDescent="0.25">
      <c r="F417" s="7"/>
      <c r="G417" s="7"/>
    </row>
    <row r="418" spans="1:19" x14ac:dyDescent="0.25">
      <c r="F418" s="7"/>
      <c r="G418" s="7"/>
    </row>
    <row r="419" spans="1:19" ht="15.75" thickBot="1" x14ac:dyDescent="0.3">
      <c r="F419" s="7"/>
      <c r="G419" s="7"/>
    </row>
    <row r="420" spans="1:19" ht="15.75" thickBot="1" x14ac:dyDescent="0.3">
      <c r="F420" s="7"/>
      <c r="G420" s="7"/>
      <c r="M420" s="23" t="s">
        <v>0</v>
      </c>
      <c r="N420" s="24"/>
      <c r="O420" s="2" t="s">
        <v>1</v>
      </c>
      <c r="P420" s="25" t="s">
        <v>2</v>
      </c>
      <c r="Q420" s="26"/>
      <c r="R420" s="23" t="s">
        <v>3</v>
      </c>
      <c r="S420" s="24"/>
    </row>
    <row r="421" spans="1:19" s="6" customFormat="1" ht="14.1" customHeight="1" x14ac:dyDescent="0.2">
      <c r="A421" s="21" t="s">
        <v>4</v>
      </c>
      <c r="B421" s="4" t="s">
        <v>5</v>
      </c>
      <c r="C421" s="18" t="s">
        <v>47</v>
      </c>
      <c r="D421" s="3" t="s">
        <v>7</v>
      </c>
      <c r="E421" s="3" t="s">
        <v>8</v>
      </c>
      <c r="F421" s="5" t="s">
        <v>9</v>
      </c>
      <c r="G421" s="5" t="s">
        <v>10</v>
      </c>
      <c r="H421" s="4" t="s">
        <v>11</v>
      </c>
      <c r="I421" s="3" t="s">
        <v>12</v>
      </c>
      <c r="J421" s="3" t="s">
        <v>13</v>
      </c>
      <c r="K421" s="3" t="s">
        <v>14</v>
      </c>
      <c r="L421" s="3" t="s">
        <v>15</v>
      </c>
      <c r="M421" s="3" t="s">
        <v>16</v>
      </c>
      <c r="N421" s="3" t="s">
        <v>17</v>
      </c>
      <c r="O421" s="3" t="s">
        <v>1</v>
      </c>
      <c r="P421" s="3" t="s">
        <v>18</v>
      </c>
      <c r="Q421" s="3" t="s">
        <v>19</v>
      </c>
      <c r="R421" s="3" t="s">
        <v>20</v>
      </c>
      <c r="S421" s="3" t="s">
        <v>21</v>
      </c>
    </row>
    <row r="422" spans="1:19" x14ac:dyDescent="0.25">
      <c r="F422" s="7" t="e">
        <f t="shared" ref="F422:F431" si="275">$J422/J$432</f>
        <v>#DIV/0!</v>
      </c>
      <c r="G422" s="7">
        <f t="shared" ref="G422:G431" si="276">$J422/J$57</f>
        <v>0</v>
      </c>
      <c r="H422" s="8">
        <f t="shared" ref="H422:H431" si="277">$J422-$I422</f>
        <v>0</v>
      </c>
      <c r="I422" s="8">
        <f t="shared" ref="I422:J431" si="278">$M422+$N422</f>
        <v>0</v>
      </c>
      <c r="J422" s="8">
        <f t="shared" si="278"/>
        <v>0</v>
      </c>
      <c r="K422" s="8">
        <f t="shared" ref="K422:K431" ca="1" si="279">IF(($K422)&gt;=$N422+$M422,"",($L422-$M422-$N422))</f>
        <v>0</v>
      </c>
      <c r="L422" s="8">
        <f ca="1">M422+N422-K422</f>
        <v>0</v>
      </c>
      <c r="M422" s="8"/>
      <c r="N422" s="8"/>
      <c r="O422" s="8">
        <f>$J422-($P422+$Q422)</f>
        <v>0</v>
      </c>
      <c r="P422" s="8"/>
      <c r="Q422" s="8"/>
      <c r="R422" s="9" t="str">
        <f>IF(($M422+$P422)&gt;=$N422+$Q422,"",($O422/2)+$P422-$M422)</f>
        <v/>
      </c>
      <c r="S422" s="9">
        <f>IF(($M422+$P422)&gt;=$N422+$Q422,($O422/2)+$Q422-$N422,"")</f>
        <v>0</v>
      </c>
    </row>
    <row r="423" spans="1:19" x14ac:dyDescent="0.25">
      <c r="F423" s="7" t="e">
        <f t="shared" si="275"/>
        <v>#DIV/0!</v>
      </c>
      <c r="G423" s="7">
        <f t="shared" si="276"/>
        <v>0</v>
      </c>
      <c r="H423" s="8">
        <f t="shared" si="277"/>
        <v>0</v>
      </c>
      <c r="I423" s="8">
        <f t="shared" si="278"/>
        <v>0</v>
      </c>
      <c r="J423" s="8">
        <f t="shared" si="278"/>
        <v>0</v>
      </c>
      <c r="K423" s="8">
        <f t="shared" ca="1" si="279"/>
        <v>0</v>
      </c>
      <c r="L423" s="8">
        <f t="shared" ref="L423:L431" ca="1" si="280">M423+N423-K423</f>
        <v>0</v>
      </c>
      <c r="M423" s="8"/>
      <c r="N423" s="8"/>
      <c r="O423" s="8">
        <f>$J423-($P423+$Q423)</f>
        <v>0</v>
      </c>
      <c r="P423" s="8"/>
      <c r="Q423" s="8"/>
      <c r="R423" s="9" t="str">
        <f t="shared" ref="R423:R431" si="281">IF(($M423+$P423)&gt;=$N423+$Q423,"",($O423/2)+$P423-$M423)</f>
        <v/>
      </c>
      <c r="S423" s="9">
        <f t="shared" ref="S423:S431" si="282">IF(($M423+$P423)&gt;=$N423+$Q423,($O423/2)+$Q423-$N423,"")</f>
        <v>0</v>
      </c>
    </row>
    <row r="424" spans="1:19" x14ac:dyDescent="0.25">
      <c r="F424" s="7" t="e">
        <f t="shared" si="275"/>
        <v>#DIV/0!</v>
      </c>
      <c r="G424" s="7">
        <f t="shared" si="276"/>
        <v>0</v>
      </c>
      <c r="H424" s="8">
        <f t="shared" si="277"/>
        <v>0</v>
      </c>
      <c r="I424" s="8">
        <f t="shared" si="278"/>
        <v>0</v>
      </c>
      <c r="J424" s="8">
        <f t="shared" si="278"/>
        <v>0</v>
      </c>
      <c r="K424" s="8">
        <f t="shared" ca="1" si="279"/>
        <v>0</v>
      </c>
      <c r="L424" s="8">
        <f t="shared" ca="1" si="280"/>
        <v>0</v>
      </c>
      <c r="M424" s="8"/>
      <c r="N424" s="8"/>
      <c r="O424" s="8">
        <f>$J424-($P424+$Q424)</f>
        <v>0</v>
      </c>
      <c r="P424" s="8"/>
      <c r="Q424" s="8"/>
      <c r="R424" s="9" t="str">
        <f t="shared" si="281"/>
        <v/>
      </c>
      <c r="S424" s="9">
        <f t="shared" si="282"/>
        <v>0</v>
      </c>
    </row>
    <row r="425" spans="1:19" x14ac:dyDescent="0.25">
      <c r="F425" s="7" t="e">
        <f t="shared" si="275"/>
        <v>#DIV/0!</v>
      </c>
      <c r="G425" s="7">
        <f t="shared" si="276"/>
        <v>0</v>
      </c>
      <c r="H425" s="8">
        <f t="shared" si="277"/>
        <v>0</v>
      </c>
      <c r="I425" s="8">
        <f t="shared" si="278"/>
        <v>0</v>
      </c>
      <c r="J425" s="8">
        <f t="shared" si="278"/>
        <v>0</v>
      </c>
      <c r="K425" s="8">
        <f t="shared" ca="1" si="279"/>
        <v>0</v>
      </c>
      <c r="L425" s="8">
        <f t="shared" ca="1" si="280"/>
        <v>0</v>
      </c>
      <c r="M425" s="8"/>
      <c r="N425" s="8"/>
      <c r="O425" s="8">
        <f>$J425-($P425+$Q425)</f>
        <v>0</v>
      </c>
      <c r="P425" s="8"/>
      <c r="Q425" s="8"/>
      <c r="R425" s="9" t="str">
        <f t="shared" si="281"/>
        <v/>
      </c>
      <c r="S425" s="9">
        <f t="shared" si="282"/>
        <v>0</v>
      </c>
    </row>
    <row r="426" spans="1:19" x14ac:dyDescent="0.25">
      <c r="F426" s="7" t="e">
        <f t="shared" si="275"/>
        <v>#DIV/0!</v>
      </c>
      <c r="G426" s="7">
        <f t="shared" si="276"/>
        <v>0</v>
      </c>
      <c r="H426" s="8">
        <f t="shared" si="277"/>
        <v>0</v>
      </c>
      <c r="I426" s="8">
        <f t="shared" si="278"/>
        <v>0</v>
      </c>
      <c r="J426" s="8">
        <f t="shared" si="278"/>
        <v>0</v>
      </c>
      <c r="K426" s="8">
        <f t="shared" ca="1" si="279"/>
        <v>0</v>
      </c>
      <c r="L426" s="8">
        <f t="shared" ca="1" si="280"/>
        <v>0</v>
      </c>
      <c r="M426" s="8"/>
      <c r="N426" s="8"/>
      <c r="O426" s="8">
        <f t="shared" ref="O426:O430" si="283">$J426-($P426+$Q426)</f>
        <v>0</v>
      </c>
      <c r="P426" s="8"/>
      <c r="Q426" s="8"/>
      <c r="R426" s="9" t="str">
        <f t="shared" si="281"/>
        <v/>
      </c>
      <c r="S426" s="9">
        <f t="shared" si="282"/>
        <v>0</v>
      </c>
    </row>
    <row r="427" spans="1:19" x14ac:dyDescent="0.25">
      <c r="F427" s="7" t="e">
        <f t="shared" si="275"/>
        <v>#DIV/0!</v>
      </c>
      <c r="G427" s="7">
        <f t="shared" si="276"/>
        <v>0</v>
      </c>
      <c r="H427" s="8">
        <f t="shared" si="277"/>
        <v>0</v>
      </c>
      <c r="I427" s="8">
        <f t="shared" si="278"/>
        <v>0</v>
      </c>
      <c r="J427" s="8">
        <f t="shared" si="278"/>
        <v>0</v>
      </c>
      <c r="K427" s="8">
        <f t="shared" ca="1" si="279"/>
        <v>0</v>
      </c>
      <c r="L427" s="8">
        <f t="shared" ca="1" si="280"/>
        <v>0</v>
      </c>
      <c r="M427" s="8"/>
      <c r="N427" s="8"/>
      <c r="O427" s="8">
        <f>$J427-($P427+$Q427)</f>
        <v>0</v>
      </c>
      <c r="P427" s="8"/>
      <c r="Q427" s="8"/>
      <c r="R427" s="9" t="str">
        <f t="shared" si="281"/>
        <v/>
      </c>
      <c r="S427" s="9">
        <f t="shared" si="282"/>
        <v>0</v>
      </c>
    </row>
    <row r="428" spans="1:19" x14ac:dyDescent="0.25">
      <c r="F428" s="7" t="e">
        <f t="shared" si="275"/>
        <v>#DIV/0!</v>
      </c>
      <c r="G428" s="7">
        <f t="shared" si="276"/>
        <v>0</v>
      </c>
      <c r="H428" s="8">
        <f t="shared" si="277"/>
        <v>0</v>
      </c>
      <c r="I428" s="8">
        <f t="shared" si="278"/>
        <v>0</v>
      </c>
      <c r="J428" s="8">
        <f t="shared" si="278"/>
        <v>0</v>
      </c>
      <c r="K428" s="8">
        <f t="shared" ca="1" si="279"/>
        <v>0</v>
      </c>
      <c r="L428" s="8">
        <f t="shared" ca="1" si="280"/>
        <v>0</v>
      </c>
      <c r="M428" s="8"/>
      <c r="N428" s="8"/>
      <c r="O428" s="8">
        <f t="shared" si="283"/>
        <v>0</v>
      </c>
      <c r="P428" s="8"/>
      <c r="Q428" s="8"/>
      <c r="R428" s="9" t="str">
        <f t="shared" si="281"/>
        <v/>
      </c>
      <c r="S428" s="9">
        <f t="shared" si="282"/>
        <v>0</v>
      </c>
    </row>
    <row r="429" spans="1:19" x14ac:dyDescent="0.25">
      <c r="F429" s="7" t="e">
        <f t="shared" si="275"/>
        <v>#DIV/0!</v>
      </c>
      <c r="G429" s="7">
        <f t="shared" si="276"/>
        <v>0</v>
      </c>
      <c r="H429" s="8">
        <f t="shared" si="277"/>
        <v>0</v>
      </c>
      <c r="I429" s="8">
        <f t="shared" si="278"/>
        <v>0</v>
      </c>
      <c r="J429" s="8">
        <f t="shared" si="278"/>
        <v>0</v>
      </c>
      <c r="K429" s="8">
        <f t="shared" ca="1" si="279"/>
        <v>0</v>
      </c>
      <c r="L429" s="8">
        <f t="shared" ca="1" si="280"/>
        <v>0</v>
      </c>
      <c r="M429" s="8"/>
      <c r="N429" s="8"/>
      <c r="O429" s="8">
        <f>$J429-($P429+$Q429)</f>
        <v>0</v>
      </c>
      <c r="P429" s="8"/>
      <c r="Q429" s="8"/>
      <c r="R429" s="9" t="str">
        <f t="shared" si="281"/>
        <v/>
      </c>
      <c r="S429" s="9">
        <f t="shared" si="282"/>
        <v>0</v>
      </c>
    </row>
    <row r="430" spans="1:19" x14ac:dyDescent="0.25">
      <c r="F430" s="7" t="e">
        <f t="shared" si="275"/>
        <v>#DIV/0!</v>
      </c>
      <c r="G430" s="7">
        <f t="shared" si="276"/>
        <v>0</v>
      </c>
      <c r="H430" s="8">
        <f t="shared" si="277"/>
        <v>0</v>
      </c>
      <c r="I430" s="8">
        <f t="shared" si="278"/>
        <v>0</v>
      </c>
      <c r="J430" s="8">
        <f t="shared" si="278"/>
        <v>0</v>
      </c>
      <c r="K430" s="8">
        <f t="shared" ca="1" si="279"/>
        <v>0</v>
      </c>
      <c r="L430" s="8">
        <f t="shared" ca="1" si="280"/>
        <v>0</v>
      </c>
      <c r="M430" s="8"/>
      <c r="N430" s="8"/>
      <c r="O430" s="8">
        <f t="shared" si="283"/>
        <v>0</v>
      </c>
      <c r="P430" s="8"/>
      <c r="Q430" s="8"/>
      <c r="R430" s="9" t="str">
        <f t="shared" si="281"/>
        <v/>
      </c>
      <c r="S430" s="9">
        <f t="shared" si="282"/>
        <v>0</v>
      </c>
    </row>
    <row r="431" spans="1:19" x14ac:dyDescent="0.25">
      <c r="F431" s="7" t="e">
        <f t="shared" si="275"/>
        <v>#DIV/0!</v>
      </c>
      <c r="G431" s="7">
        <f t="shared" si="276"/>
        <v>0</v>
      </c>
      <c r="H431" s="8">
        <f t="shared" si="277"/>
        <v>0</v>
      </c>
      <c r="I431" s="8">
        <f t="shared" si="278"/>
        <v>0</v>
      </c>
      <c r="J431" s="8">
        <f t="shared" si="278"/>
        <v>0</v>
      </c>
      <c r="K431" s="8">
        <f t="shared" ca="1" si="279"/>
        <v>0</v>
      </c>
      <c r="L431" s="8">
        <f t="shared" ca="1" si="280"/>
        <v>0</v>
      </c>
      <c r="M431" s="8"/>
      <c r="N431" s="8"/>
      <c r="O431" s="8">
        <f>$J431-($P431+$Q431)</f>
        <v>0</v>
      </c>
      <c r="P431" s="8"/>
      <c r="Q431" s="8"/>
      <c r="R431" s="9" t="str">
        <f t="shared" si="281"/>
        <v/>
      </c>
      <c r="S431" s="9">
        <f t="shared" si="282"/>
        <v>0</v>
      </c>
    </row>
    <row r="432" spans="1:19" x14ac:dyDescent="0.25">
      <c r="B432" s="1">
        <f>SUMPRODUCT((B422:B431&lt;&gt;"")/COUNTIF(B422:B431,B422:B431&amp;""))</f>
        <v>0</v>
      </c>
      <c r="C432" s="1">
        <f>COUNTA(Tableau15940[Travaux])</f>
        <v>0</v>
      </c>
      <c r="D432" s="1">
        <f>COUNTA(Tableau15940[Nature des Dépenses])</f>
        <v>0</v>
      </c>
      <c r="F432" s="7" t="e">
        <f t="shared" ref="F432:S432" si="284">SUM(F422:F431)</f>
        <v>#DIV/0!</v>
      </c>
      <c r="G432" s="7">
        <f t="shared" si="284"/>
        <v>0</v>
      </c>
      <c r="H432" s="8">
        <f t="shared" si="284"/>
        <v>0</v>
      </c>
      <c r="I432" s="8">
        <f t="shared" si="284"/>
        <v>0</v>
      </c>
      <c r="J432" s="8">
        <f t="shared" si="284"/>
        <v>0</v>
      </c>
      <c r="K432" s="8">
        <f t="shared" ca="1" si="284"/>
        <v>0</v>
      </c>
      <c r="L432" s="8">
        <f t="shared" ca="1" si="284"/>
        <v>0</v>
      </c>
      <c r="M432" s="8">
        <f t="shared" si="284"/>
        <v>0</v>
      </c>
      <c r="N432" s="8">
        <f t="shared" si="284"/>
        <v>0</v>
      </c>
      <c r="O432" s="8">
        <f t="shared" si="284"/>
        <v>0</v>
      </c>
      <c r="P432" s="8">
        <f t="shared" si="284"/>
        <v>0</v>
      </c>
      <c r="Q432" s="8">
        <f t="shared" si="284"/>
        <v>0</v>
      </c>
      <c r="R432" s="8">
        <f t="shared" si="284"/>
        <v>0</v>
      </c>
      <c r="S432" s="8">
        <f t="shared" si="284"/>
        <v>0</v>
      </c>
    </row>
    <row r="433" spans="1:19" x14ac:dyDescent="0.25">
      <c r="F433" s="7"/>
      <c r="G433" s="7"/>
    </row>
    <row r="434" spans="1:19" x14ac:dyDescent="0.25">
      <c r="F434" s="7"/>
      <c r="G434" s="7"/>
    </row>
    <row r="435" spans="1:19" ht="15.75" thickBot="1" x14ac:dyDescent="0.3">
      <c r="F435" s="7"/>
      <c r="G435" s="7"/>
    </row>
    <row r="436" spans="1:19" ht="15.75" thickBot="1" x14ac:dyDescent="0.3">
      <c r="F436" s="7"/>
      <c r="G436" s="7"/>
      <c r="M436" s="23" t="s">
        <v>0</v>
      </c>
      <c r="N436" s="24"/>
      <c r="O436" s="2" t="s">
        <v>1</v>
      </c>
      <c r="P436" s="25" t="s">
        <v>2</v>
      </c>
      <c r="Q436" s="26"/>
      <c r="R436" s="23" t="s">
        <v>3</v>
      </c>
      <c r="S436" s="24"/>
    </row>
    <row r="437" spans="1:19" s="6" customFormat="1" ht="14.1" customHeight="1" x14ac:dyDescent="0.2">
      <c r="A437" s="21" t="s">
        <v>4</v>
      </c>
      <c r="B437" s="4" t="s">
        <v>5</v>
      </c>
      <c r="C437" s="19" t="s">
        <v>48</v>
      </c>
      <c r="D437" s="3" t="s">
        <v>7</v>
      </c>
      <c r="E437" s="3" t="s">
        <v>8</v>
      </c>
      <c r="F437" s="5" t="s">
        <v>9</v>
      </c>
      <c r="G437" s="5" t="s">
        <v>10</v>
      </c>
      <c r="H437" s="4" t="s">
        <v>11</v>
      </c>
      <c r="I437" s="3" t="s">
        <v>12</v>
      </c>
      <c r="J437" s="3" t="s">
        <v>13</v>
      </c>
      <c r="K437" s="3" t="s">
        <v>14</v>
      </c>
      <c r="L437" s="3" t="s">
        <v>15</v>
      </c>
      <c r="M437" s="3" t="s">
        <v>16</v>
      </c>
      <c r="N437" s="3" t="s">
        <v>17</v>
      </c>
      <c r="O437" s="3" t="s">
        <v>1</v>
      </c>
      <c r="P437" s="3" t="s">
        <v>18</v>
      </c>
      <c r="Q437" s="3" t="s">
        <v>19</v>
      </c>
      <c r="R437" s="3" t="s">
        <v>20</v>
      </c>
      <c r="S437" s="3" t="s">
        <v>21</v>
      </c>
    </row>
    <row r="438" spans="1:19" x14ac:dyDescent="0.25">
      <c r="F438" s="7" t="e">
        <f t="shared" ref="F438:F447" si="285">$J438/J$448</f>
        <v>#DIV/0!</v>
      </c>
      <c r="G438" s="7">
        <f t="shared" ref="G438:G447" si="286">$J438/J$57</f>
        <v>0</v>
      </c>
      <c r="H438" s="8">
        <f t="shared" ref="H438:H447" si="287">$J438-$I438</f>
        <v>0</v>
      </c>
      <c r="I438" s="8">
        <f t="shared" ref="I438:J447" si="288">$M438+$N438</f>
        <v>0</v>
      </c>
      <c r="J438" s="8">
        <f t="shared" si="288"/>
        <v>0</v>
      </c>
      <c r="K438" s="8">
        <f t="shared" ref="K438:K447" ca="1" si="289">IF(($K438)&gt;=$N438+$M438,"",($L438-$M438-$N438))</f>
        <v>0</v>
      </c>
      <c r="L438" s="8">
        <f ca="1">M438+N438-K438</f>
        <v>0</v>
      </c>
      <c r="M438" s="8"/>
      <c r="N438" s="8"/>
      <c r="O438" s="8">
        <f>$J438-($P438+$Q438)</f>
        <v>0</v>
      </c>
      <c r="P438" s="8"/>
      <c r="Q438" s="8"/>
      <c r="R438" s="9" t="str">
        <f>IF(($M438+$P438)&gt;=$N438+$Q438,"",($O438/2)+$P438-$M438)</f>
        <v/>
      </c>
      <c r="S438" s="9">
        <f>IF(($M438+$P438)&gt;=$N438+$Q438,($O438/2)+$Q438-$N438,"")</f>
        <v>0</v>
      </c>
    </row>
    <row r="439" spans="1:19" x14ac:dyDescent="0.25">
      <c r="F439" s="7" t="e">
        <f t="shared" si="285"/>
        <v>#DIV/0!</v>
      </c>
      <c r="G439" s="7">
        <f t="shared" si="286"/>
        <v>0</v>
      </c>
      <c r="H439" s="8">
        <f t="shared" si="287"/>
        <v>0</v>
      </c>
      <c r="I439" s="8">
        <f t="shared" si="288"/>
        <v>0</v>
      </c>
      <c r="J439" s="8">
        <f t="shared" si="288"/>
        <v>0</v>
      </c>
      <c r="K439" s="8">
        <f t="shared" ca="1" si="289"/>
        <v>0</v>
      </c>
      <c r="L439" s="8">
        <f t="shared" ref="L439:L447" ca="1" si="290">M439+N439-K439</f>
        <v>0</v>
      </c>
      <c r="M439" s="8"/>
      <c r="N439" s="8"/>
      <c r="O439" s="8">
        <f>$J439-($P439+$Q439)</f>
        <v>0</v>
      </c>
      <c r="P439" s="8"/>
      <c r="Q439" s="8"/>
      <c r="R439" s="9" t="str">
        <f t="shared" ref="R439:R447" si="291">IF(($M439+$P439)&gt;=$N439+$Q439,"",($O439/2)+$P439-$M439)</f>
        <v/>
      </c>
      <c r="S439" s="9">
        <f t="shared" ref="S439:S447" si="292">IF(($M439+$P439)&gt;=$N439+$Q439,($O439/2)+$Q439-$N439,"")</f>
        <v>0</v>
      </c>
    </row>
    <row r="440" spans="1:19" x14ac:dyDescent="0.25">
      <c r="F440" s="7" t="e">
        <f t="shared" si="285"/>
        <v>#DIV/0!</v>
      </c>
      <c r="G440" s="7">
        <f t="shared" si="286"/>
        <v>0</v>
      </c>
      <c r="H440" s="8">
        <f t="shared" si="287"/>
        <v>0</v>
      </c>
      <c r="I440" s="8">
        <f t="shared" si="288"/>
        <v>0</v>
      </c>
      <c r="J440" s="8">
        <f t="shared" si="288"/>
        <v>0</v>
      </c>
      <c r="K440" s="8">
        <f t="shared" ca="1" si="289"/>
        <v>0</v>
      </c>
      <c r="L440" s="8">
        <f t="shared" ca="1" si="290"/>
        <v>0</v>
      </c>
      <c r="M440" s="8"/>
      <c r="N440" s="8"/>
      <c r="O440" s="8">
        <f>$J440-($P440+$Q440)</f>
        <v>0</v>
      </c>
      <c r="P440" s="8"/>
      <c r="Q440" s="8"/>
      <c r="R440" s="9" t="str">
        <f t="shared" si="291"/>
        <v/>
      </c>
      <c r="S440" s="9">
        <f t="shared" si="292"/>
        <v>0</v>
      </c>
    </row>
    <row r="441" spans="1:19" x14ac:dyDescent="0.25">
      <c r="F441" s="7" t="e">
        <f t="shared" si="285"/>
        <v>#DIV/0!</v>
      </c>
      <c r="G441" s="7">
        <f t="shared" si="286"/>
        <v>0</v>
      </c>
      <c r="H441" s="8">
        <f t="shared" si="287"/>
        <v>0</v>
      </c>
      <c r="I441" s="8">
        <f t="shared" si="288"/>
        <v>0</v>
      </c>
      <c r="J441" s="8">
        <f t="shared" si="288"/>
        <v>0</v>
      </c>
      <c r="K441" s="8">
        <f t="shared" ca="1" si="289"/>
        <v>0</v>
      </c>
      <c r="L441" s="8">
        <f t="shared" ca="1" si="290"/>
        <v>0</v>
      </c>
      <c r="M441" s="8"/>
      <c r="N441" s="8"/>
      <c r="O441" s="8">
        <f>$J441-($P441+$Q441)</f>
        <v>0</v>
      </c>
      <c r="P441" s="8"/>
      <c r="Q441" s="8"/>
      <c r="R441" s="9" t="str">
        <f t="shared" si="291"/>
        <v/>
      </c>
      <c r="S441" s="9">
        <f t="shared" si="292"/>
        <v>0</v>
      </c>
    </row>
    <row r="442" spans="1:19" x14ac:dyDescent="0.25">
      <c r="F442" s="7" t="e">
        <f t="shared" si="285"/>
        <v>#DIV/0!</v>
      </c>
      <c r="G442" s="7">
        <f t="shared" si="286"/>
        <v>0</v>
      </c>
      <c r="H442" s="8">
        <f t="shared" si="287"/>
        <v>0</v>
      </c>
      <c r="I442" s="8">
        <f t="shared" si="288"/>
        <v>0</v>
      </c>
      <c r="J442" s="8">
        <f t="shared" si="288"/>
        <v>0</v>
      </c>
      <c r="K442" s="8">
        <f t="shared" ca="1" si="289"/>
        <v>0</v>
      </c>
      <c r="L442" s="8">
        <f t="shared" ca="1" si="290"/>
        <v>0</v>
      </c>
      <c r="M442" s="8"/>
      <c r="N442" s="8"/>
      <c r="O442" s="8">
        <f t="shared" ref="O442:O446" si="293">$J442-($P442+$Q442)</f>
        <v>0</v>
      </c>
      <c r="P442" s="8"/>
      <c r="Q442" s="8"/>
      <c r="R442" s="9" t="str">
        <f t="shared" si="291"/>
        <v/>
      </c>
      <c r="S442" s="9">
        <f t="shared" si="292"/>
        <v>0</v>
      </c>
    </row>
    <row r="443" spans="1:19" x14ac:dyDescent="0.25">
      <c r="F443" s="7" t="e">
        <f t="shared" si="285"/>
        <v>#DIV/0!</v>
      </c>
      <c r="G443" s="7">
        <f t="shared" si="286"/>
        <v>0</v>
      </c>
      <c r="H443" s="8">
        <f t="shared" si="287"/>
        <v>0</v>
      </c>
      <c r="I443" s="8">
        <f t="shared" si="288"/>
        <v>0</v>
      </c>
      <c r="J443" s="8">
        <f t="shared" si="288"/>
        <v>0</v>
      </c>
      <c r="K443" s="8">
        <f t="shared" ca="1" si="289"/>
        <v>0</v>
      </c>
      <c r="L443" s="8">
        <f t="shared" ca="1" si="290"/>
        <v>0</v>
      </c>
      <c r="M443" s="8"/>
      <c r="N443" s="8"/>
      <c r="O443" s="8">
        <f>$J443-($P443+$Q443)</f>
        <v>0</v>
      </c>
      <c r="P443" s="8"/>
      <c r="Q443" s="8"/>
      <c r="R443" s="9" t="str">
        <f t="shared" si="291"/>
        <v/>
      </c>
      <c r="S443" s="9">
        <f t="shared" si="292"/>
        <v>0</v>
      </c>
    </row>
    <row r="444" spans="1:19" x14ac:dyDescent="0.25">
      <c r="F444" s="7" t="e">
        <f t="shared" si="285"/>
        <v>#DIV/0!</v>
      </c>
      <c r="G444" s="7">
        <f t="shared" si="286"/>
        <v>0</v>
      </c>
      <c r="H444" s="8">
        <f t="shared" si="287"/>
        <v>0</v>
      </c>
      <c r="I444" s="8">
        <f t="shared" si="288"/>
        <v>0</v>
      </c>
      <c r="J444" s="8">
        <f t="shared" si="288"/>
        <v>0</v>
      </c>
      <c r="K444" s="8">
        <f t="shared" ca="1" si="289"/>
        <v>0</v>
      </c>
      <c r="L444" s="8">
        <f t="shared" ca="1" si="290"/>
        <v>0</v>
      </c>
      <c r="M444" s="8"/>
      <c r="N444" s="8"/>
      <c r="O444" s="8">
        <f t="shared" si="293"/>
        <v>0</v>
      </c>
      <c r="P444" s="8"/>
      <c r="Q444" s="8"/>
      <c r="R444" s="9" t="str">
        <f t="shared" si="291"/>
        <v/>
      </c>
      <c r="S444" s="9">
        <f t="shared" si="292"/>
        <v>0</v>
      </c>
    </row>
    <row r="445" spans="1:19" x14ac:dyDescent="0.25">
      <c r="F445" s="7" t="e">
        <f t="shared" si="285"/>
        <v>#DIV/0!</v>
      </c>
      <c r="G445" s="7">
        <f t="shared" si="286"/>
        <v>0</v>
      </c>
      <c r="H445" s="8">
        <f t="shared" si="287"/>
        <v>0</v>
      </c>
      <c r="I445" s="8">
        <f t="shared" si="288"/>
        <v>0</v>
      </c>
      <c r="J445" s="8">
        <f t="shared" si="288"/>
        <v>0</v>
      </c>
      <c r="K445" s="8">
        <f t="shared" ca="1" si="289"/>
        <v>0</v>
      </c>
      <c r="L445" s="8">
        <f t="shared" ca="1" si="290"/>
        <v>0</v>
      </c>
      <c r="M445" s="8"/>
      <c r="N445" s="8"/>
      <c r="O445" s="8">
        <f>$J445-($P445+$Q445)</f>
        <v>0</v>
      </c>
      <c r="P445" s="8"/>
      <c r="Q445" s="8"/>
      <c r="R445" s="9" t="str">
        <f t="shared" si="291"/>
        <v/>
      </c>
      <c r="S445" s="9">
        <f t="shared" si="292"/>
        <v>0</v>
      </c>
    </row>
    <row r="446" spans="1:19" x14ac:dyDescent="0.25">
      <c r="F446" s="7" t="e">
        <f t="shared" si="285"/>
        <v>#DIV/0!</v>
      </c>
      <c r="G446" s="7">
        <f t="shared" si="286"/>
        <v>0</v>
      </c>
      <c r="H446" s="8">
        <f t="shared" si="287"/>
        <v>0</v>
      </c>
      <c r="I446" s="8">
        <f t="shared" si="288"/>
        <v>0</v>
      </c>
      <c r="J446" s="8">
        <f t="shared" si="288"/>
        <v>0</v>
      </c>
      <c r="K446" s="8">
        <f t="shared" ca="1" si="289"/>
        <v>0</v>
      </c>
      <c r="L446" s="8">
        <f t="shared" ca="1" si="290"/>
        <v>0</v>
      </c>
      <c r="M446" s="8"/>
      <c r="N446" s="8"/>
      <c r="O446" s="8">
        <f t="shared" si="293"/>
        <v>0</v>
      </c>
      <c r="P446" s="8"/>
      <c r="Q446" s="8"/>
      <c r="R446" s="9" t="str">
        <f t="shared" si="291"/>
        <v/>
      </c>
      <c r="S446" s="9">
        <f t="shared" si="292"/>
        <v>0</v>
      </c>
    </row>
    <row r="447" spans="1:19" x14ac:dyDescent="0.25">
      <c r="F447" s="7" t="e">
        <f t="shared" si="285"/>
        <v>#DIV/0!</v>
      </c>
      <c r="G447" s="7">
        <f t="shared" si="286"/>
        <v>0</v>
      </c>
      <c r="H447" s="8">
        <f t="shared" si="287"/>
        <v>0</v>
      </c>
      <c r="I447" s="8">
        <f t="shared" si="288"/>
        <v>0</v>
      </c>
      <c r="J447" s="8">
        <f t="shared" si="288"/>
        <v>0</v>
      </c>
      <c r="K447" s="8">
        <f t="shared" ca="1" si="289"/>
        <v>0</v>
      </c>
      <c r="L447" s="8">
        <f t="shared" ca="1" si="290"/>
        <v>0</v>
      </c>
      <c r="M447" s="8"/>
      <c r="N447" s="8"/>
      <c r="O447" s="8">
        <f>$J447-($P447+$Q447)</f>
        <v>0</v>
      </c>
      <c r="P447" s="8"/>
      <c r="Q447" s="8"/>
      <c r="R447" s="9" t="str">
        <f t="shared" si="291"/>
        <v/>
      </c>
      <c r="S447" s="9">
        <f t="shared" si="292"/>
        <v>0</v>
      </c>
    </row>
    <row r="448" spans="1:19" x14ac:dyDescent="0.25">
      <c r="B448" s="1">
        <f>SUMPRODUCT((B438:B447&lt;&gt;"")/COUNTIF(B438:B447,B438:B447&amp;""))</f>
        <v>0</v>
      </c>
      <c r="C448" s="1">
        <f>COUNTA(Tableau15942[Matériel Régie / Outils de Travail])</f>
        <v>0</v>
      </c>
      <c r="D448" s="1">
        <f>COUNTA(Tableau15942[Nature des Dépenses])</f>
        <v>0</v>
      </c>
      <c r="F448" s="7" t="e">
        <f t="shared" ref="F448:S448" si="294">SUM(F438:F447)</f>
        <v>#DIV/0!</v>
      </c>
      <c r="G448" s="7">
        <f t="shared" si="294"/>
        <v>0</v>
      </c>
      <c r="H448" s="8">
        <f t="shared" si="294"/>
        <v>0</v>
      </c>
      <c r="I448" s="8">
        <f t="shared" si="294"/>
        <v>0</v>
      </c>
      <c r="J448" s="8">
        <f t="shared" si="294"/>
        <v>0</v>
      </c>
      <c r="K448" s="8">
        <f t="shared" ca="1" si="294"/>
        <v>0</v>
      </c>
      <c r="L448" s="8">
        <f t="shared" ca="1" si="294"/>
        <v>0</v>
      </c>
      <c r="M448" s="8">
        <f t="shared" si="294"/>
        <v>0</v>
      </c>
      <c r="N448" s="8">
        <f t="shared" si="294"/>
        <v>0</v>
      </c>
      <c r="O448" s="8">
        <f t="shared" si="294"/>
        <v>0</v>
      </c>
      <c r="P448" s="8">
        <f t="shared" si="294"/>
        <v>0</v>
      </c>
      <c r="Q448" s="8">
        <f t="shared" si="294"/>
        <v>0</v>
      </c>
      <c r="R448" s="8">
        <f t="shared" si="294"/>
        <v>0</v>
      </c>
      <c r="S448" s="8">
        <f t="shared" si="294"/>
        <v>0</v>
      </c>
    </row>
    <row r="449" spans="1:19" x14ac:dyDescent="0.25">
      <c r="F449" s="7"/>
      <c r="G449" s="7"/>
    </row>
    <row r="450" spans="1:19" x14ac:dyDescent="0.25">
      <c r="F450" s="7"/>
      <c r="G450" s="7"/>
    </row>
    <row r="451" spans="1:19" ht="15.75" thickBot="1" x14ac:dyDescent="0.3">
      <c r="F451" s="7"/>
      <c r="G451" s="7"/>
    </row>
    <row r="452" spans="1:19" ht="15.75" thickBot="1" x14ac:dyDescent="0.3">
      <c r="F452" s="7"/>
      <c r="G452" s="7"/>
      <c r="M452" s="23" t="s">
        <v>0</v>
      </c>
      <c r="N452" s="24"/>
      <c r="O452" s="2" t="s">
        <v>1</v>
      </c>
      <c r="P452" s="25" t="s">
        <v>2</v>
      </c>
      <c r="Q452" s="26"/>
      <c r="R452" s="23" t="s">
        <v>3</v>
      </c>
      <c r="S452" s="24"/>
    </row>
    <row r="453" spans="1:19" s="6" customFormat="1" ht="14.1" customHeight="1" x14ac:dyDescent="0.2">
      <c r="A453" s="21" t="s">
        <v>4</v>
      </c>
      <c r="B453" s="4" t="s">
        <v>5</v>
      </c>
      <c r="C453" s="3" t="s">
        <v>49</v>
      </c>
      <c r="D453" s="3" t="s">
        <v>7</v>
      </c>
      <c r="E453" s="3" t="s">
        <v>8</v>
      </c>
      <c r="F453" s="5" t="s">
        <v>9</v>
      </c>
      <c r="G453" s="5" t="s">
        <v>10</v>
      </c>
      <c r="H453" s="4" t="s">
        <v>11</v>
      </c>
      <c r="I453" s="3" t="s">
        <v>12</v>
      </c>
      <c r="J453" s="3" t="s">
        <v>13</v>
      </c>
      <c r="K453" s="3" t="s">
        <v>14</v>
      </c>
      <c r="L453" s="3" t="s">
        <v>15</v>
      </c>
      <c r="M453" s="3" t="s">
        <v>16</v>
      </c>
      <c r="N453" s="3" t="s">
        <v>17</v>
      </c>
      <c r="O453" s="3" t="s">
        <v>1</v>
      </c>
      <c r="P453" s="3" t="s">
        <v>18</v>
      </c>
      <c r="Q453" s="3" t="s">
        <v>19</v>
      </c>
      <c r="R453" s="3" t="s">
        <v>20</v>
      </c>
      <c r="S453" s="3" t="s">
        <v>21</v>
      </c>
    </row>
    <row r="454" spans="1:19" x14ac:dyDescent="0.25">
      <c r="F454" s="7" t="e">
        <f t="shared" ref="F454:F463" si="295">$J454/J$464</f>
        <v>#DIV/0!</v>
      </c>
      <c r="G454" s="7">
        <f t="shared" ref="G454:G463" si="296">$J454/J$57</f>
        <v>0</v>
      </c>
      <c r="H454" s="8">
        <f t="shared" ref="H454:H463" si="297">$J454-$I454</f>
        <v>0</v>
      </c>
      <c r="I454" s="8">
        <f t="shared" ref="I454:J463" si="298">$M454+$N454</f>
        <v>0</v>
      </c>
      <c r="J454" s="8">
        <f t="shared" si="298"/>
        <v>0</v>
      </c>
      <c r="K454" s="8">
        <f t="shared" ref="K454:K463" ca="1" si="299">IF(($K454)&gt;=$N454+$M454,"",($L454-$M454-$N454))</f>
        <v>0</v>
      </c>
      <c r="L454" s="8">
        <f ca="1">M454+N454-K454</f>
        <v>0</v>
      </c>
      <c r="M454" s="8"/>
      <c r="N454" s="8"/>
      <c r="O454" s="8">
        <f>$J454-($P454+$Q454)</f>
        <v>0</v>
      </c>
      <c r="P454" s="8"/>
      <c r="Q454" s="8"/>
      <c r="R454" s="9" t="str">
        <f>IF(($M454+$P454)&gt;=$N454+$Q454,"",($O454/2)+$P454-$M454)</f>
        <v/>
      </c>
      <c r="S454" s="9">
        <f>IF(($M454+$P454)&gt;=$N454+$Q454,($O454/2)+$Q454-$N454,"")</f>
        <v>0</v>
      </c>
    </row>
    <row r="455" spans="1:19" x14ac:dyDescent="0.25">
      <c r="F455" s="7" t="e">
        <f t="shared" si="295"/>
        <v>#DIV/0!</v>
      </c>
      <c r="G455" s="7">
        <f t="shared" si="296"/>
        <v>0</v>
      </c>
      <c r="H455" s="8">
        <f t="shared" si="297"/>
        <v>0</v>
      </c>
      <c r="I455" s="8">
        <f t="shared" si="298"/>
        <v>0</v>
      </c>
      <c r="J455" s="8">
        <f t="shared" si="298"/>
        <v>0</v>
      </c>
      <c r="K455" s="8">
        <f t="shared" ca="1" si="299"/>
        <v>0</v>
      </c>
      <c r="L455" s="8">
        <f t="shared" ref="L455:L463" ca="1" si="300">M455+N455-K455</f>
        <v>0</v>
      </c>
      <c r="M455" s="8"/>
      <c r="N455" s="8"/>
      <c r="O455" s="8">
        <f>$J455-($P455+$Q455)</f>
        <v>0</v>
      </c>
      <c r="P455" s="8"/>
      <c r="Q455" s="8"/>
      <c r="R455" s="9" t="str">
        <f t="shared" ref="R455:R463" si="301">IF(($M455+$P455)&gt;=$N455+$Q455,"",($O455/2)+$P455-$M455)</f>
        <v/>
      </c>
      <c r="S455" s="9">
        <f t="shared" ref="S455:S463" si="302">IF(($M455+$P455)&gt;=$N455+$Q455,($O455/2)+$Q455-$N455,"")</f>
        <v>0</v>
      </c>
    </row>
    <row r="456" spans="1:19" x14ac:dyDescent="0.25">
      <c r="F456" s="7" t="e">
        <f t="shared" si="295"/>
        <v>#DIV/0!</v>
      </c>
      <c r="G456" s="7">
        <f t="shared" si="296"/>
        <v>0</v>
      </c>
      <c r="H456" s="8">
        <f t="shared" si="297"/>
        <v>0</v>
      </c>
      <c r="I456" s="8">
        <f t="shared" si="298"/>
        <v>0</v>
      </c>
      <c r="J456" s="8">
        <f t="shared" si="298"/>
        <v>0</v>
      </c>
      <c r="K456" s="8">
        <f t="shared" ca="1" si="299"/>
        <v>0</v>
      </c>
      <c r="L456" s="8">
        <f t="shared" ca="1" si="300"/>
        <v>0</v>
      </c>
      <c r="M456" s="8"/>
      <c r="N456" s="8"/>
      <c r="O456" s="8">
        <f>$J456-($P456+$Q456)</f>
        <v>0</v>
      </c>
      <c r="P456" s="8"/>
      <c r="Q456" s="8"/>
      <c r="R456" s="9" t="str">
        <f t="shared" si="301"/>
        <v/>
      </c>
      <c r="S456" s="9">
        <f t="shared" si="302"/>
        <v>0</v>
      </c>
    </row>
    <row r="457" spans="1:19" x14ac:dyDescent="0.25">
      <c r="F457" s="7" t="e">
        <f t="shared" si="295"/>
        <v>#DIV/0!</v>
      </c>
      <c r="G457" s="7">
        <f t="shared" si="296"/>
        <v>0</v>
      </c>
      <c r="H457" s="8">
        <f t="shared" si="297"/>
        <v>0</v>
      </c>
      <c r="I457" s="8">
        <f t="shared" si="298"/>
        <v>0</v>
      </c>
      <c r="J457" s="8">
        <f t="shared" si="298"/>
        <v>0</v>
      </c>
      <c r="K457" s="8">
        <f t="shared" ca="1" si="299"/>
        <v>0</v>
      </c>
      <c r="L457" s="8">
        <f t="shared" ca="1" si="300"/>
        <v>0</v>
      </c>
      <c r="M457" s="8"/>
      <c r="N457" s="8"/>
      <c r="O457" s="8">
        <f>$J457-($P457+$Q457)</f>
        <v>0</v>
      </c>
      <c r="P457" s="8"/>
      <c r="Q457" s="8"/>
      <c r="R457" s="9" t="str">
        <f t="shared" si="301"/>
        <v/>
      </c>
      <c r="S457" s="9">
        <f t="shared" si="302"/>
        <v>0</v>
      </c>
    </row>
    <row r="458" spans="1:19" x14ac:dyDescent="0.25">
      <c r="F458" s="7" t="e">
        <f t="shared" si="295"/>
        <v>#DIV/0!</v>
      </c>
      <c r="G458" s="7">
        <f t="shared" si="296"/>
        <v>0</v>
      </c>
      <c r="H458" s="8">
        <f t="shared" si="297"/>
        <v>0</v>
      </c>
      <c r="I458" s="8">
        <f t="shared" si="298"/>
        <v>0</v>
      </c>
      <c r="J458" s="8">
        <f t="shared" si="298"/>
        <v>0</v>
      </c>
      <c r="K458" s="8">
        <f t="shared" ca="1" si="299"/>
        <v>0</v>
      </c>
      <c r="L458" s="8">
        <f t="shared" ca="1" si="300"/>
        <v>0</v>
      </c>
      <c r="M458" s="8"/>
      <c r="N458" s="8"/>
      <c r="O458" s="8">
        <f t="shared" ref="O458:O462" si="303">$J458-($P458+$Q458)</f>
        <v>0</v>
      </c>
      <c r="P458" s="8"/>
      <c r="Q458" s="8"/>
      <c r="R458" s="9" t="str">
        <f t="shared" si="301"/>
        <v/>
      </c>
      <c r="S458" s="9">
        <f t="shared" si="302"/>
        <v>0</v>
      </c>
    </row>
    <row r="459" spans="1:19" x14ac:dyDescent="0.25">
      <c r="F459" s="7" t="e">
        <f t="shared" si="295"/>
        <v>#DIV/0!</v>
      </c>
      <c r="G459" s="7">
        <f t="shared" si="296"/>
        <v>0</v>
      </c>
      <c r="H459" s="8">
        <f t="shared" si="297"/>
        <v>0</v>
      </c>
      <c r="I459" s="8">
        <f t="shared" si="298"/>
        <v>0</v>
      </c>
      <c r="J459" s="8">
        <f t="shared" si="298"/>
        <v>0</v>
      </c>
      <c r="K459" s="8">
        <f t="shared" ca="1" si="299"/>
        <v>0</v>
      </c>
      <c r="L459" s="8">
        <f t="shared" ca="1" si="300"/>
        <v>0</v>
      </c>
      <c r="M459" s="8"/>
      <c r="N459" s="8"/>
      <c r="O459" s="8">
        <f>$J459-($P459+$Q459)</f>
        <v>0</v>
      </c>
      <c r="P459" s="8"/>
      <c r="Q459" s="8"/>
      <c r="R459" s="9" t="str">
        <f t="shared" si="301"/>
        <v/>
      </c>
      <c r="S459" s="9">
        <f t="shared" si="302"/>
        <v>0</v>
      </c>
    </row>
    <row r="460" spans="1:19" x14ac:dyDescent="0.25">
      <c r="F460" s="7" t="e">
        <f t="shared" si="295"/>
        <v>#DIV/0!</v>
      </c>
      <c r="G460" s="7">
        <f t="shared" si="296"/>
        <v>0</v>
      </c>
      <c r="H460" s="8">
        <f t="shared" si="297"/>
        <v>0</v>
      </c>
      <c r="I460" s="8">
        <f t="shared" si="298"/>
        <v>0</v>
      </c>
      <c r="J460" s="8">
        <f t="shared" si="298"/>
        <v>0</v>
      </c>
      <c r="K460" s="8">
        <f t="shared" ca="1" si="299"/>
        <v>0</v>
      </c>
      <c r="L460" s="8">
        <f t="shared" ca="1" si="300"/>
        <v>0</v>
      </c>
      <c r="M460" s="8"/>
      <c r="N460" s="8"/>
      <c r="O460" s="8">
        <f t="shared" si="303"/>
        <v>0</v>
      </c>
      <c r="P460" s="8"/>
      <c r="Q460" s="8"/>
      <c r="R460" s="9" t="str">
        <f t="shared" si="301"/>
        <v/>
      </c>
      <c r="S460" s="9">
        <f t="shared" si="302"/>
        <v>0</v>
      </c>
    </row>
    <row r="461" spans="1:19" x14ac:dyDescent="0.25">
      <c r="F461" s="7" t="e">
        <f t="shared" si="295"/>
        <v>#DIV/0!</v>
      </c>
      <c r="G461" s="7">
        <f t="shared" si="296"/>
        <v>0</v>
      </c>
      <c r="H461" s="8">
        <f t="shared" si="297"/>
        <v>0</v>
      </c>
      <c r="I461" s="8">
        <f t="shared" si="298"/>
        <v>0</v>
      </c>
      <c r="J461" s="8">
        <f t="shared" si="298"/>
        <v>0</v>
      </c>
      <c r="K461" s="8">
        <f t="shared" ca="1" si="299"/>
        <v>0</v>
      </c>
      <c r="L461" s="8">
        <f t="shared" ca="1" si="300"/>
        <v>0</v>
      </c>
      <c r="M461" s="8"/>
      <c r="N461" s="8"/>
      <c r="O461" s="8">
        <f>$J461-($P461+$Q461)</f>
        <v>0</v>
      </c>
      <c r="P461" s="8"/>
      <c r="Q461" s="8"/>
      <c r="R461" s="9" t="str">
        <f t="shared" si="301"/>
        <v/>
      </c>
      <c r="S461" s="9">
        <f t="shared" si="302"/>
        <v>0</v>
      </c>
    </row>
    <row r="462" spans="1:19" x14ac:dyDescent="0.25">
      <c r="F462" s="7" t="e">
        <f t="shared" si="295"/>
        <v>#DIV/0!</v>
      </c>
      <c r="G462" s="7">
        <f t="shared" si="296"/>
        <v>0</v>
      </c>
      <c r="H462" s="8">
        <f t="shared" si="297"/>
        <v>0</v>
      </c>
      <c r="I462" s="8">
        <f t="shared" si="298"/>
        <v>0</v>
      </c>
      <c r="J462" s="8">
        <f t="shared" si="298"/>
        <v>0</v>
      </c>
      <c r="K462" s="8">
        <f t="shared" ca="1" si="299"/>
        <v>0</v>
      </c>
      <c r="L462" s="8">
        <f t="shared" ca="1" si="300"/>
        <v>0</v>
      </c>
      <c r="M462" s="8"/>
      <c r="N462" s="8"/>
      <c r="O462" s="8">
        <f t="shared" si="303"/>
        <v>0</v>
      </c>
      <c r="P462" s="8"/>
      <c r="Q462" s="8"/>
      <c r="R462" s="9" t="str">
        <f t="shared" si="301"/>
        <v/>
      </c>
      <c r="S462" s="9">
        <f t="shared" si="302"/>
        <v>0</v>
      </c>
    </row>
    <row r="463" spans="1:19" x14ac:dyDescent="0.25">
      <c r="F463" s="7" t="e">
        <f t="shared" si="295"/>
        <v>#DIV/0!</v>
      </c>
      <c r="G463" s="7">
        <f t="shared" si="296"/>
        <v>0</v>
      </c>
      <c r="H463" s="8">
        <f t="shared" si="297"/>
        <v>0</v>
      </c>
      <c r="I463" s="8">
        <f t="shared" si="298"/>
        <v>0</v>
      </c>
      <c r="J463" s="8">
        <f t="shared" si="298"/>
        <v>0</v>
      </c>
      <c r="K463" s="8">
        <f t="shared" ca="1" si="299"/>
        <v>0</v>
      </c>
      <c r="L463" s="8">
        <f t="shared" ca="1" si="300"/>
        <v>0</v>
      </c>
      <c r="M463" s="8"/>
      <c r="N463" s="8"/>
      <c r="O463" s="8">
        <f>$J463-($P463+$Q463)</f>
        <v>0</v>
      </c>
      <c r="P463" s="8"/>
      <c r="Q463" s="8"/>
      <c r="R463" s="9" t="str">
        <f t="shared" si="301"/>
        <v/>
      </c>
      <c r="S463" s="9">
        <f t="shared" si="302"/>
        <v>0</v>
      </c>
    </row>
    <row r="464" spans="1:19" x14ac:dyDescent="0.25">
      <c r="B464" s="1">
        <f>SUMPRODUCT((B454:B463&lt;&gt;"")/COUNTIF(B454:B463,B454:B463&amp;""))</f>
        <v>0</v>
      </c>
      <c r="C464" s="1">
        <f>COUNTA(Tableau15944[Divers])</f>
        <v>0</v>
      </c>
      <c r="D464" s="1">
        <f>COUNTA(Tableau15944[Nature des Dépenses])</f>
        <v>0</v>
      </c>
      <c r="F464" s="7" t="e">
        <f t="shared" ref="F464:S464" si="304">SUM(F454:F463)</f>
        <v>#DIV/0!</v>
      </c>
      <c r="G464" s="7">
        <f t="shared" si="304"/>
        <v>0</v>
      </c>
      <c r="H464" s="8">
        <f t="shared" si="304"/>
        <v>0</v>
      </c>
      <c r="I464" s="8">
        <f t="shared" si="304"/>
        <v>0</v>
      </c>
      <c r="J464" s="8">
        <f t="shared" si="304"/>
        <v>0</v>
      </c>
      <c r="K464" s="8">
        <f t="shared" ca="1" si="304"/>
        <v>0</v>
      </c>
      <c r="L464" s="8">
        <f t="shared" ca="1" si="304"/>
        <v>0</v>
      </c>
      <c r="M464" s="8">
        <f t="shared" si="304"/>
        <v>0</v>
      </c>
      <c r="N464" s="8">
        <f t="shared" si="304"/>
        <v>0</v>
      </c>
      <c r="O464" s="8">
        <f t="shared" si="304"/>
        <v>0</v>
      </c>
      <c r="P464" s="8">
        <f t="shared" si="304"/>
        <v>0</v>
      </c>
      <c r="Q464" s="8">
        <f t="shared" si="304"/>
        <v>0</v>
      </c>
      <c r="R464" s="8">
        <f t="shared" si="304"/>
        <v>0</v>
      </c>
      <c r="S464" s="8">
        <f t="shared" si="304"/>
        <v>0</v>
      </c>
    </row>
    <row r="465" spans="1:19" x14ac:dyDescent="0.25">
      <c r="F465" s="7"/>
      <c r="G465" s="7"/>
    </row>
    <row r="466" spans="1:19" x14ac:dyDescent="0.25">
      <c r="F466" s="7"/>
      <c r="G466" s="7"/>
    </row>
    <row r="467" spans="1:19" ht="15.75" thickBot="1" x14ac:dyDescent="0.3">
      <c r="F467" s="7"/>
      <c r="G467" s="7"/>
    </row>
    <row r="468" spans="1:19" ht="15.75" thickBot="1" x14ac:dyDescent="0.3">
      <c r="F468" s="7"/>
      <c r="G468" s="7"/>
      <c r="M468" s="23" t="s">
        <v>0</v>
      </c>
      <c r="N468" s="24"/>
      <c r="O468" s="2" t="s">
        <v>1</v>
      </c>
      <c r="P468" s="25" t="s">
        <v>2</v>
      </c>
      <c r="Q468" s="26"/>
      <c r="R468" s="23" t="s">
        <v>3</v>
      </c>
      <c r="S468" s="24"/>
    </row>
    <row r="469" spans="1:19" s="6" customFormat="1" ht="14.1" customHeight="1" x14ac:dyDescent="0.2">
      <c r="A469" s="21" t="s">
        <v>4</v>
      </c>
      <c r="B469" s="4" t="s">
        <v>5</v>
      </c>
      <c r="C469" s="3" t="s">
        <v>24</v>
      </c>
      <c r="D469" s="3" t="s">
        <v>7</v>
      </c>
      <c r="E469" s="3" t="s">
        <v>8</v>
      </c>
      <c r="F469" s="5" t="s">
        <v>9</v>
      </c>
      <c r="G469" s="5" t="s">
        <v>10</v>
      </c>
      <c r="H469" s="4" t="s">
        <v>11</v>
      </c>
      <c r="I469" s="3" t="s">
        <v>12</v>
      </c>
      <c r="J469" s="3" t="s">
        <v>13</v>
      </c>
      <c r="K469" s="3" t="s">
        <v>14</v>
      </c>
      <c r="L469" s="3" t="s">
        <v>15</v>
      </c>
      <c r="M469" s="3" t="s">
        <v>16</v>
      </c>
      <c r="N469" s="3" t="s">
        <v>17</v>
      </c>
      <c r="O469" s="3" t="s">
        <v>1</v>
      </c>
      <c r="P469" s="3" t="s">
        <v>18</v>
      </c>
      <c r="Q469" s="3" t="s">
        <v>19</v>
      </c>
      <c r="R469" s="3" t="s">
        <v>20</v>
      </c>
      <c r="S469" s="3" t="s">
        <v>21</v>
      </c>
    </row>
    <row r="470" spans="1:19" x14ac:dyDescent="0.25">
      <c r="F470" s="7" t="e">
        <f t="shared" ref="F470:F479" si="305">$J470/J$480</f>
        <v>#DIV/0!</v>
      </c>
      <c r="G470" s="7">
        <f t="shared" ref="G470:G479" si="306">$J470/J$57</f>
        <v>0</v>
      </c>
      <c r="H470" s="8">
        <f t="shared" ref="H470:H479" si="307">$J470-$I470</f>
        <v>0</v>
      </c>
      <c r="I470" s="8">
        <f t="shared" ref="I470:J479" si="308">$M470+$N470</f>
        <v>0</v>
      </c>
      <c r="J470" s="8">
        <f t="shared" si="308"/>
        <v>0</v>
      </c>
      <c r="K470" s="8">
        <f t="shared" ref="K470:K479" ca="1" si="309">IF(($K470)&gt;=$N470+$M470,"",($L470-$M470-$N470))</f>
        <v>0</v>
      </c>
      <c r="L470" s="8">
        <f ca="1">M470+N470-K470</f>
        <v>0</v>
      </c>
      <c r="M470" s="8"/>
      <c r="N470" s="8"/>
      <c r="O470" s="8">
        <f>$J470-($P470+$Q470)</f>
        <v>0</v>
      </c>
      <c r="P470" s="8"/>
      <c r="Q470" s="8"/>
      <c r="R470" s="9" t="str">
        <f>IF(($M470+$P470)&gt;=$N470+$Q470,"",($O470/2)+$P470-$M470)</f>
        <v/>
      </c>
      <c r="S470" s="9">
        <f>IF(($M470+$P470)&gt;=$N470+$Q470,($O470/2)+$Q470-$N470,"")</f>
        <v>0</v>
      </c>
    </row>
    <row r="471" spans="1:19" x14ac:dyDescent="0.25">
      <c r="F471" s="7" t="e">
        <f t="shared" si="305"/>
        <v>#DIV/0!</v>
      </c>
      <c r="G471" s="7">
        <f t="shared" si="306"/>
        <v>0</v>
      </c>
      <c r="H471" s="8">
        <f t="shared" si="307"/>
        <v>0</v>
      </c>
      <c r="I471" s="8">
        <f t="shared" si="308"/>
        <v>0</v>
      </c>
      <c r="J471" s="8">
        <f t="shared" si="308"/>
        <v>0</v>
      </c>
      <c r="K471" s="8">
        <f t="shared" ca="1" si="309"/>
        <v>0</v>
      </c>
      <c r="L471" s="8">
        <f t="shared" ref="L471:L479" ca="1" si="310">M471+N471-K471</f>
        <v>0</v>
      </c>
      <c r="M471" s="8"/>
      <c r="N471" s="8"/>
      <c r="O471" s="8">
        <f>$J471-($P471+$Q471)</f>
        <v>0</v>
      </c>
      <c r="P471" s="8"/>
      <c r="Q471" s="8"/>
      <c r="R471" s="9" t="str">
        <f t="shared" ref="R471:R479" si="311">IF(($M471+$P471)&gt;=$N471+$Q471,"",($O471/2)+$P471-$M471)</f>
        <v/>
      </c>
      <c r="S471" s="9">
        <f t="shared" ref="S471:S479" si="312">IF(($M471+$P471)&gt;=$N471+$Q471,($O471/2)+$Q471-$N471,"")</f>
        <v>0</v>
      </c>
    </row>
    <row r="472" spans="1:19" x14ac:dyDescent="0.25">
      <c r="F472" s="7" t="e">
        <f t="shared" si="305"/>
        <v>#DIV/0!</v>
      </c>
      <c r="G472" s="7">
        <f t="shared" si="306"/>
        <v>0</v>
      </c>
      <c r="H472" s="8">
        <f t="shared" si="307"/>
        <v>0</v>
      </c>
      <c r="I472" s="8">
        <f t="shared" si="308"/>
        <v>0</v>
      </c>
      <c r="J472" s="8">
        <f t="shared" si="308"/>
        <v>0</v>
      </c>
      <c r="K472" s="8">
        <f t="shared" ca="1" si="309"/>
        <v>0</v>
      </c>
      <c r="L472" s="8">
        <f t="shared" ca="1" si="310"/>
        <v>0</v>
      </c>
      <c r="M472" s="8"/>
      <c r="N472" s="8"/>
      <c r="O472" s="8">
        <f>$J472-($P472+$Q472)</f>
        <v>0</v>
      </c>
      <c r="P472" s="8"/>
      <c r="Q472" s="8"/>
      <c r="R472" s="9" t="str">
        <f t="shared" si="311"/>
        <v/>
      </c>
      <c r="S472" s="9">
        <f t="shared" si="312"/>
        <v>0</v>
      </c>
    </row>
    <row r="473" spans="1:19" x14ac:dyDescent="0.25">
      <c r="F473" s="7" t="e">
        <f t="shared" si="305"/>
        <v>#DIV/0!</v>
      </c>
      <c r="G473" s="7">
        <f t="shared" si="306"/>
        <v>0</v>
      </c>
      <c r="H473" s="8">
        <f t="shared" si="307"/>
        <v>0</v>
      </c>
      <c r="I473" s="8">
        <f t="shared" si="308"/>
        <v>0</v>
      </c>
      <c r="J473" s="8">
        <f t="shared" si="308"/>
        <v>0</v>
      </c>
      <c r="K473" s="8">
        <f t="shared" ca="1" si="309"/>
        <v>0</v>
      </c>
      <c r="L473" s="8">
        <f t="shared" ca="1" si="310"/>
        <v>0</v>
      </c>
      <c r="M473" s="8"/>
      <c r="N473" s="8"/>
      <c r="O473" s="8">
        <f>$J473-($P473+$Q473)</f>
        <v>0</v>
      </c>
      <c r="P473" s="8"/>
      <c r="Q473" s="8"/>
      <c r="R473" s="9" t="str">
        <f t="shared" si="311"/>
        <v/>
      </c>
      <c r="S473" s="9">
        <f t="shared" si="312"/>
        <v>0</v>
      </c>
    </row>
    <row r="474" spans="1:19" x14ac:dyDescent="0.25">
      <c r="F474" s="7" t="e">
        <f t="shared" si="305"/>
        <v>#DIV/0!</v>
      </c>
      <c r="G474" s="7">
        <f t="shared" si="306"/>
        <v>0</v>
      </c>
      <c r="H474" s="8">
        <f t="shared" si="307"/>
        <v>0</v>
      </c>
      <c r="I474" s="8">
        <f t="shared" si="308"/>
        <v>0</v>
      </c>
      <c r="J474" s="8">
        <f t="shared" si="308"/>
        <v>0</v>
      </c>
      <c r="K474" s="8">
        <f t="shared" ca="1" si="309"/>
        <v>0</v>
      </c>
      <c r="L474" s="8">
        <f t="shared" ca="1" si="310"/>
        <v>0</v>
      </c>
      <c r="M474" s="8"/>
      <c r="N474" s="8"/>
      <c r="O474" s="8">
        <f t="shared" ref="O474:O478" si="313">$J474-($P474+$Q474)</f>
        <v>0</v>
      </c>
      <c r="P474" s="8"/>
      <c r="Q474" s="8"/>
      <c r="R474" s="9" t="str">
        <f t="shared" si="311"/>
        <v/>
      </c>
      <c r="S474" s="9">
        <f t="shared" si="312"/>
        <v>0</v>
      </c>
    </row>
    <row r="475" spans="1:19" x14ac:dyDescent="0.25">
      <c r="F475" s="7" t="e">
        <f t="shared" si="305"/>
        <v>#DIV/0!</v>
      </c>
      <c r="G475" s="7">
        <f t="shared" si="306"/>
        <v>0</v>
      </c>
      <c r="H475" s="8">
        <f t="shared" si="307"/>
        <v>0</v>
      </c>
      <c r="I475" s="8">
        <f t="shared" si="308"/>
        <v>0</v>
      </c>
      <c r="J475" s="8">
        <f t="shared" si="308"/>
        <v>0</v>
      </c>
      <c r="K475" s="8">
        <f t="shared" ca="1" si="309"/>
        <v>0</v>
      </c>
      <c r="L475" s="8">
        <f t="shared" ca="1" si="310"/>
        <v>0</v>
      </c>
      <c r="M475" s="8"/>
      <c r="N475" s="8"/>
      <c r="O475" s="8">
        <f>$J475-($P475+$Q475)</f>
        <v>0</v>
      </c>
      <c r="P475" s="8"/>
      <c r="Q475" s="8"/>
      <c r="R475" s="9" t="str">
        <f t="shared" si="311"/>
        <v/>
      </c>
      <c r="S475" s="9">
        <f t="shared" si="312"/>
        <v>0</v>
      </c>
    </row>
    <row r="476" spans="1:19" x14ac:dyDescent="0.25">
      <c r="F476" s="7" t="e">
        <f t="shared" si="305"/>
        <v>#DIV/0!</v>
      </c>
      <c r="G476" s="7">
        <f t="shared" si="306"/>
        <v>0</v>
      </c>
      <c r="H476" s="8">
        <f t="shared" si="307"/>
        <v>0</v>
      </c>
      <c r="I476" s="8">
        <f t="shared" si="308"/>
        <v>0</v>
      </c>
      <c r="J476" s="8">
        <f t="shared" si="308"/>
        <v>0</v>
      </c>
      <c r="K476" s="8">
        <f t="shared" ca="1" si="309"/>
        <v>0</v>
      </c>
      <c r="L476" s="8">
        <f t="shared" ca="1" si="310"/>
        <v>0</v>
      </c>
      <c r="M476" s="8"/>
      <c r="N476" s="8"/>
      <c r="O476" s="8">
        <f t="shared" si="313"/>
        <v>0</v>
      </c>
      <c r="P476" s="8"/>
      <c r="Q476" s="8"/>
      <c r="R476" s="9" t="str">
        <f t="shared" si="311"/>
        <v/>
      </c>
      <c r="S476" s="9">
        <f t="shared" si="312"/>
        <v>0</v>
      </c>
    </row>
    <row r="477" spans="1:19" x14ac:dyDescent="0.25">
      <c r="F477" s="7" t="e">
        <f t="shared" si="305"/>
        <v>#DIV/0!</v>
      </c>
      <c r="G477" s="7">
        <f t="shared" si="306"/>
        <v>0</v>
      </c>
      <c r="H477" s="8">
        <f t="shared" si="307"/>
        <v>0</v>
      </c>
      <c r="I477" s="8">
        <f t="shared" si="308"/>
        <v>0</v>
      </c>
      <c r="J477" s="8">
        <f t="shared" si="308"/>
        <v>0</v>
      </c>
      <c r="K477" s="8">
        <f t="shared" ca="1" si="309"/>
        <v>0</v>
      </c>
      <c r="L477" s="8">
        <f t="shared" ca="1" si="310"/>
        <v>0</v>
      </c>
      <c r="M477" s="8"/>
      <c r="N477" s="8"/>
      <c r="O477" s="8">
        <f>$J477-($P477+$Q477)</f>
        <v>0</v>
      </c>
      <c r="P477" s="8"/>
      <c r="Q477" s="8"/>
      <c r="R477" s="9" t="str">
        <f t="shared" si="311"/>
        <v/>
      </c>
      <c r="S477" s="9">
        <f t="shared" si="312"/>
        <v>0</v>
      </c>
    </row>
    <row r="478" spans="1:19" x14ac:dyDescent="0.25">
      <c r="F478" s="7" t="e">
        <f t="shared" si="305"/>
        <v>#DIV/0!</v>
      </c>
      <c r="G478" s="7">
        <f t="shared" si="306"/>
        <v>0</v>
      </c>
      <c r="H478" s="8">
        <f t="shared" si="307"/>
        <v>0</v>
      </c>
      <c r="I478" s="8">
        <f t="shared" si="308"/>
        <v>0</v>
      </c>
      <c r="J478" s="8">
        <f t="shared" si="308"/>
        <v>0</v>
      </c>
      <c r="K478" s="8">
        <f t="shared" ca="1" si="309"/>
        <v>0</v>
      </c>
      <c r="L478" s="8">
        <f t="shared" ca="1" si="310"/>
        <v>0</v>
      </c>
      <c r="M478" s="8"/>
      <c r="N478" s="8"/>
      <c r="O478" s="8">
        <f t="shared" si="313"/>
        <v>0</v>
      </c>
      <c r="P478" s="8"/>
      <c r="Q478" s="8"/>
      <c r="R478" s="9" t="str">
        <f t="shared" si="311"/>
        <v/>
      </c>
      <c r="S478" s="9">
        <f t="shared" si="312"/>
        <v>0</v>
      </c>
    </row>
    <row r="479" spans="1:19" x14ac:dyDescent="0.25">
      <c r="F479" s="7" t="e">
        <f t="shared" si="305"/>
        <v>#DIV/0!</v>
      </c>
      <c r="G479" s="7">
        <f t="shared" si="306"/>
        <v>0</v>
      </c>
      <c r="H479" s="8">
        <f t="shared" si="307"/>
        <v>0</v>
      </c>
      <c r="I479" s="8">
        <f t="shared" si="308"/>
        <v>0</v>
      </c>
      <c r="J479" s="8">
        <f t="shared" si="308"/>
        <v>0</v>
      </c>
      <c r="K479" s="8">
        <f t="shared" ca="1" si="309"/>
        <v>0</v>
      </c>
      <c r="L479" s="8">
        <f t="shared" ca="1" si="310"/>
        <v>0</v>
      </c>
      <c r="M479" s="8"/>
      <c r="N479" s="8"/>
      <c r="O479" s="8">
        <f>$J479-($P479+$Q479)</f>
        <v>0</v>
      </c>
      <c r="P479" s="8"/>
      <c r="Q479" s="8"/>
      <c r="R479" s="9" t="str">
        <f t="shared" si="311"/>
        <v/>
      </c>
      <c r="S479" s="9">
        <f t="shared" si="312"/>
        <v>0</v>
      </c>
    </row>
    <row r="480" spans="1:19" x14ac:dyDescent="0.25">
      <c r="B480" s="1">
        <f>SUMPRODUCT((B470:B479&lt;&gt;"")/COUNTIF(B470:B479,B470:B479&amp;""))</f>
        <v>0</v>
      </c>
      <c r="C480" s="1">
        <f>COUNTA(Tableau1594445[Poste de dépense])</f>
        <v>0</v>
      </c>
      <c r="D480" s="1">
        <f>COUNTA(Tableau1594445[Nature des Dépenses])</f>
        <v>0</v>
      </c>
      <c r="F480" s="7" t="e">
        <f t="shared" ref="F480:S480" si="314">SUM(F470:F479)</f>
        <v>#DIV/0!</v>
      </c>
      <c r="G480" s="7">
        <f t="shared" si="314"/>
        <v>0</v>
      </c>
      <c r="H480" s="8">
        <f t="shared" si="314"/>
        <v>0</v>
      </c>
      <c r="I480" s="8">
        <f t="shared" si="314"/>
        <v>0</v>
      </c>
      <c r="J480" s="8">
        <f t="shared" si="314"/>
        <v>0</v>
      </c>
      <c r="K480" s="8">
        <f t="shared" ca="1" si="314"/>
        <v>0</v>
      </c>
      <c r="L480" s="8">
        <f t="shared" ca="1" si="314"/>
        <v>0</v>
      </c>
      <c r="M480" s="8">
        <f t="shared" si="314"/>
        <v>0</v>
      </c>
      <c r="N480" s="8">
        <f t="shared" si="314"/>
        <v>0</v>
      </c>
      <c r="O480" s="8">
        <f t="shared" si="314"/>
        <v>0</v>
      </c>
      <c r="P480" s="8">
        <f t="shared" si="314"/>
        <v>0</v>
      </c>
      <c r="Q480" s="8">
        <f t="shared" si="314"/>
        <v>0</v>
      </c>
      <c r="R480" s="8">
        <f t="shared" si="314"/>
        <v>0</v>
      </c>
      <c r="S480" s="8">
        <f t="shared" si="314"/>
        <v>0</v>
      </c>
    </row>
    <row r="481" spans="1:19" x14ac:dyDescent="0.25">
      <c r="F481" s="7"/>
      <c r="G481" s="7"/>
    </row>
    <row r="482" spans="1:19" x14ac:dyDescent="0.25">
      <c r="F482" s="7"/>
      <c r="G482" s="7"/>
    </row>
    <row r="483" spans="1:19" ht="15.75" thickBot="1" x14ac:dyDescent="0.3">
      <c r="F483" s="7"/>
      <c r="G483" s="7"/>
    </row>
    <row r="484" spans="1:19" ht="15.75" thickBot="1" x14ac:dyDescent="0.3">
      <c r="F484" s="7"/>
      <c r="G484" s="7"/>
      <c r="M484" s="23" t="s">
        <v>0</v>
      </c>
      <c r="N484" s="24"/>
      <c r="O484" s="2" t="s">
        <v>1</v>
      </c>
      <c r="P484" s="25" t="s">
        <v>2</v>
      </c>
      <c r="Q484" s="26"/>
      <c r="R484" s="23" t="s">
        <v>3</v>
      </c>
      <c r="S484" s="24"/>
    </row>
    <row r="485" spans="1:19" s="6" customFormat="1" ht="14.1" customHeight="1" x14ac:dyDescent="0.2">
      <c r="A485" s="21" t="s">
        <v>4</v>
      </c>
      <c r="B485" s="4" t="s">
        <v>5</v>
      </c>
      <c r="C485" s="3" t="s">
        <v>24</v>
      </c>
      <c r="D485" s="3" t="s">
        <v>7</v>
      </c>
      <c r="E485" s="3" t="s">
        <v>8</v>
      </c>
      <c r="F485" s="5" t="s">
        <v>9</v>
      </c>
      <c r="G485" s="5" t="s">
        <v>10</v>
      </c>
      <c r="H485" s="4" t="s">
        <v>11</v>
      </c>
      <c r="I485" s="3" t="s">
        <v>12</v>
      </c>
      <c r="J485" s="3" t="s">
        <v>13</v>
      </c>
      <c r="K485" s="3" t="s">
        <v>14</v>
      </c>
      <c r="L485" s="3" t="s">
        <v>15</v>
      </c>
      <c r="M485" s="3" t="s">
        <v>16</v>
      </c>
      <c r="N485" s="3" t="s">
        <v>17</v>
      </c>
      <c r="O485" s="3" t="s">
        <v>1</v>
      </c>
      <c r="P485" s="3" t="s">
        <v>18</v>
      </c>
      <c r="Q485" s="3" t="s">
        <v>19</v>
      </c>
      <c r="R485" s="3" t="s">
        <v>20</v>
      </c>
      <c r="S485" s="3" t="s">
        <v>21</v>
      </c>
    </row>
    <row r="486" spans="1:19" x14ac:dyDescent="0.25">
      <c r="F486" s="7" t="e">
        <f t="shared" ref="F486:F495" si="315">$J486/J$496</f>
        <v>#DIV/0!</v>
      </c>
      <c r="G486" s="7">
        <f t="shared" ref="G486:G495" si="316">$J486/J$57</f>
        <v>0</v>
      </c>
      <c r="H486" s="8">
        <f t="shared" ref="H486:H495" si="317">$J486-$I486</f>
        <v>0</v>
      </c>
      <c r="I486" s="8">
        <f t="shared" ref="I486:J495" si="318">$M486+$N486</f>
        <v>0</v>
      </c>
      <c r="J486" s="8">
        <f t="shared" si="318"/>
        <v>0</v>
      </c>
      <c r="K486" s="8">
        <f t="shared" ref="K486:K495" ca="1" si="319">IF(($K486)&gt;=$N486+$M486,"",($L486-$M486-$N486))</f>
        <v>0</v>
      </c>
      <c r="L486" s="8">
        <f ca="1">M486+N486-K486</f>
        <v>0</v>
      </c>
      <c r="M486" s="8"/>
      <c r="N486" s="8"/>
      <c r="O486" s="8">
        <f>$J486-($P486+$Q486)</f>
        <v>0</v>
      </c>
      <c r="P486" s="8"/>
      <c r="Q486" s="8"/>
      <c r="R486" s="9" t="str">
        <f>IF(($M486+$P486)&gt;=$N486+$Q486,"",($O486/2)+$P486-$M486)</f>
        <v/>
      </c>
      <c r="S486" s="9">
        <f>IF(($M486+$P486)&gt;=$N486+$Q486,($O486/2)+$Q486-$N486,"")</f>
        <v>0</v>
      </c>
    </row>
    <row r="487" spans="1:19" x14ac:dyDescent="0.25">
      <c r="F487" s="7" t="e">
        <f t="shared" si="315"/>
        <v>#DIV/0!</v>
      </c>
      <c r="G487" s="7">
        <f t="shared" si="316"/>
        <v>0</v>
      </c>
      <c r="H487" s="8">
        <f t="shared" si="317"/>
        <v>0</v>
      </c>
      <c r="I487" s="8">
        <f t="shared" si="318"/>
        <v>0</v>
      </c>
      <c r="J487" s="8">
        <f t="shared" si="318"/>
        <v>0</v>
      </c>
      <c r="K487" s="8">
        <f t="shared" ca="1" si="319"/>
        <v>0</v>
      </c>
      <c r="L487" s="8">
        <f t="shared" ref="L487:L495" ca="1" si="320">M487+N487-K487</f>
        <v>0</v>
      </c>
      <c r="M487" s="8"/>
      <c r="N487" s="8"/>
      <c r="O487" s="8">
        <f>$J487-($P487+$Q487)</f>
        <v>0</v>
      </c>
      <c r="P487" s="8"/>
      <c r="Q487" s="8"/>
      <c r="R487" s="9" t="str">
        <f t="shared" ref="R487:R495" si="321">IF(($M487+$P487)&gt;=$N487+$Q487,"",($O487/2)+$P487-$M487)</f>
        <v/>
      </c>
      <c r="S487" s="9">
        <f t="shared" ref="S487:S495" si="322">IF(($M487+$P487)&gt;=$N487+$Q487,($O487/2)+$Q487-$N487,"")</f>
        <v>0</v>
      </c>
    </row>
    <row r="488" spans="1:19" x14ac:dyDescent="0.25">
      <c r="F488" s="7" t="e">
        <f t="shared" si="315"/>
        <v>#DIV/0!</v>
      </c>
      <c r="G488" s="7">
        <f t="shared" si="316"/>
        <v>0</v>
      </c>
      <c r="H488" s="8">
        <f t="shared" si="317"/>
        <v>0</v>
      </c>
      <c r="I488" s="8">
        <f t="shared" si="318"/>
        <v>0</v>
      </c>
      <c r="J488" s="8">
        <f t="shared" si="318"/>
        <v>0</v>
      </c>
      <c r="K488" s="8">
        <f t="shared" ca="1" si="319"/>
        <v>0</v>
      </c>
      <c r="L488" s="8">
        <f t="shared" ca="1" si="320"/>
        <v>0</v>
      </c>
      <c r="M488" s="8"/>
      <c r="N488" s="8"/>
      <c r="O488" s="8">
        <f>$J488-($P488+$Q488)</f>
        <v>0</v>
      </c>
      <c r="P488" s="8"/>
      <c r="Q488" s="8"/>
      <c r="R488" s="9" t="str">
        <f t="shared" si="321"/>
        <v/>
      </c>
      <c r="S488" s="9">
        <f t="shared" si="322"/>
        <v>0</v>
      </c>
    </row>
    <row r="489" spans="1:19" x14ac:dyDescent="0.25">
      <c r="F489" s="7" t="e">
        <f t="shared" si="315"/>
        <v>#DIV/0!</v>
      </c>
      <c r="G489" s="7">
        <f t="shared" si="316"/>
        <v>0</v>
      </c>
      <c r="H489" s="8">
        <f t="shared" si="317"/>
        <v>0</v>
      </c>
      <c r="I489" s="8">
        <f t="shared" si="318"/>
        <v>0</v>
      </c>
      <c r="J489" s="8">
        <f t="shared" si="318"/>
        <v>0</v>
      </c>
      <c r="K489" s="8">
        <f t="shared" ca="1" si="319"/>
        <v>0</v>
      </c>
      <c r="L489" s="8">
        <f t="shared" ca="1" si="320"/>
        <v>0</v>
      </c>
      <c r="M489" s="8"/>
      <c r="N489" s="8"/>
      <c r="O489" s="8">
        <f>$J489-($P489+$Q489)</f>
        <v>0</v>
      </c>
      <c r="P489" s="8"/>
      <c r="Q489" s="8"/>
      <c r="R489" s="9" t="str">
        <f t="shared" si="321"/>
        <v/>
      </c>
      <c r="S489" s="9">
        <f t="shared" si="322"/>
        <v>0</v>
      </c>
    </row>
    <row r="490" spans="1:19" x14ac:dyDescent="0.25">
      <c r="F490" s="7" t="e">
        <f t="shared" si="315"/>
        <v>#DIV/0!</v>
      </c>
      <c r="G490" s="7">
        <f t="shared" si="316"/>
        <v>0</v>
      </c>
      <c r="H490" s="8">
        <f t="shared" si="317"/>
        <v>0</v>
      </c>
      <c r="I490" s="8">
        <f t="shared" si="318"/>
        <v>0</v>
      </c>
      <c r="J490" s="8">
        <f t="shared" si="318"/>
        <v>0</v>
      </c>
      <c r="K490" s="8">
        <f t="shared" ca="1" si="319"/>
        <v>0</v>
      </c>
      <c r="L490" s="8">
        <f t="shared" ca="1" si="320"/>
        <v>0</v>
      </c>
      <c r="M490" s="8"/>
      <c r="N490" s="8"/>
      <c r="O490" s="8">
        <f t="shared" ref="O490:O494" si="323">$J490-($P490+$Q490)</f>
        <v>0</v>
      </c>
      <c r="P490" s="8"/>
      <c r="Q490" s="8"/>
      <c r="R490" s="9" t="str">
        <f t="shared" si="321"/>
        <v/>
      </c>
      <c r="S490" s="9">
        <f t="shared" si="322"/>
        <v>0</v>
      </c>
    </row>
    <row r="491" spans="1:19" x14ac:dyDescent="0.25">
      <c r="F491" s="7" t="e">
        <f t="shared" si="315"/>
        <v>#DIV/0!</v>
      </c>
      <c r="G491" s="7">
        <f t="shared" si="316"/>
        <v>0</v>
      </c>
      <c r="H491" s="8">
        <f t="shared" si="317"/>
        <v>0</v>
      </c>
      <c r="I491" s="8">
        <f t="shared" si="318"/>
        <v>0</v>
      </c>
      <c r="J491" s="8">
        <f t="shared" si="318"/>
        <v>0</v>
      </c>
      <c r="K491" s="8">
        <f t="shared" ca="1" si="319"/>
        <v>0</v>
      </c>
      <c r="L491" s="8">
        <f t="shared" ca="1" si="320"/>
        <v>0</v>
      </c>
      <c r="M491" s="8"/>
      <c r="N491" s="8"/>
      <c r="O491" s="8">
        <f>$J491-($P491+$Q491)</f>
        <v>0</v>
      </c>
      <c r="P491" s="8"/>
      <c r="Q491" s="8"/>
      <c r="R491" s="9" t="str">
        <f t="shared" si="321"/>
        <v/>
      </c>
      <c r="S491" s="9">
        <f t="shared" si="322"/>
        <v>0</v>
      </c>
    </row>
    <row r="492" spans="1:19" x14ac:dyDescent="0.25">
      <c r="F492" s="7" t="e">
        <f t="shared" si="315"/>
        <v>#DIV/0!</v>
      </c>
      <c r="G492" s="7">
        <f t="shared" si="316"/>
        <v>0</v>
      </c>
      <c r="H492" s="8">
        <f t="shared" si="317"/>
        <v>0</v>
      </c>
      <c r="I492" s="8">
        <f t="shared" si="318"/>
        <v>0</v>
      </c>
      <c r="J492" s="8">
        <f t="shared" si="318"/>
        <v>0</v>
      </c>
      <c r="K492" s="8">
        <f t="shared" ca="1" si="319"/>
        <v>0</v>
      </c>
      <c r="L492" s="8">
        <f t="shared" ca="1" si="320"/>
        <v>0</v>
      </c>
      <c r="M492" s="8"/>
      <c r="N492" s="8"/>
      <c r="O492" s="8">
        <f t="shared" si="323"/>
        <v>0</v>
      </c>
      <c r="P492" s="8"/>
      <c r="Q492" s="8"/>
      <c r="R492" s="9" t="str">
        <f t="shared" si="321"/>
        <v/>
      </c>
      <c r="S492" s="9">
        <f t="shared" si="322"/>
        <v>0</v>
      </c>
    </row>
    <row r="493" spans="1:19" x14ac:dyDescent="0.25">
      <c r="F493" s="7" t="e">
        <f t="shared" si="315"/>
        <v>#DIV/0!</v>
      </c>
      <c r="G493" s="7">
        <f t="shared" si="316"/>
        <v>0</v>
      </c>
      <c r="H493" s="8">
        <f t="shared" si="317"/>
        <v>0</v>
      </c>
      <c r="I493" s="8">
        <f t="shared" si="318"/>
        <v>0</v>
      </c>
      <c r="J493" s="8">
        <f t="shared" si="318"/>
        <v>0</v>
      </c>
      <c r="K493" s="8">
        <f t="shared" ca="1" si="319"/>
        <v>0</v>
      </c>
      <c r="L493" s="8">
        <f t="shared" ca="1" si="320"/>
        <v>0</v>
      </c>
      <c r="M493" s="8"/>
      <c r="N493" s="8"/>
      <c r="O493" s="8">
        <f>$J493-($P493+$Q493)</f>
        <v>0</v>
      </c>
      <c r="P493" s="8"/>
      <c r="Q493" s="8"/>
      <c r="R493" s="9" t="str">
        <f t="shared" si="321"/>
        <v/>
      </c>
      <c r="S493" s="9">
        <f t="shared" si="322"/>
        <v>0</v>
      </c>
    </row>
    <row r="494" spans="1:19" x14ac:dyDescent="0.25">
      <c r="F494" s="7" t="e">
        <f t="shared" si="315"/>
        <v>#DIV/0!</v>
      </c>
      <c r="G494" s="7">
        <f t="shared" si="316"/>
        <v>0</v>
      </c>
      <c r="H494" s="8">
        <f t="shared" si="317"/>
        <v>0</v>
      </c>
      <c r="I494" s="8">
        <f t="shared" si="318"/>
        <v>0</v>
      </c>
      <c r="J494" s="8">
        <f t="shared" si="318"/>
        <v>0</v>
      </c>
      <c r="K494" s="8">
        <f t="shared" ca="1" si="319"/>
        <v>0</v>
      </c>
      <c r="L494" s="8">
        <f t="shared" ca="1" si="320"/>
        <v>0</v>
      </c>
      <c r="M494" s="8"/>
      <c r="N494" s="8"/>
      <c r="O494" s="8">
        <f t="shared" si="323"/>
        <v>0</v>
      </c>
      <c r="P494" s="8"/>
      <c r="Q494" s="8"/>
      <c r="R494" s="9" t="str">
        <f t="shared" si="321"/>
        <v/>
      </c>
      <c r="S494" s="9">
        <f t="shared" si="322"/>
        <v>0</v>
      </c>
    </row>
    <row r="495" spans="1:19" x14ac:dyDescent="0.25">
      <c r="F495" s="7" t="e">
        <f t="shared" si="315"/>
        <v>#DIV/0!</v>
      </c>
      <c r="G495" s="7">
        <f t="shared" si="316"/>
        <v>0</v>
      </c>
      <c r="H495" s="8">
        <f t="shared" si="317"/>
        <v>0</v>
      </c>
      <c r="I495" s="8">
        <f t="shared" si="318"/>
        <v>0</v>
      </c>
      <c r="J495" s="8">
        <f t="shared" si="318"/>
        <v>0</v>
      </c>
      <c r="K495" s="8">
        <f t="shared" ca="1" si="319"/>
        <v>0</v>
      </c>
      <c r="L495" s="8">
        <f t="shared" ca="1" si="320"/>
        <v>0</v>
      </c>
      <c r="M495" s="8"/>
      <c r="N495" s="8"/>
      <c r="O495" s="8">
        <f>$J495-($P495+$Q495)</f>
        <v>0</v>
      </c>
      <c r="P495" s="8"/>
      <c r="Q495" s="8"/>
      <c r="R495" s="9" t="str">
        <f t="shared" si="321"/>
        <v/>
      </c>
      <c r="S495" s="9">
        <f t="shared" si="322"/>
        <v>0</v>
      </c>
    </row>
    <row r="496" spans="1:19" x14ac:dyDescent="0.25">
      <c r="B496" s="1">
        <f>SUMPRODUCT((B486:B495&lt;&gt;"")/COUNTIF(B486:B495,B486:B495&amp;""))</f>
        <v>0</v>
      </c>
      <c r="C496" s="1">
        <f>COUNTA(Tableau159444546[Poste de dépense])</f>
        <v>0</v>
      </c>
      <c r="D496" s="1">
        <f>COUNTA(Tableau159444546[Nature des Dépenses])</f>
        <v>0</v>
      </c>
      <c r="F496" s="7" t="e">
        <f t="shared" ref="F496:S496" si="324">SUM(F486:F495)</f>
        <v>#DIV/0!</v>
      </c>
      <c r="G496" s="7">
        <f t="shared" si="324"/>
        <v>0</v>
      </c>
      <c r="H496" s="8">
        <f t="shared" si="324"/>
        <v>0</v>
      </c>
      <c r="I496" s="8">
        <f t="shared" si="324"/>
        <v>0</v>
      </c>
      <c r="J496" s="8">
        <f t="shared" si="324"/>
        <v>0</v>
      </c>
      <c r="K496" s="8">
        <f t="shared" ca="1" si="324"/>
        <v>0</v>
      </c>
      <c r="L496" s="8">
        <f t="shared" ca="1" si="324"/>
        <v>0</v>
      </c>
      <c r="M496" s="8">
        <f t="shared" si="324"/>
        <v>0</v>
      </c>
      <c r="N496" s="8">
        <f t="shared" si="324"/>
        <v>0</v>
      </c>
      <c r="O496" s="8">
        <f t="shared" si="324"/>
        <v>0</v>
      </c>
      <c r="P496" s="8">
        <f t="shared" si="324"/>
        <v>0</v>
      </c>
      <c r="Q496" s="8">
        <f t="shared" si="324"/>
        <v>0</v>
      </c>
      <c r="R496" s="8">
        <f t="shared" si="324"/>
        <v>0</v>
      </c>
      <c r="S496" s="8">
        <f t="shared" si="324"/>
        <v>0</v>
      </c>
    </row>
  </sheetData>
  <mergeCells count="84">
    <mergeCell ref="M468:N468"/>
    <mergeCell ref="P468:Q468"/>
    <mergeCell ref="R468:S468"/>
    <mergeCell ref="M484:N484"/>
    <mergeCell ref="P484:Q484"/>
    <mergeCell ref="R484:S484"/>
    <mergeCell ref="M436:N436"/>
    <mergeCell ref="P436:Q436"/>
    <mergeCell ref="R436:S436"/>
    <mergeCell ref="M452:N452"/>
    <mergeCell ref="P452:Q452"/>
    <mergeCell ref="R452:S452"/>
    <mergeCell ref="M404:N404"/>
    <mergeCell ref="P404:Q404"/>
    <mergeCell ref="R404:S404"/>
    <mergeCell ref="M420:N420"/>
    <mergeCell ref="P420:Q420"/>
    <mergeCell ref="R420:S420"/>
    <mergeCell ref="M372:N372"/>
    <mergeCell ref="P372:Q372"/>
    <mergeCell ref="R372:S372"/>
    <mergeCell ref="M388:N388"/>
    <mergeCell ref="P388:Q388"/>
    <mergeCell ref="R388:S388"/>
    <mergeCell ref="M340:N340"/>
    <mergeCell ref="P340:Q340"/>
    <mergeCell ref="R340:S340"/>
    <mergeCell ref="M356:N356"/>
    <mergeCell ref="P356:Q356"/>
    <mergeCell ref="R356:S356"/>
    <mergeCell ref="M308:N308"/>
    <mergeCell ref="P308:Q308"/>
    <mergeCell ref="R308:S308"/>
    <mergeCell ref="M324:N324"/>
    <mergeCell ref="P324:Q324"/>
    <mergeCell ref="R324:S324"/>
    <mergeCell ref="M276:N276"/>
    <mergeCell ref="P276:Q276"/>
    <mergeCell ref="R276:S276"/>
    <mergeCell ref="M292:N292"/>
    <mergeCell ref="P292:Q292"/>
    <mergeCell ref="R292:S292"/>
    <mergeCell ref="M244:N244"/>
    <mergeCell ref="P244:Q244"/>
    <mergeCell ref="R244:S244"/>
    <mergeCell ref="M260:N260"/>
    <mergeCell ref="P260:Q260"/>
    <mergeCell ref="R260:S260"/>
    <mergeCell ref="M212:N212"/>
    <mergeCell ref="P212:Q212"/>
    <mergeCell ref="R212:S212"/>
    <mergeCell ref="M228:N228"/>
    <mergeCell ref="P228:Q228"/>
    <mergeCell ref="R228:S228"/>
    <mergeCell ref="M180:N180"/>
    <mergeCell ref="P180:Q180"/>
    <mergeCell ref="R180:S180"/>
    <mergeCell ref="M196:N196"/>
    <mergeCell ref="P196:Q196"/>
    <mergeCell ref="R196:S196"/>
    <mergeCell ref="M148:N148"/>
    <mergeCell ref="P148:Q148"/>
    <mergeCell ref="R148:S148"/>
    <mergeCell ref="M164:N164"/>
    <mergeCell ref="P164:Q164"/>
    <mergeCell ref="R164:S164"/>
    <mergeCell ref="M96:N96"/>
    <mergeCell ref="P96:Q96"/>
    <mergeCell ref="R96:S96"/>
    <mergeCell ref="M132:N132"/>
    <mergeCell ref="P132:Q132"/>
    <mergeCell ref="R132:S132"/>
    <mergeCell ref="M61:N61"/>
    <mergeCell ref="P61:Q61"/>
    <mergeCell ref="R61:S61"/>
    <mergeCell ref="M77:N77"/>
    <mergeCell ref="P77:Q77"/>
    <mergeCell ref="R77:S77"/>
    <mergeCell ref="M11:N11"/>
    <mergeCell ref="P11:Q11"/>
    <mergeCell ref="R11:S11"/>
    <mergeCell ref="M27:N27"/>
    <mergeCell ref="P27:Q27"/>
    <mergeCell ref="R27:S27"/>
  </mergeCells>
  <conditionalFormatting sqref="H63:H72">
    <cfRule type="cellIs" dxfId="1098" priority="54" operator="greaterThan">
      <formula>"$J33"</formula>
    </cfRule>
  </conditionalFormatting>
  <conditionalFormatting sqref="H13">
    <cfRule type="cellIs" dxfId="1097" priority="51" operator="greaterThan">
      <formula>" -   € "</formula>
    </cfRule>
  </conditionalFormatting>
  <conditionalFormatting sqref="H13:H22">
    <cfRule type="cellIs" dxfId="1096" priority="52" operator="greaterThan">
      <formula>"$J33"</formula>
    </cfRule>
  </conditionalFormatting>
  <conditionalFormatting sqref="H79:H91">
    <cfRule type="cellIs" dxfId="1095" priority="50" operator="greaterThan">
      <formula>"$J33"</formula>
    </cfRule>
  </conditionalFormatting>
  <conditionalFormatting sqref="H454">
    <cfRule type="cellIs" dxfId="1094" priority="5" operator="greaterThan">
      <formula>" -   € "</formula>
    </cfRule>
  </conditionalFormatting>
  <conditionalFormatting sqref="H98:H127">
    <cfRule type="cellIs" dxfId="1093" priority="48" operator="greaterThan">
      <formula>"$J33"</formula>
    </cfRule>
  </conditionalFormatting>
  <conditionalFormatting sqref="H134:H143">
    <cfRule type="cellIs" dxfId="1092" priority="46" operator="greaterThan">
      <formula>"$J33"</formula>
    </cfRule>
  </conditionalFormatting>
  <conditionalFormatting sqref="H134">
    <cfRule type="cellIs" dxfId="1091" priority="45" operator="greaterThan">
      <formula>" -   € "</formula>
    </cfRule>
  </conditionalFormatting>
  <conditionalFormatting sqref="H150:H159">
    <cfRule type="cellIs" dxfId="1090" priority="44" operator="greaterThan">
      <formula>"$J33"</formula>
    </cfRule>
  </conditionalFormatting>
  <conditionalFormatting sqref="H166:H175">
    <cfRule type="cellIs" dxfId="1089" priority="42" operator="greaterThan">
      <formula>"$J33"</formula>
    </cfRule>
  </conditionalFormatting>
  <conditionalFormatting sqref="H166">
    <cfRule type="cellIs" dxfId="1088" priority="41" operator="greaterThan">
      <formula>" -   € "</formula>
    </cfRule>
  </conditionalFormatting>
  <conditionalFormatting sqref="H182:H191">
    <cfRule type="cellIs" dxfId="1087" priority="40" operator="greaterThan">
      <formula>"$J33"</formula>
    </cfRule>
  </conditionalFormatting>
  <conditionalFormatting sqref="H198:H207">
    <cfRule type="cellIs" dxfId="1086" priority="38" operator="greaterThan">
      <formula>"$J33"</formula>
    </cfRule>
  </conditionalFormatting>
  <conditionalFormatting sqref="H198">
    <cfRule type="cellIs" dxfId="1085" priority="37" operator="greaterThan">
      <formula>" -   € "</formula>
    </cfRule>
  </conditionalFormatting>
  <conditionalFormatting sqref="H214:H223">
    <cfRule type="cellIs" dxfId="1084" priority="36" operator="greaterThan">
      <formula>"$J33"</formula>
    </cfRule>
  </conditionalFormatting>
  <conditionalFormatting sqref="H214">
    <cfRule type="cellIs" dxfId="1083" priority="35" operator="greaterThan">
      <formula>" -   € "</formula>
    </cfRule>
  </conditionalFormatting>
  <conditionalFormatting sqref="H230:H239">
    <cfRule type="cellIs" dxfId="1082" priority="34" operator="greaterThan">
      <formula>"$J33"</formula>
    </cfRule>
  </conditionalFormatting>
  <conditionalFormatting sqref="H230">
    <cfRule type="cellIs" dxfId="1081" priority="33" operator="greaterThan">
      <formula>" -   € "</formula>
    </cfRule>
  </conditionalFormatting>
  <conditionalFormatting sqref="H246:H255">
    <cfRule type="cellIs" dxfId="1080" priority="32" operator="greaterThan">
      <formula>"$J33"</formula>
    </cfRule>
  </conditionalFormatting>
  <conditionalFormatting sqref="H246">
    <cfRule type="cellIs" dxfId="1079" priority="31" operator="greaterThan">
      <formula>" -   € "</formula>
    </cfRule>
  </conditionalFormatting>
  <conditionalFormatting sqref="H262:H271">
    <cfRule type="cellIs" dxfId="1078" priority="30" operator="greaterThan">
      <formula>"$J33"</formula>
    </cfRule>
  </conditionalFormatting>
  <conditionalFormatting sqref="H262">
    <cfRule type="cellIs" dxfId="1077" priority="29" operator="greaterThan">
      <formula>" -   € "</formula>
    </cfRule>
  </conditionalFormatting>
  <conditionalFormatting sqref="H278:H287">
    <cfRule type="cellIs" dxfId="1076" priority="28" operator="greaterThan">
      <formula>"$J33"</formula>
    </cfRule>
  </conditionalFormatting>
  <conditionalFormatting sqref="H278">
    <cfRule type="cellIs" dxfId="1075" priority="27" operator="greaterThan">
      <formula>" -   € "</formula>
    </cfRule>
  </conditionalFormatting>
  <conditionalFormatting sqref="H294:H303">
    <cfRule type="cellIs" dxfId="1074" priority="26" operator="greaterThan">
      <formula>"$J33"</formula>
    </cfRule>
  </conditionalFormatting>
  <conditionalFormatting sqref="H310:H319">
    <cfRule type="cellIs" dxfId="1072" priority="24" operator="greaterThan">
      <formula>"$J33"</formula>
    </cfRule>
  </conditionalFormatting>
  <conditionalFormatting sqref="H310">
    <cfRule type="cellIs" dxfId="1071" priority="23" operator="greaterThan">
      <formula>" -   € "</formula>
    </cfRule>
  </conditionalFormatting>
  <conditionalFormatting sqref="H326:H335">
    <cfRule type="cellIs" dxfId="1070" priority="22" operator="greaterThan">
      <formula>"$J33"</formula>
    </cfRule>
  </conditionalFormatting>
  <conditionalFormatting sqref="H342:H351">
    <cfRule type="cellIs" dxfId="1068" priority="20" operator="greaterThan">
      <formula>"$J33"</formula>
    </cfRule>
  </conditionalFormatting>
  <conditionalFormatting sqref="H342">
    <cfRule type="cellIs" dxfId="1067" priority="19" operator="greaterThan">
      <formula>" -   € "</formula>
    </cfRule>
  </conditionalFormatting>
  <conditionalFormatting sqref="H358:H367">
    <cfRule type="cellIs" dxfId="1066" priority="18" operator="greaterThan">
      <formula>"$J33"</formula>
    </cfRule>
  </conditionalFormatting>
  <conditionalFormatting sqref="H358">
    <cfRule type="cellIs" dxfId="1065" priority="17" operator="greaterThan">
      <formula>" -   € "</formula>
    </cfRule>
  </conditionalFormatting>
  <conditionalFormatting sqref="H374:H383">
    <cfRule type="cellIs" dxfId="1064" priority="16" operator="greaterThan">
      <formula>"$J33"</formula>
    </cfRule>
  </conditionalFormatting>
  <conditionalFormatting sqref="H374">
    <cfRule type="cellIs" dxfId="1063" priority="15" operator="greaterThan">
      <formula>" -   € "</formula>
    </cfRule>
  </conditionalFormatting>
  <conditionalFormatting sqref="H390:H399">
    <cfRule type="cellIs" dxfId="1062" priority="14" operator="greaterThan">
      <formula>"$J33"</formula>
    </cfRule>
  </conditionalFormatting>
  <conditionalFormatting sqref="H390">
    <cfRule type="cellIs" dxfId="1061" priority="13" operator="greaterThan">
      <formula>" -   € "</formula>
    </cfRule>
  </conditionalFormatting>
  <conditionalFormatting sqref="H406:H415">
    <cfRule type="cellIs" dxfId="1060" priority="12" operator="greaterThan">
      <formula>"$J33"</formula>
    </cfRule>
  </conditionalFormatting>
  <conditionalFormatting sqref="H406">
    <cfRule type="cellIs" dxfId="1059" priority="11" operator="greaterThan">
      <formula>" -   € "</formula>
    </cfRule>
  </conditionalFormatting>
  <conditionalFormatting sqref="H422:H431">
    <cfRule type="cellIs" dxfId="1058" priority="10" operator="greaterThan">
      <formula>"$J33"</formula>
    </cfRule>
  </conditionalFormatting>
  <conditionalFormatting sqref="H422">
    <cfRule type="cellIs" dxfId="1057" priority="9" operator="greaterThan">
      <formula>" -   € "</formula>
    </cfRule>
  </conditionalFormatting>
  <conditionalFormatting sqref="H438:H447">
    <cfRule type="cellIs" dxfId="1056" priority="8" operator="greaterThan">
      <formula>"$J33"</formula>
    </cfRule>
  </conditionalFormatting>
  <conditionalFormatting sqref="H438">
    <cfRule type="cellIs" dxfId="1055" priority="7" operator="greaterThan">
      <formula>" -   € "</formula>
    </cfRule>
  </conditionalFormatting>
  <conditionalFormatting sqref="H454:H463">
    <cfRule type="cellIs" dxfId="1054" priority="6" operator="greaterThan">
      <formula>"$J33"</formula>
    </cfRule>
  </conditionalFormatting>
  <conditionalFormatting sqref="H470">
    <cfRule type="cellIs" dxfId="1053" priority="3" operator="greaterThan">
      <formula>" -   € "</formula>
    </cfRule>
  </conditionalFormatting>
  <conditionalFormatting sqref="H470:H479">
    <cfRule type="cellIs" dxfId="1052" priority="4" operator="greaterThan">
      <formula>"$J33"</formula>
    </cfRule>
  </conditionalFormatting>
  <conditionalFormatting sqref="H486">
    <cfRule type="cellIs" dxfId="1051" priority="1" operator="greaterThan">
      <formula>" -   € "</formula>
    </cfRule>
  </conditionalFormatting>
  <conditionalFormatting sqref="H486:H495">
    <cfRule type="cellIs" dxfId="1050" priority="2" operator="greaterThan">
      <formula>"$J33"</formula>
    </cfRule>
  </conditionalFormatting>
  <pageMargins left="0.7" right="0.7" top="0.75" bottom="0.75" header="0.3" footer="0.3"/>
  <tableParts count="28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Ztrip</dc:creator>
  <cp:lastModifiedBy>Ztrip</cp:lastModifiedBy>
  <dcterms:created xsi:type="dcterms:W3CDTF">2012-09-15T00:34:09Z</dcterms:created>
  <dcterms:modified xsi:type="dcterms:W3CDTF">2012-09-15T01:04:57Z</dcterms:modified>
</cp:coreProperties>
</file>