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 codeName="{8C4F1C90-05EB-6A55-5F09-09C24B55AC0B}"/>
  <workbookPr codeName="ThisWorkbook" autoCompressPictures="0"/>
  <bookViews>
    <workbookView xWindow="2320" yWindow="740" windowWidth="33380" windowHeight="18000" tabRatio="860"/>
  </bookViews>
  <sheets>
    <sheet name="DEVIS FR" sheetId="53" r:id="rId1"/>
    <sheet name="A" sheetId="37" r:id="rId2"/>
    <sheet name="B" sheetId="38" r:id="rId3"/>
    <sheet name="C" sheetId="39" r:id="rId4"/>
    <sheet name="D" sheetId="40" r:id="rId5"/>
    <sheet name="E" sheetId="41" r:id="rId6"/>
    <sheet name="F" sheetId="42" r:id="rId7"/>
    <sheet name="G" sheetId="43" r:id="rId8"/>
    <sheet name="H" sheetId="44" r:id="rId9"/>
    <sheet name="J" sheetId="45" r:id="rId10"/>
    <sheet name="L" sheetId="46" r:id="rId11"/>
    <sheet name="M - O" sheetId="47" r:id="rId12"/>
    <sheet name="P" sheetId="48" r:id="rId13"/>
    <sheet name="R" sheetId="49" r:id="rId14"/>
    <sheet name="S" sheetId="50" r:id="rId15"/>
    <sheet name="T" sheetId="51" r:id="rId16"/>
    <sheet name="V" sheetId="52" r:id="rId17"/>
  </sheets>
  <definedNames>
    <definedName name="_xlnm._FilterDatabase" localSheetId="1" hidden="1">A!$A$8:$G$30</definedName>
    <definedName name="_xlnm._FilterDatabase" localSheetId="2" hidden="1">B!$A$8:$G$15</definedName>
    <definedName name="_xlnm._FilterDatabase" localSheetId="3" hidden="1">'C'!$A$8:$G$27</definedName>
    <definedName name="_xlnm._FilterDatabase" localSheetId="4" hidden="1">D!$A$8:$G$17</definedName>
    <definedName name="_xlnm._FilterDatabase" localSheetId="5" hidden="1">E!$A$8:$G$14</definedName>
    <definedName name="_xlnm._FilterDatabase" localSheetId="6" hidden="1">F!$A$8:$G$10</definedName>
    <definedName name="_xlnm._FilterDatabase" localSheetId="7" hidden="1">G!$A$8:$G$13</definedName>
    <definedName name="_xlnm._FilterDatabase" localSheetId="8" hidden="1">H!$A$8:$G$32</definedName>
    <definedName name="_xlnm._FilterDatabase" localSheetId="9" hidden="1">J!$A$8:$G$9</definedName>
    <definedName name="_xlnm._FilterDatabase" localSheetId="10" hidden="1">L!$A$8:$G$9</definedName>
    <definedName name="_xlnm._FilterDatabase" localSheetId="11" hidden="1">'M - O'!$A$8:$G$10</definedName>
    <definedName name="_xlnm._FilterDatabase" localSheetId="12" hidden="1">P!$A$8:$G$24</definedName>
    <definedName name="_xlnm._FilterDatabase" localSheetId="13" hidden="1">'R'!$A$8:$G$31</definedName>
    <definedName name="_xlnm._FilterDatabase" localSheetId="14" hidden="1">S!$A$8:$G$13</definedName>
    <definedName name="_xlnm._FilterDatabase" localSheetId="15" hidden="1">T!$A$8:$G$17</definedName>
    <definedName name="_xlnm._FilterDatabase" localSheetId="16" hidden="1">V!$A$8:$G$8</definedName>
    <definedName name="cat_pro" localSheetId="0">#REF!</definedName>
    <definedName name="cat_pro">#REF!</definedName>
    <definedName name="NewGamme" localSheetId="0">#REF!</definedName>
    <definedName name="NewGamme">#REF!</definedName>
    <definedName name="NewGammes" localSheetId="0">#REF!</definedName>
    <definedName name="NewGammes">#REF!</definedName>
    <definedName name="PRODUIT_QBX" localSheetId="0">#REF!</definedName>
    <definedName name="PRODUIT_QBX">#REF!</definedName>
    <definedName name="remise" localSheetId="0">#REF!</definedName>
    <definedName name="remise">#REF!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53" l="1"/>
  <c r="H18" i="53"/>
  <c r="I18" i="53"/>
  <c r="H19" i="53"/>
  <c r="H20" i="53"/>
  <c r="H21" i="53"/>
  <c r="H22" i="53"/>
  <c r="H23" i="53"/>
  <c r="H27" i="53"/>
  <c r="H25" i="53"/>
  <c r="B23" i="53"/>
  <c r="J9" i="46"/>
  <c r="I9" i="46"/>
  <c r="H9" i="46"/>
  <c r="J9" i="45"/>
  <c r="I9" i="45"/>
  <c r="H9" i="45"/>
  <c r="J11" i="52"/>
  <c r="I11" i="52"/>
  <c r="H11" i="52"/>
  <c r="J10" i="52"/>
  <c r="I10" i="52"/>
  <c r="H10" i="52"/>
  <c r="J9" i="52"/>
  <c r="I9" i="52"/>
  <c r="H9" i="52"/>
  <c r="F19" i="51"/>
  <c r="G19" i="51"/>
  <c r="H19" i="51"/>
  <c r="I19" i="51"/>
  <c r="J19" i="51"/>
  <c r="J18" i="51"/>
  <c r="I18" i="51"/>
  <c r="H18" i="51"/>
  <c r="J17" i="51"/>
  <c r="I17" i="51"/>
  <c r="H17" i="51"/>
  <c r="J16" i="51"/>
  <c r="I16" i="51"/>
  <c r="H16" i="51"/>
  <c r="J15" i="51"/>
  <c r="I15" i="51"/>
  <c r="H15" i="51"/>
  <c r="J14" i="51"/>
  <c r="I14" i="51"/>
  <c r="H14" i="51"/>
  <c r="J13" i="51"/>
  <c r="I13" i="51"/>
  <c r="H13" i="51"/>
  <c r="J12" i="51"/>
  <c r="I12" i="51"/>
  <c r="H12" i="51"/>
  <c r="J11" i="51"/>
  <c r="I11" i="51"/>
  <c r="H11" i="51"/>
  <c r="J10" i="51"/>
  <c r="I10" i="51"/>
  <c r="H10" i="51"/>
  <c r="J9" i="51"/>
  <c r="I9" i="51"/>
  <c r="H9" i="51"/>
  <c r="J13" i="50"/>
  <c r="I13" i="50"/>
  <c r="H13" i="50"/>
  <c r="J12" i="50"/>
  <c r="I12" i="50"/>
  <c r="H12" i="50"/>
  <c r="J11" i="50"/>
  <c r="I11" i="50"/>
  <c r="H11" i="50"/>
  <c r="J10" i="50"/>
  <c r="I10" i="50"/>
  <c r="H10" i="50"/>
  <c r="J9" i="50"/>
  <c r="I9" i="50"/>
  <c r="H9" i="50"/>
  <c r="J31" i="49"/>
  <c r="I31" i="49"/>
  <c r="H31" i="49"/>
  <c r="J30" i="49"/>
  <c r="I30" i="49"/>
  <c r="H30" i="49"/>
  <c r="J29" i="49"/>
  <c r="I29" i="49"/>
  <c r="H29" i="49"/>
  <c r="J28" i="49"/>
  <c r="I28" i="49"/>
  <c r="H28" i="49"/>
  <c r="J27" i="49"/>
  <c r="I27" i="49"/>
  <c r="H27" i="49"/>
  <c r="J26" i="49"/>
  <c r="I26" i="49"/>
  <c r="H26" i="49"/>
  <c r="J25" i="49"/>
  <c r="I25" i="49"/>
  <c r="H25" i="49"/>
  <c r="J24" i="49"/>
  <c r="I24" i="49"/>
  <c r="H24" i="49"/>
  <c r="J23" i="49"/>
  <c r="I23" i="49"/>
  <c r="H23" i="49"/>
  <c r="J22" i="49"/>
  <c r="I22" i="49"/>
  <c r="H22" i="49"/>
  <c r="J21" i="49"/>
  <c r="I21" i="49"/>
  <c r="H21" i="49"/>
  <c r="J20" i="49"/>
  <c r="I20" i="49"/>
  <c r="H20" i="49"/>
  <c r="J19" i="49"/>
  <c r="I19" i="49"/>
  <c r="H19" i="49"/>
  <c r="J18" i="49"/>
  <c r="I18" i="49"/>
  <c r="H18" i="49"/>
  <c r="J17" i="49"/>
  <c r="I17" i="49"/>
  <c r="H17" i="49"/>
  <c r="J16" i="49"/>
  <c r="I16" i="49"/>
  <c r="H16" i="49"/>
  <c r="J15" i="49"/>
  <c r="I15" i="49"/>
  <c r="H15" i="49"/>
  <c r="J14" i="49"/>
  <c r="I14" i="49"/>
  <c r="H14" i="49"/>
  <c r="J13" i="49"/>
  <c r="I13" i="49"/>
  <c r="H13" i="49"/>
  <c r="J12" i="49"/>
  <c r="I12" i="49"/>
  <c r="H12" i="49"/>
  <c r="J11" i="49"/>
  <c r="I11" i="49"/>
  <c r="H11" i="49"/>
  <c r="J10" i="49"/>
  <c r="I10" i="49"/>
  <c r="H10" i="49"/>
  <c r="J9" i="49"/>
  <c r="I9" i="49"/>
  <c r="H9" i="49"/>
  <c r="J24" i="48"/>
  <c r="I24" i="48"/>
  <c r="H24" i="48"/>
  <c r="J23" i="48"/>
  <c r="I23" i="48"/>
  <c r="H23" i="48"/>
  <c r="J22" i="48"/>
  <c r="I22" i="48"/>
  <c r="H22" i="48"/>
  <c r="J21" i="48"/>
  <c r="I21" i="48"/>
  <c r="H21" i="48"/>
  <c r="J20" i="48"/>
  <c r="I20" i="48"/>
  <c r="H20" i="48"/>
  <c r="J19" i="48"/>
  <c r="I19" i="48"/>
  <c r="H19" i="48"/>
  <c r="J18" i="48"/>
  <c r="I18" i="48"/>
  <c r="H18" i="48"/>
  <c r="J17" i="48"/>
  <c r="I17" i="48"/>
  <c r="H17" i="48"/>
  <c r="J16" i="48"/>
  <c r="I16" i="48"/>
  <c r="H16" i="48"/>
  <c r="J15" i="48"/>
  <c r="I15" i="48"/>
  <c r="H15" i="48"/>
  <c r="J14" i="48"/>
  <c r="I14" i="48"/>
  <c r="H14" i="48"/>
  <c r="J13" i="48"/>
  <c r="I13" i="48"/>
  <c r="H13" i="48"/>
  <c r="J12" i="48"/>
  <c r="I12" i="48"/>
  <c r="H12" i="48"/>
  <c r="J11" i="48"/>
  <c r="I11" i="48"/>
  <c r="H11" i="48"/>
  <c r="J10" i="48"/>
  <c r="I10" i="48"/>
  <c r="H10" i="48"/>
  <c r="J9" i="48"/>
  <c r="I9" i="48"/>
  <c r="H9" i="48"/>
  <c r="J10" i="47"/>
  <c r="I10" i="47"/>
  <c r="H10" i="47"/>
  <c r="J9" i="47"/>
  <c r="I9" i="47"/>
  <c r="H9" i="47"/>
  <c r="J32" i="44"/>
  <c r="I32" i="44"/>
  <c r="H32" i="44"/>
  <c r="J31" i="44"/>
  <c r="I31" i="44"/>
  <c r="H31" i="44"/>
  <c r="J30" i="44"/>
  <c r="I30" i="44"/>
  <c r="H30" i="44"/>
  <c r="J29" i="44"/>
  <c r="I29" i="44"/>
  <c r="H29" i="44"/>
  <c r="J28" i="44"/>
  <c r="I28" i="44"/>
  <c r="H28" i="44"/>
  <c r="J27" i="44"/>
  <c r="I27" i="44"/>
  <c r="H27" i="44"/>
  <c r="J26" i="44"/>
  <c r="I26" i="44"/>
  <c r="H26" i="44"/>
  <c r="J25" i="44"/>
  <c r="I25" i="44"/>
  <c r="H25" i="44"/>
  <c r="J24" i="44"/>
  <c r="I24" i="44"/>
  <c r="H24" i="44"/>
  <c r="J23" i="44"/>
  <c r="I23" i="44"/>
  <c r="H23" i="44"/>
  <c r="J22" i="44"/>
  <c r="I22" i="44"/>
  <c r="H22" i="44"/>
  <c r="J21" i="44"/>
  <c r="I21" i="44"/>
  <c r="H21" i="44"/>
  <c r="J20" i="44"/>
  <c r="I20" i="44"/>
  <c r="H20" i="44"/>
  <c r="J19" i="44"/>
  <c r="I19" i="44"/>
  <c r="H19" i="44"/>
  <c r="J18" i="44"/>
  <c r="I18" i="44"/>
  <c r="H18" i="44"/>
  <c r="J17" i="44"/>
  <c r="I17" i="44"/>
  <c r="H17" i="44"/>
  <c r="J16" i="44"/>
  <c r="I16" i="44"/>
  <c r="H16" i="44"/>
  <c r="J15" i="44"/>
  <c r="I15" i="44"/>
  <c r="H15" i="44"/>
  <c r="J14" i="44"/>
  <c r="I14" i="44"/>
  <c r="H14" i="44"/>
  <c r="J13" i="44"/>
  <c r="I13" i="44"/>
  <c r="H13" i="44"/>
  <c r="J12" i="44"/>
  <c r="I12" i="44"/>
  <c r="H12" i="44"/>
  <c r="J11" i="44"/>
  <c r="I11" i="44"/>
  <c r="H11" i="44"/>
  <c r="J10" i="44"/>
  <c r="I10" i="44"/>
  <c r="H10" i="44"/>
  <c r="J9" i="44"/>
  <c r="I9" i="44"/>
  <c r="H9" i="44"/>
  <c r="F10" i="42"/>
  <c r="G10" i="42"/>
  <c r="J10" i="42"/>
  <c r="I10" i="42"/>
  <c r="H10" i="42"/>
  <c r="F9" i="42"/>
  <c r="G9" i="42"/>
  <c r="J9" i="42"/>
  <c r="I9" i="42"/>
  <c r="H9" i="42"/>
  <c r="H9" i="41"/>
  <c r="H9" i="40"/>
  <c r="J14" i="41"/>
  <c r="I14" i="41"/>
  <c r="H14" i="41"/>
  <c r="J13" i="41"/>
  <c r="I13" i="41"/>
  <c r="H13" i="41"/>
  <c r="J12" i="41"/>
  <c r="I12" i="41"/>
  <c r="H12" i="41"/>
  <c r="J11" i="41"/>
  <c r="I11" i="41"/>
  <c r="H11" i="41"/>
  <c r="J10" i="41"/>
  <c r="I10" i="41"/>
  <c r="H10" i="41"/>
  <c r="J9" i="41"/>
  <c r="I9" i="41"/>
  <c r="J9" i="40"/>
  <c r="J10" i="40"/>
  <c r="J11" i="40"/>
  <c r="J12" i="40"/>
  <c r="J13" i="40"/>
  <c r="J14" i="40"/>
  <c r="J15" i="40"/>
  <c r="J16" i="40"/>
  <c r="J17" i="40"/>
  <c r="I9" i="40"/>
  <c r="I10" i="40"/>
  <c r="I11" i="40"/>
  <c r="I12" i="40"/>
  <c r="I13" i="40"/>
  <c r="I14" i="40"/>
  <c r="I15" i="40"/>
  <c r="I16" i="40"/>
  <c r="I17" i="40"/>
  <c r="H10" i="40"/>
  <c r="H11" i="40"/>
  <c r="H12" i="40"/>
  <c r="H13" i="40"/>
  <c r="H14" i="40"/>
  <c r="H15" i="40"/>
  <c r="H16" i="40"/>
  <c r="H17" i="40"/>
  <c r="J9" i="39"/>
  <c r="J10" i="39"/>
  <c r="J11" i="39"/>
  <c r="J12" i="39"/>
  <c r="J13" i="39"/>
  <c r="J14" i="39"/>
  <c r="J15" i="39"/>
  <c r="J16" i="39"/>
  <c r="J17" i="39"/>
  <c r="J18" i="39"/>
  <c r="J19" i="39"/>
  <c r="J20" i="39"/>
  <c r="J21" i="39"/>
  <c r="J22" i="39"/>
  <c r="J23" i="39"/>
  <c r="J24" i="39"/>
  <c r="J25" i="39"/>
  <c r="J26" i="39"/>
  <c r="J27" i="39"/>
  <c r="I9" i="39"/>
  <c r="I10" i="39"/>
  <c r="I11" i="39"/>
  <c r="I12" i="39"/>
  <c r="I13" i="39"/>
  <c r="I14" i="39"/>
  <c r="I15" i="39"/>
  <c r="I16" i="39"/>
  <c r="I17" i="39"/>
  <c r="I18" i="39"/>
  <c r="I19" i="39"/>
  <c r="I20" i="39"/>
  <c r="I21" i="39"/>
  <c r="I22" i="39"/>
  <c r="I23" i="39"/>
  <c r="I24" i="39"/>
  <c r="I25" i="39"/>
  <c r="I26" i="39"/>
  <c r="I27" i="39"/>
  <c r="H9" i="39"/>
  <c r="H10" i="39"/>
  <c r="H11" i="39"/>
  <c r="H12" i="39"/>
  <c r="H13" i="39"/>
  <c r="H14" i="39"/>
  <c r="H15" i="39"/>
  <c r="H16" i="39"/>
  <c r="H17" i="39"/>
  <c r="H18" i="39"/>
  <c r="H19" i="39"/>
  <c r="H20" i="39"/>
  <c r="H21" i="39"/>
  <c r="H22" i="39"/>
  <c r="H23" i="39"/>
  <c r="H24" i="39"/>
  <c r="H25" i="39"/>
  <c r="H26" i="39"/>
  <c r="H27" i="39"/>
  <c r="J9" i="38"/>
  <c r="J10" i="38"/>
  <c r="J11" i="38"/>
  <c r="J12" i="38"/>
  <c r="J13" i="38"/>
  <c r="J14" i="38"/>
  <c r="J15" i="38"/>
  <c r="I9" i="38"/>
  <c r="I10" i="38"/>
  <c r="I11" i="38"/>
  <c r="I12" i="38"/>
  <c r="I13" i="38"/>
  <c r="I14" i="38"/>
  <c r="I15" i="38"/>
  <c r="H9" i="38"/>
  <c r="H10" i="38"/>
  <c r="H11" i="38"/>
  <c r="H12" i="38"/>
  <c r="H13" i="38"/>
  <c r="H14" i="38"/>
  <c r="H15" i="38"/>
  <c r="H9" i="43"/>
  <c r="H10" i="43"/>
  <c r="H11" i="43"/>
  <c r="H12" i="43"/>
  <c r="H13" i="43"/>
  <c r="I9" i="43"/>
  <c r="I10" i="43"/>
  <c r="I11" i="43"/>
  <c r="I12" i="43"/>
  <c r="I13" i="43"/>
  <c r="J9" i="43"/>
  <c r="J10" i="43"/>
  <c r="J11" i="43"/>
  <c r="J12" i="43"/>
  <c r="J13" i="43"/>
  <c r="J9" i="37"/>
  <c r="J10" i="37"/>
  <c r="J11" i="37"/>
  <c r="J12" i="37"/>
  <c r="J13" i="37"/>
  <c r="J14" i="37"/>
  <c r="J15" i="37"/>
  <c r="J16" i="37"/>
  <c r="J17" i="37"/>
  <c r="J18" i="37"/>
  <c r="J19" i="37"/>
  <c r="J20" i="37"/>
  <c r="J21" i="37"/>
  <c r="J22" i="37"/>
  <c r="J23" i="37"/>
  <c r="J24" i="37"/>
  <c r="J25" i="37"/>
  <c r="J26" i="37"/>
  <c r="J27" i="37"/>
  <c r="J28" i="37"/>
  <c r="J29" i="37"/>
  <c r="J30" i="37"/>
  <c r="D5" i="37"/>
  <c r="I9" i="37"/>
  <c r="I10" i="37"/>
  <c r="I11" i="37"/>
  <c r="I12" i="37"/>
  <c r="I13" i="37"/>
  <c r="I14" i="37"/>
  <c r="I15" i="37"/>
  <c r="I16" i="37"/>
  <c r="I17" i="37"/>
  <c r="I18" i="37"/>
  <c r="I19" i="37"/>
  <c r="I20" i="37"/>
  <c r="I21" i="37"/>
  <c r="I22" i="37"/>
  <c r="I23" i="37"/>
  <c r="I24" i="37"/>
  <c r="I25" i="37"/>
  <c r="I26" i="37"/>
  <c r="I27" i="37"/>
  <c r="I28" i="37"/>
  <c r="I29" i="37"/>
  <c r="I30" i="37"/>
  <c r="D4" i="37"/>
  <c r="H9" i="37"/>
  <c r="H10" i="37"/>
  <c r="H11" i="37"/>
  <c r="H12" i="37"/>
  <c r="H13" i="37"/>
  <c r="H14" i="37"/>
  <c r="H15" i="37"/>
  <c r="H16" i="37"/>
  <c r="H17" i="37"/>
  <c r="H18" i="37"/>
  <c r="H19" i="37"/>
  <c r="H20" i="37"/>
  <c r="H21" i="37"/>
  <c r="H22" i="37"/>
  <c r="H23" i="37"/>
  <c r="H24" i="37"/>
  <c r="H25" i="37"/>
  <c r="H26" i="37"/>
  <c r="H27" i="37"/>
  <c r="H28" i="37"/>
  <c r="H29" i="37"/>
  <c r="H30" i="37"/>
  <c r="D3" i="37"/>
  <c r="F9" i="37"/>
  <c r="G9" i="37"/>
  <c r="F10" i="37"/>
  <c r="G10" i="37"/>
  <c r="F11" i="37"/>
  <c r="G11" i="37"/>
  <c r="F12" i="37"/>
  <c r="G12" i="37"/>
  <c r="F13" i="37"/>
  <c r="G13" i="37"/>
  <c r="F14" i="37"/>
  <c r="G14" i="37"/>
  <c r="F15" i="37"/>
  <c r="G15" i="37"/>
  <c r="F16" i="37"/>
  <c r="G16" i="37"/>
  <c r="F17" i="37"/>
  <c r="G17" i="37"/>
  <c r="F18" i="37"/>
  <c r="G18" i="37"/>
  <c r="F19" i="37"/>
  <c r="G19" i="37"/>
  <c r="F20" i="37"/>
  <c r="G20" i="37"/>
  <c r="F21" i="37"/>
  <c r="G21" i="37"/>
  <c r="F22" i="37"/>
  <c r="G22" i="37"/>
  <c r="F23" i="37"/>
  <c r="G23" i="37"/>
  <c r="F24" i="37"/>
  <c r="G24" i="37"/>
  <c r="F25" i="37"/>
  <c r="G25" i="37"/>
  <c r="F26" i="37"/>
  <c r="G26" i="37"/>
  <c r="F27" i="37"/>
  <c r="G27" i="37"/>
  <c r="F28" i="37"/>
  <c r="G28" i="37"/>
  <c r="F29" i="37"/>
  <c r="G29" i="37"/>
  <c r="F30" i="37"/>
  <c r="G30" i="37"/>
  <c r="F11" i="52"/>
  <c r="G11" i="52"/>
  <c r="F10" i="52"/>
  <c r="G10" i="52"/>
  <c r="F9" i="52"/>
  <c r="G9" i="52"/>
  <c r="F18" i="51"/>
  <c r="G18" i="51"/>
  <c r="F17" i="51"/>
  <c r="G17" i="51"/>
  <c r="F16" i="51"/>
  <c r="G16" i="51"/>
  <c r="F15" i="51"/>
  <c r="G15" i="51"/>
  <c r="F14" i="51"/>
  <c r="G14" i="51"/>
  <c r="F13" i="51"/>
  <c r="G13" i="51"/>
  <c r="F12" i="51"/>
  <c r="G12" i="51"/>
  <c r="F11" i="51"/>
  <c r="G11" i="51"/>
  <c r="F10" i="51"/>
  <c r="G10" i="51"/>
  <c r="F9" i="51"/>
  <c r="G9" i="51"/>
  <c r="F13" i="50"/>
  <c r="G13" i="50"/>
  <c r="F12" i="50"/>
  <c r="G12" i="50"/>
  <c r="F11" i="50"/>
  <c r="G11" i="50"/>
  <c r="F10" i="50"/>
  <c r="G10" i="50"/>
  <c r="F9" i="50"/>
  <c r="G9" i="50"/>
  <c r="F31" i="49"/>
  <c r="G31" i="49"/>
  <c r="F30" i="49"/>
  <c r="G30" i="49"/>
  <c r="F29" i="49"/>
  <c r="G29" i="49"/>
  <c r="F28" i="49"/>
  <c r="G28" i="49"/>
  <c r="F27" i="49"/>
  <c r="G27" i="49"/>
  <c r="F26" i="49"/>
  <c r="G26" i="49"/>
  <c r="F25" i="49"/>
  <c r="G25" i="49"/>
  <c r="F24" i="49"/>
  <c r="G24" i="49"/>
  <c r="F23" i="49"/>
  <c r="G23" i="49"/>
  <c r="F22" i="49"/>
  <c r="G22" i="49"/>
  <c r="F21" i="49"/>
  <c r="G21" i="49"/>
  <c r="F20" i="49"/>
  <c r="G20" i="49"/>
  <c r="F19" i="49"/>
  <c r="G19" i="49"/>
  <c r="F18" i="49"/>
  <c r="G18" i="49"/>
  <c r="F17" i="49"/>
  <c r="G17" i="49"/>
  <c r="F16" i="49"/>
  <c r="G16" i="49"/>
  <c r="F15" i="49"/>
  <c r="G15" i="49"/>
  <c r="F14" i="49"/>
  <c r="G14" i="49"/>
  <c r="F13" i="49"/>
  <c r="G13" i="49"/>
  <c r="F12" i="49"/>
  <c r="G12" i="49"/>
  <c r="F11" i="49"/>
  <c r="G11" i="49"/>
  <c r="F10" i="49"/>
  <c r="G10" i="49"/>
  <c r="F9" i="49"/>
  <c r="G9" i="49"/>
  <c r="F24" i="48"/>
  <c r="G24" i="48"/>
  <c r="F23" i="48"/>
  <c r="G23" i="48"/>
  <c r="F22" i="48"/>
  <c r="G22" i="48"/>
  <c r="F21" i="48"/>
  <c r="G21" i="48"/>
  <c r="F20" i="48"/>
  <c r="G20" i="48"/>
  <c r="F19" i="48"/>
  <c r="G19" i="48"/>
  <c r="F18" i="48"/>
  <c r="G18" i="48"/>
  <c r="F17" i="48"/>
  <c r="G17" i="48"/>
  <c r="F16" i="48"/>
  <c r="G16" i="48"/>
  <c r="F15" i="48"/>
  <c r="G15" i="48"/>
  <c r="F14" i="48"/>
  <c r="G14" i="48"/>
  <c r="F13" i="48"/>
  <c r="G13" i="48"/>
  <c r="F12" i="48"/>
  <c r="G12" i="48"/>
  <c r="F11" i="48"/>
  <c r="G11" i="48"/>
  <c r="F10" i="48"/>
  <c r="G10" i="48"/>
  <c r="F9" i="48"/>
  <c r="G9" i="48"/>
  <c r="F10" i="47"/>
  <c r="G10" i="47"/>
  <c r="F9" i="47"/>
  <c r="G9" i="47"/>
  <c r="F9" i="46"/>
  <c r="G9" i="46"/>
  <c r="F9" i="45"/>
  <c r="G9" i="45"/>
  <c r="F32" i="44"/>
  <c r="G32" i="44"/>
  <c r="F31" i="44"/>
  <c r="G31" i="44"/>
  <c r="F30" i="44"/>
  <c r="G30" i="44"/>
  <c r="F29" i="44"/>
  <c r="G29" i="44"/>
  <c r="F28" i="44"/>
  <c r="G28" i="44"/>
  <c r="F27" i="44"/>
  <c r="G27" i="44"/>
  <c r="F26" i="44"/>
  <c r="G26" i="44"/>
  <c r="F25" i="44"/>
  <c r="G25" i="44"/>
  <c r="F24" i="44"/>
  <c r="G24" i="44"/>
  <c r="F23" i="44"/>
  <c r="G23" i="44"/>
  <c r="F22" i="44"/>
  <c r="G22" i="44"/>
  <c r="F21" i="44"/>
  <c r="G21" i="44"/>
  <c r="F20" i="44"/>
  <c r="G20" i="44"/>
  <c r="F19" i="44"/>
  <c r="G19" i="44"/>
  <c r="F18" i="44"/>
  <c r="G18" i="44"/>
  <c r="F17" i="44"/>
  <c r="G17" i="44"/>
  <c r="F16" i="44"/>
  <c r="G16" i="44"/>
  <c r="F15" i="44"/>
  <c r="G15" i="44"/>
  <c r="F14" i="44"/>
  <c r="G14" i="44"/>
  <c r="F13" i="44"/>
  <c r="G13" i="44"/>
  <c r="F12" i="44"/>
  <c r="G12" i="44"/>
  <c r="F11" i="44"/>
  <c r="G11" i="44"/>
  <c r="F10" i="44"/>
  <c r="G10" i="44"/>
  <c r="F9" i="44"/>
  <c r="G9" i="44"/>
  <c r="F13" i="43"/>
  <c r="G13" i="43"/>
  <c r="F12" i="43"/>
  <c r="G12" i="43"/>
  <c r="F11" i="43"/>
  <c r="G11" i="43"/>
  <c r="F10" i="43"/>
  <c r="G10" i="43"/>
  <c r="F9" i="43"/>
  <c r="G9" i="43"/>
  <c r="F14" i="41"/>
  <c r="G14" i="41"/>
  <c r="F13" i="41"/>
  <c r="G13" i="41"/>
  <c r="F12" i="41"/>
  <c r="G12" i="41"/>
  <c r="F11" i="41"/>
  <c r="G11" i="41"/>
  <c r="F10" i="41"/>
  <c r="G10" i="41"/>
  <c r="F9" i="41"/>
  <c r="G9" i="41"/>
  <c r="F17" i="40"/>
  <c r="G17" i="40"/>
  <c r="F16" i="40"/>
  <c r="G16" i="40"/>
  <c r="F15" i="40"/>
  <c r="G15" i="40"/>
  <c r="F14" i="40"/>
  <c r="G14" i="40"/>
  <c r="F13" i="40"/>
  <c r="G13" i="40"/>
  <c r="F12" i="40"/>
  <c r="G12" i="40"/>
  <c r="F11" i="40"/>
  <c r="G11" i="40"/>
  <c r="F10" i="40"/>
  <c r="G10" i="40"/>
  <c r="F9" i="40"/>
  <c r="G9" i="40"/>
  <c r="F27" i="39"/>
  <c r="G27" i="39"/>
  <c r="F26" i="39"/>
  <c r="G26" i="39"/>
  <c r="F25" i="39"/>
  <c r="G25" i="39"/>
  <c r="F24" i="39"/>
  <c r="G24" i="39"/>
  <c r="F23" i="39"/>
  <c r="G23" i="39"/>
  <c r="F22" i="39"/>
  <c r="G22" i="39"/>
  <c r="F21" i="39"/>
  <c r="G21" i="39"/>
  <c r="F20" i="39"/>
  <c r="G20" i="39"/>
  <c r="F19" i="39"/>
  <c r="G19" i="39"/>
  <c r="F18" i="39"/>
  <c r="G18" i="39"/>
  <c r="F17" i="39"/>
  <c r="G17" i="39"/>
  <c r="F16" i="39"/>
  <c r="G16" i="39"/>
  <c r="F15" i="39"/>
  <c r="G15" i="39"/>
  <c r="F14" i="39"/>
  <c r="G14" i="39"/>
  <c r="F13" i="39"/>
  <c r="G13" i="39"/>
  <c r="F12" i="39"/>
  <c r="G12" i="39"/>
  <c r="F11" i="39"/>
  <c r="G11" i="39"/>
  <c r="F10" i="39"/>
  <c r="G10" i="39"/>
  <c r="F9" i="39"/>
  <c r="G9" i="39"/>
  <c r="F15" i="38"/>
  <c r="G15" i="38"/>
  <c r="F14" i="38"/>
  <c r="G14" i="38"/>
  <c r="F13" i="38"/>
  <c r="G13" i="38"/>
  <c r="F12" i="38"/>
  <c r="G12" i="38"/>
  <c r="F11" i="38"/>
  <c r="G11" i="38"/>
  <c r="F10" i="38"/>
  <c r="G10" i="38"/>
  <c r="F9" i="38"/>
  <c r="G9" i="38"/>
</calcChain>
</file>

<file path=xl/sharedStrings.xml><?xml version="1.0" encoding="utf-8"?>
<sst xmlns="http://schemas.openxmlformats.org/spreadsheetml/2006/main" count="664" uniqueCount="453">
  <si>
    <t>REFERENCE</t>
  </si>
  <si>
    <t>DATE</t>
  </si>
  <si>
    <t>PU HT</t>
  </si>
  <si>
    <t>DEVIS VALABLE JUSQU'AU :</t>
  </si>
  <si>
    <t>TOTAL HT</t>
  </si>
  <si>
    <t>TAUX DE TVA</t>
  </si>
  <si>
    <t xml:space="preserve">TVA </t>
  </si>
  <si>
    <t>Montant HT</t>
  </si>
  <si>
    <t xml:space="preserve">TOTAL TTC </t>
  </si>
  <si>
    <t>MONTANT A PAYER</t>
  </si>
  <si>
    <t>soit</t>
  </si>
  <si>
    <t>PU HT NET</t>
  </si>
  <si>
    <t>Désignation</t>
  </si>
  <si>
    <t>TOTAL REMISE</t>
  </si>
  <si>
    <t>TOTAL NET HT</t>
  </si>
  <si>
    <t>DEVIS</t>
  </si>
  <si>
    <t>Qté</t>
  </si>
  <si>
    <t xml:space="preserve">Acompte </t>
  </si>
  <si>
    <t>TAUX DE TV</t>
  </si>
  <si>
    <t>Init</t>
  </si>
  <si>
    <t>DESIGNATION</t>
  </si>
  <si>
    <t>REFERENCES CONCERNEES</t>
  </si>
  <si>
    <t>PRIX VENTE HT</t>
  </si>
  <si>
    <t>MONTANT TVA</t>
  </si>
  <si>
    <t>PRIX DE VENTE TTC</t>
  </si>
  <si>
    <t>A1</t>
  </si>
  <si>
    <t xml:space="preserve">Axe roue libre trans 2nd </t>
  </si>
  <si>
    <t>A2</t>
  </si>
  <si>
    <t>Adaptateur plateau D64</t>
  </si>
  <si>
    <t>A3</t>
  </si>
  <si>
    <t>Adaptateur frein gen2 ISO</t>
  </si>
  <si>
    <t>1213-04</t>
  </si>
  <si>
    <t>A4</t>
  </si>
  <si>
    <t>Adaptateur étrier frein AV NEW</t>
  </si>
  <si>
    <t>1213-04 + tribo + oas</t>
  </si>
  <si>
    <t>A5</t>
  </si>
  <si>
    <t xml:space="preserve">Axe pivot D55 suspension AR </t>
  </si>
  <si>
    <t>1313-04</t>
  </si>
  <si>
    <t>A6</t>
  </si>
  <si>
    <t>Accouplement roue AR</t>
  </si>
  <si>
    <t>1325 +aos</t>
  </si>
  <si>
    <t>A7</t>
  </si>
  <si>
    <t xml:space="preserve">axe de roues AR </t>
  </si>
  <si>
    <t>1334+oas</t>
  </si>
  <si>
    <t>A8</t>
  </si>
  <si>
    <t>axe tendeur chaine principale NEW</t>
  </si>
  <si>
    <t>1521+oas</t>
  </si>
  <si>
    <t>A9</t>
  </si>
  <si>
    <t>Adaptateur transmission 2nd</t>
  </si>
  <si>
    <t>1540-01</t>
  </si>
  <si>
    <t>A10</t>
  </si>
  <si>
    <t>Axe rail D7 siège</t>
  </si>
  <si>
    <t>1924-02</t>
  </si>
  <si>
    <t>A11</t>
  </si>
  <si>
    <t>Adaptateur chape tole AV siege</t>
  </si>
  <si>
    <t>1934-04</t>
  </si>
  <si>
    <t>A12</t>
  </si>
  <si>
    <t>Adaptateur AR embase siège</t>
  </si>
  <si>
    <t>1935-03</t>
  </si>
  <si>
    <t>A13</t>
  </si>
  <si>
    <t>Adaptateur chape tole AR siege + renfort</t>
  </si>
  <si>
    <t>1935-05+renfort</t>
  </si>
  <si>
    <t>A14</t>
  </si>
  <si>
    <t>Adaptateur chape tole AR siege 3plis</t>
  </si>
  <si>
    <t>1935-06 3plis</t>
  </si>
  <si>
    <t>A15</t>
  </si>
  <si>
    <t>A-Platine chape siege dorsale</t>
  </si>
  <si>
    <t>1942-02</t>
  </si>
  <si>
    <t>A16</t>
  </si>
  <si>
    <t>Amortisseur AR FOX Van RC  2013</t>
  </si>
  <si>
    <t>FOX</t>
  </si>
  <si>
    <t>A17</t>
  </si>
  <si>
    <t>Amortisseur AR FOX Vanilla R usi 2011</t>
  </si>
  <si>
    <t>A18</t>
  </si>
  <si>
    <t>Amortisseur FOX FLOAT R préparé QBX</t>
  </si>
  <si>
    <t>A19</t>
  </si>
  <si>
    <t>Amortisseur KIND SHOCK EXA 562R</t>
  </si>
  <si>
    <t>KIND SHOCK 200</t>
  </si>
  <si>
    <t>A20</t>
  </si>
  <si>
    <t>Amortisseur KIND SHOCK FD30</t>
  </si>
  <si>
    <t>KIND SHOCK 200  ressort 450 ou 150</t>
  </si>
  <si>
    <t>A21</t>
  </si>
  <si>
    <t>Amortisseur XFUSION O2R</t>
  </si>
  <si>
    <t>XFUSION 200,56</t>
  </si>
  <si>
    <t>A22</t>
  </si>
  <si>
    <t>Amortisseur XFUSION GLIDER</t>
  </si>
  <si>
    <t>XFUSION 200,56  ressort 450 ou 150</t>
  </si>
  <si>
    <t>B1</t>
  </si>
  <si>
    <t>Bras oscillant complet</t>
  </si>
  <si>
    <t>1310+1322+1316+colle+peinture</t>
  </si>
  <si>
    <t>B2</t>
  </si>
  <si>
    <t>Bloc pivot AR chassis</t>
  </si>
  <si>
    <t>1311-05 + oas</t>
  </si>
  <si>
    <t>B3</t>
  </si>
  <si>
    <t>Barre dorsale cote amortisseur 1905 colle</t>
  </si>
  <si>
    <t>1956-04 + 1938-03B + ano</t>
  </si>
  <si>
    <t>B4</t>
  </si>
  <si>
    <t>Biellette de direct horizontale D16,5x370 POM-H</t>
  </si>
  <si>
    <t>2134-05</t>
  </si>
  <si>
    <t>B5</t>
  </si>
  <si>
    <t>bras de direction porte fusee Gen1</t>
  </si>
  <si>
    <t>2144 +tribo + oas</t>
  </si>
  <si>
    <t>B6</t>
  </si>
  <si>
    <t>bras de direction porte fusee NEW</t>
  </si>
  <si>
    <t>B7</t>
  </si>
  <si>
    <t>Bague appui roue libre 1335</t>
  </si>
  <si>
    <t>inox 304L</t>
  </si>
  <si>
    <t>C1</t>
  </si>
  <si>
    <t xml:space="preserve">Chassis peint </t>
  </si>
  <si>
    <t>1110-07 + 2x1938+2135+2136+7xA202FH+peint</t>
  </si>
  <si>
    <t>C2</t>
  </si>
  <si>
    <t>Colonne de direction principale D35</t>
  </si>
  <si>
    <t>2108ASS--2153+2117+oas</t>
  </si>
  <si>
    <t>C3</t>
  </si>
  <si>
    <t xml:space="preserve">chaîne (3 x PC970 SRAM) </t>
  </si>
  <si>
    <t>chaine</t>
  </si>
  <si>
    <t>C4</t>
  </si>
  <si>
    <t>Chaîne KMC 9V  9.93 Silver Transmission 1er</t>
  </si>
  <si>
    <t>Chaine KMC 9,93</t>
  </si>
  <si>
    <t>C5</t>
  </si>
  <si>
    <t>Chaine au métre KMC X9e velo electrique 9V</t>
  </si>
  <si>
    <t>Chaine KMC X9e</t>
  </si>
  <si>
    <t>C6</t>
  </si>
  <si>
    <t>Chaine jeu complet 1er et 2nd 8V</t>
  </si>
  <si>
    <t>Chaine SRAM 8V PC830</t>
  </si>
  <si>
    <t>C7</t>
  </si>
  <si>
    <t>Chaine jeu complet 1er et 2nd 9V</t>
  </si>
  <si>
    <t>Chaine SRAM 9V PC971</t>
  </si>
  <si>
    <t>C8</t>
  </si>
  <si>
    <t>chambre à air CPA</t>
  </si>
  <si>
    <t>chambre</t>
  </si>
  <si>
    <t>C9</t>
  </si>
  <si>
    <t>CHASSIS COMPLET prêt à monter</t>
  </si>
  <si>
    <t>Peint et collé poutre + tube periph + bloc pivot</t>
  </si>
  <si>
    <t>C10</t>
  </si>
  <si>
    <t>Collage Bloc pivot AR</t>
  </si>
  <si>
    <t>Sans Réf collage + Mo</t>
  </si>
  <si>
    <t>C11</t>
  </si>
  <si>
    <t>Collage Chassis + tube périphérique</t>
  </si>
  <si>
    <t>C12</t>
  </si>
  <si>
    <t>Cable dérailleur AR 2,5m</t>
  </si>
  <si>
    <t>Shimano</t>
  </si>
  <si>
    <t>C13</t>
  </si>
  <si>
    <t>Cassette Shimano 9V Deore</t>
  </si>
  <si>
    <t>C14</t>
  </si>
  <si>
    <t>Cmde changement vitesse ALIVIO paire</t>
  </si>
  <si>
    <t>C15</t>
  </si>
  <si>
    <t>Cmde changement vitesse DEORE paire</t>
  </si>
  <si>
    <t>C16</t>
  </si>
  <si>
    <t>Cmde changement vitesse SLX paire</t>
  </si>
  <si>
    <t>C17</t>
  </si>
  <si>
    <t>Cmde Cgt vitTrigger SRAM X7 paire</t>
  </si>
  <si>
    <t>TRI SRAM X7-96476</t>
  </si>
  <si>
    <t>C18</t>
  </si>
  <si>
    <t>C19</t>
  </si>
  <si>
    <t>Colier de serrage rapid BBB</t>
  </si>
  <si>
    <t>D1</t>
  </si>
  <si>
    <t xml:space="preserve">dérailleur AR Sram X7 </t>
  </si>
  <si>
    <t>derailleur</t>
  </si>
  <si>
    <t>D2</t>
  </si>
  <si>
    <t xml:space="preserve">disque de frein Hope </t>
  </si>
  <si>
    <t>disque</t>
  </si>
  <si>
    <t>D3</t>
  </si>
  <si>
    <t>Dérailleur AR ALIVIO</t>
  </si>
  <si>
    <t>D4</t>
  </si>
  <si>
    <t>Dérailleur AR DEORE</t>
  </si>
  <si>
    <t>D5</t>
  </si>
  <si>
    <t>Dérailleur AR SLX</t>
  </si>
  <si>
    <t>D6</t>
  </si>
  <si>
    <t>Dérailleur AR XT</t>
  </si>
  <si>
    <t>D7</t>
  </si>
  <si>
    <t>Dérailleur AV SLX Typ D</t>
  </si>
  <si>
    <t>D8</t>
  </si>
  <si>
    <t>Dérailleur AV SLX Typ E</t>
  </si>
  <si>
    <t>D9</t>
  </si>
  <si>
    <t>Dérailleur AV XT Typ E</t>
  </si>
  <si>
    <t>E1</t>
  </si>
  <si>
    <t xml:space="preserve">écrou de roue </t>
  </si>
  <si>
    <t>1216-02</t>
  </si>
  <si>
    <t>E2</t>
  </si>
  <si>
    <t>écrou intérieur fusée</t>
  </si>
  <si>
    <t>1219-02</t>
  </si>
  <si>
    <t>E3</t>
  </si>
  <si>
    <t>Entretoise dégagement angualire</t>
  </si>
  <si>
    <t>1233-01</t>
  </si>
  <si>
    <t>E4</t>
  </si>
  <si>
    <t>Entretoise épaulée D6 inox coussinet</t>
  </si>
  <si>
    <t>1955-02</t>
  </si>
  <si>
    <t>E5</t>
  </si>
  <si>
    <t>Embout de guidon réglable PER (paire)</t>
  </si>
  <si>
    <t>2163+ morceau guidon STAR BAR+MO</t>
  </si>
  <si>
    <t>E6</t>
  </si>
  <si>
    <t>Embout de guidon réglable</t>
  </si>
  <si>
    <t>ref sacim 36268</t>
  </si>
  <si>
    <t>F1</t>
  </si>
  <si>
    <t xml:space="preserve">Fusée roue AV </t>
  </si>
  <si>
    <t>1218-03</t>
  </si>
  <si>
    <t>F2</t>
  </si>
  <si>
    <t>Frein Maitre cylindre AVID Juicy3 complet</t>
  </si>
  <si>
    <t>frien avid maitre cyl</t>
  </si>
  <si>
    <t>G1</t>
  </si>
  <si>
    <t>Galet tendeur de chaine principale NEW</t>
  </si>
  <si>
    <t>1520-02</t>
  </si>
  <si>
    <t>G2</t>
  </si>
  <si>
    <t>Galet tendeur de chaine principale old</t>
  </si>
  <si>
    <t>G3</t>
  </si>
  <si>
    <t>Galet chaine secondaire</t>
  </si>
  <si>
    <t>BBB galet 2014 unitaire</t>
  </si>
  <si>
    <t>G4</t>
  </si>
  <si>
    <t>Gaine dérailleur sans teflon SACIM</t>
  </si>
  <si>
    <t>Gaine Sacim</t>
  </si>
  <si>
    <t>G5</t>
  </si>
  <si>
    <t xml:space="preserve">Gaine spirale D12 </t>
  </si>
  <si>
    <t>Wurts</t>
  </si>
  <si>
    <t>H1</t>
  </si>
  <si>
    <t>Hope kit frein hope mono mini</t>
  </si>
  <si>
    <t>3x40+2x40+100(Mo)+18x3(disc)+12(dirit)+15(port)</t>
  </si>
  <si>
    <t>H2</t>
  </si>
  <si>
    <t>Hope kit frein hope RACE X2 EVO no disc</t>
  </si>
  <si>
    <t>3x55+2x55+9,58x3(Adapt)+100(Mo)+0x3(disc)+12(durit)+15(port)</t>
  </si>
  <si>
    <t>H3</t>
  </si>
  <si>
    <t>Hope kit frein hope RACE X2 EVO 2014 NEW</t>
  </si>
  <si>
    <t>3x55+2x55+9,58x3(Adapt)+100(Mo)+19,15x3(disc)+12(durit)+15(port)</t>
  </si>
  <si>
    <t>H4</t>
  </si>
  <si>
    <t>Hope coussinet plastique des leviers</t>
  </si>
  <si>
    <t>coussinet</t>
  </si>
  <si>
    <t>H5</t>
  </si>
  <si>
    <t>Hope cyclindre bronze des leviers</t>
  </si>
  <si>
    <t>cylindre</t>
  </si>
  <si>
    <t>H6</t>
  </si>
  <si>
    <t>Hope durite au metre</t>
  </si>
  <si>
    <t>durite /m</t>
  </si>
  <si>
    <t>H7</t>
  </si>
  <si>
    <t>Hope adaptateur ISO/POST mount</t>
  </si>
  <si>
    <t>HBMF-D160 et HBMA-D140</t>
  </si>
  <si>
    <t>H8</t>
  </si>
  <si>
    <t>Hope  piston etrier phenol MONO MINI</t>
  </si>
  <si>
    <t>Hope</t>
  </si>
  <si>
    <t>H9</t>
  </si>
  <si>
    <t>Hope bore cap joint torique</t>
  </si>
  <si>
    <t>H10</t>
  </si>
  <si>
    <t>Hope bore cap tool mono mini</t>
  </si>
  <si>
    <t>H11</t>
  </si>
  <si>
    <t>Hope hydraulic oil 250ml</t>
  </si>
  <si>
    <t>H12</t>
  </si>
  <si>
    <t>Hope joint piston etrier</t>
  </si>
  <si>
    <t>H13</t>
  </si>
  <si>
    <t>Hope joint piston maitre cyl AV et AR</t>
  </si>
  <si>
    <t>H14</t>
  </si>
  <si>
    <t>Hope membrane-diaphragm</t>
  </si>
  <si>
    <t>H15</t>
  </si>
  <si>
    <t>Hope piston</t>
  </si>
  <si>
    <t>H16</t>
  </si>
  <si>
    <t xml:space="preserve">Hope kit de purge freins Hope </t>
  </si>
  <si>
    <t>kit purge</t>
  </si>
  <si>
    <t>H17</t>
  </si>
  <si>
    <t>Hope levier gris MONOMINI 06</t>
  </si>
  <si>
    <t>levier</t>
  </si>
  <si>
    <t>H18</t>
  </si>
  <si>
    <t>Hope levier noir MONOMINI 07</t>
  </si>
  <si>
    <t>H19</t>
  </si>
  <si>
    <t>Hope olive</t>
  </si>
  <si>
    <t>olive</t>
  </si>
  <si>
    <t>H20</t>
  </si>
  <si>
    <t>Hope plaquettes de frein Hope MONO et X2</t>
  </si>
  <si>
    <t>plaquette</t>
  </si>
  <si>
    <t>H21</t>
  </si>
  <si>
    <t>Hope raccord 90°</t>
  </si>
  <si>
    <t>raccord</t>
  </si>
  <si>
    <t>H22</t>
  </si>
  <si>
    <t>Hope raccord droit</t>
  </si>
  <si>
    <t>H23</t>
  </si>
  <si>
    <t>Hope kit de reconditionnement 06/07</t>
  </si>
  <si>
    <t>ref hope HBSPC16M</t>
  </si>
  <si>
    <t>H24</t>
  </si>
  <si>
    <t>Housse de siège texpiel 3D</t>
  </si>
  <si>
    <t>ACSIS</t>
  </si>
  <si>
    <t>J1</t>
  </si>
  <si>
    <t>Jante seule DISC BULL 24P</t>
  </si>
  <si>
    <t>Réf RIGIDA</t>
  </si>
  <si>
    <t>L1</t>
  </si>
  <si>
    <t>Lame pare-choc</t>
  </si>
  <si>
    <t>2160-00</t>
  </si>
  <si>
    <t>M1</t>
  </si>
  <si>
    <t>Moyeu roue GEN2</t>
  </si>
  <si>
    <t>1413-05</t>
  </si>
  <si>
    <t>M-O1</t>
  </si>
  <si>
    <t xml:space="preserve">M-O Changement de jante </t>
  </si>
  <si>
    <t>P1</t>
  </si>
  <si>
    <t>Porte fusée NEW</t>
  </si>
  <si>
    <t>1261-01 + usi + tribo + microbil</t>
  </si>
  <si>
    <t>P2</t>
  </si>
  <si>
    <t>Pignon trans 2nd 16 dts inox</t>
  </si>
  <si>
    <t>1516 GUEDO</t>
  </si>
  <si>
    <t>P3</t>
  </si>
  <si>
    <t>Patte dérailleur</t>
  </si>
  <si>
    <t>1519-01</t>
  </si>
  <si>
    <t>P4</t>
  </si>
  <si>
    <t>Platine avant colonne direction (forme de "L")</t>
  </si>
  <si>
    <t>2123 +oas</t>
  </si>
  <si>
    <t>P5</t>
  </si>
  <si>
    <t>Push bar</t>
  </si>
  <si>
    <t>2145 +oas</t>
  </si>
  <si>
    <t>P6</t>
  </si>
  <si>
    <t>Platine pare-choc</t>
  </si>
  <si>
    <t>2161 + zing</t>
  </si>
  <si>
    <t>P7</t>
  </si>
  <si>
    <t>Porte bidon composites BBB</t>
  </si>
  <si>
    <t>Maillon</t>
  </si>
  <si>
    <t>P8</t>
  </si>
  <si>
    <t>pneu  MAXXIS HIGH ROLLER 24x2,5</t>
  </si>
  <si>
    <t>MAXXIS</t>
  </si>
  <si>
    <t>P9</t>
  </si>
  <si>
    <t>pneu  MAXXIS MAXXDADDY 24x1,85</t>
  </si>
  <si>
    <t>P10</t>
  </si>
  <si>
    <t>pneu  MAXXIS SNYPER 24x2,0</t>
  </si>
  <si>
    <t>P11</t>
  </si>
  <si>
    <t>pneu  MAXXIS SWANGTHING 24x2,5</t>
  </si>
  <si>
    <t>P12</t>
  </si>
  <si>
    <t>pneu SCHWALBE BLACK JACK 24x2,10</t>
  </si>
  <si>
    <t xml:space="preserve">SCHWALBE </t>
  </si>
  <si>
    <t>P13</t>
  </si>
  <si>
    <t>pneu SCHWALBE SPACE 24x2,35</t>
  </si>
  <si>
    <t>P14</t>
  </si>
  <si>
    <t>Pédalier SHIMANO FC-M430 ALIVIO (octalink)</t>
  </si>
  <si>
    <t>P15</t>
  </si>
  <si>
    <t>Pédalier SHIMANO FC-M521 OCTALINK</t>
  </si>
  <si>
    <t>P16</t>
  </si>
  <si>
    <t>Plateau 22 dts 4x64</t>
  </si>
  <si>
    <t>Shimano-2013</t>
  </si>
  <si>
    <t>R1</t>
  </si>
  <si>
    <t xml:space="preserve">roues complètes (DISC BULL standard) </t>
  </si>
  <si>
    <t>1413+jante+rayons+mo+transport+fdjante+oas</t>
  </si>
  <si>
    <t>R2</t>
  </si>
  <si>
    <t>Renfort adaptateur AR embase siege</t>
  </si>
  <si>
    <t>ABF Tech</t>
  </si>
  <si>
    <t>R3</t>
  </si>
  <si>
    <t>Renfort tube peripherique</t>
  </si>
  <si>
    <t>R4</t>
  </si>
  <si>
    <t>Rivet D4x15 AVD x100</t>
  </si>
  <si>
    <t>Avdel</t>
  </si>
  <si>
    <t>R5</t>
  </si>
  <si>
    <t>Rivet D5x18 AVD x100</t>
  </si>
  <si>
    <t>R6</t>
  </si>
  <si>
    <t>Rotule M8 DURBAL BEM++</t>
  </si>
  <si>
    <t>CIMAP-Durbal</t>
  </si>
  <si>
    <t>R7</t>
  </si>
  <si>
    <t>Rotule M8 import1 DURBAL</t>
  </si>
  <si>
    <t>R8</t>
  </si>
  <si>
    <t>Roulement 35x47x7 IBB direct</t>
  </si>
  <si>
    <t>réf ALL</t>
  </si>
  <si>
    <t>R9</t>
  </si>
  <si>
    <t>Roulement 35x47x7 Import2</t>
  </si>
  <si>
    <t>réf ASI</t>
  </si>
  <si>
    <t>R10</t>
  </si>
  <si>
    <t>Rotule M6 imort2</t>
  </si>
  <si>
    <t>réf ASIE</t>
  </si>
  <si>
    <t>R11</t>
  </si>
  <si>
    <t>Rotule M8 import2</t>
  </si>
  <si>
    <t>R12</t>
  </si>
  <si>
    <t>Rotule 90° M6</t>
  </si>
  <si>
    <t>réf CIR</t>
  </si>
  <si>
    <t>R13</t>
  </si>
  <si>
    <t>Rotule M6import 1 DURBAL</t>
  </si>
  <si>
    <t>R14</t>
  </si>
  <si>
    <t>Roulement 35x47x7 CRD</t>
  </si>
  <si>
    <t>Ref CRD69</t>
  </si>
  <si>
    <t>R15</t>
  </si>
  <si>
    <t>Roulement 35x47x7 EZO</t>
  </si>
  <si>
    <t>Ref EZO</t>
  </si>
  <si>
    <t>R16</t>
  </si>
  <si>
    <t>Rotule M8 FLURO</t>
  </si>
  <si>
    <t>réf FLURO</t>
  </si>
  <si>
    <t>R17</t>
  </si>
  <si>
    <t>Rotule M8 MBO</t>
  </si>
  <si>
    <t>réf MBO</t>
  </si>
  <si>
    <t>R18</t>
  </si>
  <si>
    <t>Roue libre shimano XT</t>
  </si>
  <si>
    <t>Réf-FH-M760--&gt;à vérifier le prix d'achat</t>
  </si>
  <si>
    <t>R19</t>
  </si>
  <si>
    <t>Réf-FH-M770 -ATTENTION AXE 15 MAUVAIS</t>
  </si>
  <si>
    <t>R20</t>
  </si>
  <si>
    <t>Roulement 55x72x9 IBU</t>
  </si>
  <si>
    <t>Rlt CIR</t>
  </si>
  <si>
    <t>R21</t>
  </si>
  <si>
    <t>Rayon SAPIM leader 2x228 K ou normal</t>
  </si>
  <si>
    <t>Sapim</t>
  </si>
  <si>
    <t>R22</t>
  </si>
  <si>
    <t>Rayon-Ecrou SAPIM leader 14G</t>
  </si>
  <si>
    <t>R23</t>
  </si>
  <si>
    <t>Roulement 35x47x7</t>
  </si>
  <si>
    <t>SKF</t>
  </si>
  <si>
    <t>S1</t>
  </si>
  <si>
    <t>support de pédalier (sans poulie et axe)</t>
  </si>
  <si>
    <t>1143+1119+1121+soudure1109+oas</t>
  </si>
  <si>
    <t>S2</t>
  </si>
  <si>
    <t>Support amortisseur AR haut</t>
  </si>
  <si>
    <t>1312-06</t>
  </si>
  <si>
    <t>S3</t>
  </si>
  <si>
    <t>Silentbloc D12 OLD</t>
  </si>
  <si>
    <t>S4</t>
  </si>
  <si>
    <t>Silentbloc D16 NEW1</t>
  </si>
  <si>
    <t>S5</t>
  </si>
  <si>
    <t>Silicone loctite</t>
  </si>
  <si>
    <t>Réf CIR AS310 100g</t>
  </si>
  <si>
    <t>T1</t>
  </si>
  <si>
    <t>Tube périphérique peint</t>
  </si>
  <si>
    <t>1108-04+2x1148 + 4x1150+4xA203FH+peint</t>
  </si>
  <si>
    <t>T2</t>
  </si>
  <si>
    <t>Triangle AV inférieur     </t>
  </si>
  <si>
    <t>1226+1245x2+peinture</t>
  </si>
  <si>
    <t>T3</t>
  </si>
  <si>
    <t>Triangle AV inférieur     NEW</t>
  </si>
  <si>
    <t>T4</t>
  </si>
  <si>
    <t xml:space="preserve">Triangle supérieur de suspension AV </t>
  </si>
  <si>
    <t>1227+oas</t>
  </si>
  <si>
    <t>T5</t>
  </si>
  <si>
    <t>Tendeur de chaîne NOVA</t>
  </si>
  <si>
    <t>1536+zingage</t>
  </si>
  <si>
    <t>T6</t>
  </si>
  <si>
    <t>Tube dorsal cote siège 2xM6</t>
  </si>
  <si>
    <t>1943+1962</t>
  </si>
  <si>
    <t>T7</t>
  </si>
  <si>
    <t>Tube renvoi direction horizontal</t>
  </si>
  <si>
    <t>2105 ASS--2132+2133+2152+soudure2105+OAS</t>
  </si>
  <si>
    <t>T8</t>
  </si>
  <si>
    <t>Tube réglage angulaire direction</t>
  </si>
  <si>
    <t>2115-07 TROMP</t>
  </si>
  <si>
    <t>T9</t>
  </si>
  <si>
    <t>Tube renvoi direction horiz New DELRIN</t>
  </si>
  <si>
    <t>2134-05      TROMP</t>
  </si>
  <si>
    <t>T10</t>
  </si>
  <si>
    <t>Tige de selle 27,2 BBB +  Usi</t>
  </si>
  <si>
    <t>BBB</t>
  </si>
  <si>
    <t>V1</t>
  </si>
  <si>
    <t>Vis sans tête M6x40</t>
  </si>
  <si>
    <t>V2</t>
  </si>
  <si>
    <t>Vis SHC Inox A2 M6x40</t>
  </si>
  <si>
    <t>V3</t>
  </si>
  <si>
    <t>Vis plateau shimano 22dts jeu de 4</t>
  </si>
  <si>
    <t xml:space="preserve">TOTAL HT DES PRODUITS CODE A </t>
  </si>
  <si>
    <t>MOTNANT TVA PRODUITS CODE A</t>
  </si>
  <si>
    <t>TOTAL TTC PRODUITS CODE A</t>
  </si>
  <si>
    <t>SYNTHSE PRODUITS A</t>
  </si>
  <si>
    <t>QUANTITES</t>
  </si>
  <si>
    <t>TOTAL TVA</t>
  </si>
  <si>
    <t>TOTAL TTC</t>
  </si>
  <si>
    <t>QUANITES</t>
  </si>
  <si>
    <t>Code</t>
  </si>
  <si>
    <t>Référence</t>
  </si>
  <si>
    <t>TOTAL remise</t>
  </si>
  <si>
    <t>Tx de Remise</t>
  </si>
  <si>
    <t>Acompte de 30% à la commande € TTC
Le solde au départ de la marchandise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</si>
</sst>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€&quot;\ #,##0.00;&quot;€&quot;\ \-#,##0.00"/>
    <numFmt numFmtId="165" formatCode="#,##0.00\ &quot;€&quot;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8"/>
      <name val="Century Gothic"/>
      <family val="2"/>
    </font>
    <font>
      <b/>
      <sz val="14"/>
      <color theme="1"/>
      <name val="Century Gothic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name val="Century Gothic"/>
      <family val="2"/>
    </font>
    <font>
      <sz val="14"/>
      <color theme="1"/>
      <name val="Calibri"/>
      <family val="2"/>
      <scheme val="minor"/>
    </font>
    <font>
      <sz val="14"/>
      <color theme="1"/>
      <name val="Century Gothic"/>
      <family val="2"/>
    </font>
    <font>
      <sz val="9"/>
      <color theme="1"/>
      <name val="Century Gothic"/>
      <family val="2"/>
    </font>
    <font>
      <b/>
      <sz val="18"/>
      <color theme="1"/>
      <name val="Calibri"/>
      <family val="2"/>
      <scheme val="minor"/>
    </font>
    <font>
      <b/>
      <sz val="14"/>
      <name val="Century Gothic"/>
      <family val="2"/>
    </font>
    <font>
      <b/>
      <sz val="14"/>
      <name val="Calibri"/>
      <family val="2"/>
      <scheme val="minor"/>
    </font>
    <font>
      <b/>
      <sz val="11"/>
      <name val="Century Gothic"/>
      <family val="2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Verdana"/>
      <family val="2"/>
    </font>
    <font>
      <b/>
      <sz val="11"/>
      <name val="Arial"/>
      <family val="2"/>
    </font>
    <font>
      <b/>
      <sz val="16"/>
      <name val="Arial"/>
      <family val="2"/>
    </font>
    <font>
      <sz val="10"/>
      <name val="Arial"/>
    </font>
    <font>
      <b/>
      <sz val="10"/>
      <name val="Arial"/>
    </font>
    <font>
      <b/>
      <sz val="11"/>
      <color theme="0"/>
      <name val="Century Gothic"/>
    </font>
    <font>
      <u/>
      <sz val="11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theme="7"/>
      </patternFill>
    </fill>
    <fill>
      <patternFill patternType="solid">
        <fgColor theme="1"/>
        <bgColor indexed="64"/>
      </patternFill>
    </fill>
    <fill>
      <patternFill patternType="solid">
        <fgColor theme="7"/>
        <bgColor theme="7"/>
      </patternFill>
    </fill>
  </fills>
  <borders count="37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theme="1"/>
      </top>
      <bottom style="medium">
        <color theme="1"/>
      </bottom>
      <diagonal/>
    </border>
    <border>
      <left style="medium">
        <color auto="1"/>
      </left>
      <right/>
      <top style="medium">
        <color auto="1"/>
      </top>
      <bottom style="medium">
        <color theme="1"/>
      </bottom>
      <diagonal/>
    </border>
    <border>
      <left style="medium">
        <color auto="1"/>
      </left>
      <right/>
      <top style="medium">
        <color theme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20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</cellStyleXfs>
  <cellXfs count="106">
    <xf numFmtId="0" fontId="0" fillId="0" borderId="0" xfId="0"/>
    <xf numFmtId="0" fontId="0" fillId="0" borderId="0" xfId="0" applyFill="1"/>
    <xf numFmtId="14" fontId="0" fillId="2" borderId="11" xfId="0" applyNumberFormat="1" applyFill="1" applyBorder="1" applyAlignment="1">
      <alignment horizontal="center" vertical="center"/>
    </xf>
    <xf numFmtId="9" fontId="0" fillId="2" borderId="11" xfId="2" applyFont="1" applyFill="1" applyBorder="1" applyAlignment="1">
      <alignment horizontal="center" vertical="center"/>
    </xf>
    <xf numFmtId="9" fontId="0" fillId="0" borderId="0" xfId="2" applyFont="1"/>
    <xf numFmtId="0" fontId="2" fillId="0" borderId="0" xfId="0" applyFont="1" applyFill="1" applyBorder="1" applyAlignment="1">
      <alignment vertical="center"/>
    </xf>
    <xf numFmtId="0" fontId="9" fillId="3" borderId="0" xfId="0" applyFont="1" applyFill="1" applyBorder="1"/>
    <xf numFmtId="0" fontId="9" fillId="3" borderId="0" xfId="0" applyFont="1" applyFill="1" applyBorder="1" applyAlignment="1">
      <alignment horizontal="center" vertical="center"/>
    </xf>
    <xf numFmtId="8" fontId="9" fillId="0" borderId="0" xfId="0" applyNumberFormat="1" applyFont="1" applyFill="1" applyBorder="1"/>
    <xf numFmtId="9" fontId="9" fillId="0" borderId="0" xfId="2" applyFont="1" applyFill="1" applyBorder="1"/>
    <xf numFmtId="43" fontId="9" fillId="2" borderId="17" xfId="3" applyFont="1" applyFill="1" applyBorder="1" applyAlignment="1">
      <alignment horizontal="center" vertical="center"/>
    </xf>
    <xf numFmtId="44" fontId="9" fillId="2" borderId="18" xfId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8" fontId="9" fillId="0" borderId="0" xfId="0" applyNumberFormat="1" applyFont="1" applyFill="1" applyBorder="1" applyAlignment="1">
      <alignment horizontal="center" vertical="center"/>
    </xf>
    <xf numFmtId="9" fontId="9" fillId="0" borderId="0" xfId="2" applyFont="1" applyFill="1" applyBorder="1" applyAlignment="1">
      <alignment horizontal="center" vertical="center"/>
    </xf>
    <xf numFmtId="43" fontId="9" fillId="2" borderId="13" xfId="3" applyFont="1" applyFill="1" applyBorder="1" applyAlignment="1">
      <alignment horizontal="center" vertical="center"/>
    </xf>
    <xf numFmtId="44" fontId="9" fillId="2" borderId="14" xfId="1" applyFont="1" applyFill="1" applyBorder="1" applyAlignment="1">
      <alignment horizontal="center" vertical="center"/>
    </xf>
    <xf numFmtId="43" fontId="9" fillId="2" borderId="15" xfId="3" applyFont="1" applyFill="1" applyBorder="1" applyAlignment="1">
      <alignment horizontal="center" vertical="center"/>
    </xf>
    <xf numFmtId="44" fontId="9" fillId="2" borderId="16" xfId="1" applyFont="1" applyFill="1" applyBorder="1" applyAlignment="1">
      <alignment horizontal="center" vertical="center"/>
    </xf>
    <xf numFmtId="43" fontId="9" fillId="2" borderId="3" xfId="3" applyFont="1" applyFill="1" applyBorder="1" applyAlignment="1">
      <alignment horizontal="center" vertical="center"/>
    </xf>
    <xf numFmtId="44" fontId="9" fillId="2" borderId="5" xfId="1" applyFont="1" applyFill="1" applyBorder="1" applyAlignment="1">
      <alignment horizontal="center" vertical="center"/>
    </xf>
    <xf numFmtId="43" fontId="9" fillId="2" borderId="1" xfId="3" applyFont="1" applyFill="1" applyBorder="1" applyAlignment="1">
      <alignment horizontal="center" vertical="center"/>
    </xf>
    <xf numFmtId="44" fontId="9" fillId="2" borderId="2" xfId="1" applyFont="1" applyFill="1" applyBorder="1" applyAlignment="1">
      <alignment horizontal="center" vertical="center"/>
    </xf>
    <xf numFmtId="8" fontId="9" fillId="3" borderId="0" xfId="0" applyNumberFormat="1" applyFont="1" applyFill="1" applyBorder="1" applyAlignment="1">
      <alignment horizontal="center" vertical="center"/>
    </xf>
    <xf numFmtId="44" fontId="9" fillId="3" borderId="0" xfId="1" applyNumberFormat="1" applyFont="1" applyFill="1" applyBorder="1" applyAlignment="1">
      <alignment horizontal="center" vertical="center"/>
    </xf>
    <xf numFmtId="8" fontId="9" fillId="2" borderId="10" xfId="0" applyNumberFormat="1" applyFont="1" applyFill="1" applyBorder="1" applyAlignment="1">
      <alignment horizontal="center" vertical="center"/>
    </xf>
    <xf numFmtId="44" fontId="9" fillId="2" borderId="10" xfId="1" applyFont="1" applyFill="1" applyBorder="1" applyAlignment="1">
      <alignment vertical="center"/>
    </xf>
    <xf numFmtId="0" fontId="11" fillId="0" borderId="0" xfId="0" applyFont="1" applyBorder="1" applyAlignment="1">
      <alignment vertical="center" wrapText="1"/>
    </xf>
    <xf numFmtId="0" fontId="0" fillId="0" borderId="0" xfId="0" applyBorder="1"/>
    <xf numFmtId="9" fontId="0" fillId="0" borderId="0" xfId="2" applyFont="1" applyBorder="1"/>
    <xf numFmtId="0" fontId="0" fillId="0" borderId="0" xfId="0" applyFill="1" applyBorder="1"/>
    <xf numFmtId="0" fontId="7" fillId="0" borderId="0" xfId="4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14" fontId="2" fillId="0" borderId="11" xfId="0" applyNumberFormat="1" applyFont="1" applyBorder="1"/>
    <xf numFmtId="0" fontId="5" fillId="0" borderId="0" xfId="0" applyFont="1" applyBorder="1" applyAlignment="1">
      <alignment horizontal="left"/>
    </xf>
    <xf numFmtId="0" fontId="9" fillId="0" borderId="0" xfId="0" applyFont="1" applyFill="1" applyBorder="1"/>
    <xf numFmtId="0" fontId="9" fillId="0" borderId="0" xfId="0" applyFont="1" applyBorder="1"/>
    <xf numFmtId="9" fontId="9" fillId="0" borderId="0" xfId="2" applyFont="1" applyBorder="1"/>
    <xf numFmtId="9" fontId="9" fillId="3" borderId="0" xfId="2" applyFont="1" applyFill="1" applyBorder="1"/>
    <xf numFmtId="0" fontId="2" fillId="0" borderId="24" xfId="0" applyNumberFormat="1" applyFont="1" applyBorder="1"/>
    <xf numFmtId="0" fontId="8" fillId="4" borderId="21" xfId="0" applyFont="1" applyFill="1" applyBorder="1" applyAlignment="1">
      <alignment horizontal="center" vertical="center"/>
    </xf>
    <xf numFmtId="0" fontId="15" fillId="4" borderId="10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 wrapText="1"/>
    </xf>
    <xf numFmtId="44" fontId="14" fillId="4" borderId="5" xfId="0" applyNumberFormat="1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17" fillId="0" borderId="0" xfId="0" applyFont="1" applyAlignment="1"/>
    <xf numFmtId="0" fontId="0" fillId="0" borderId="0" xfId="0" applyAlignment="1">
      <alignment wrapText="1"/>
    </xf>
    <xf numFmtId="0" fontId="18" fillId="0" borderId="0" xfId="0" applyFont="1" applyAlignment="1">
      <alignment wrapText="1"/>
    </xf>
    <xf numFmtId="0" fontId="18" fillId="0" borderId="0" xfId="0" applyFont="1" applyAlignment="1"/>
    <xf numFmtId="0" fontId="20" fillId="0" borderId="0" xfId="5"/>
    <xf numFmtId="0" fontId="21" fillId="5" borderId="10" xfId="5" applyFont="1" applyFill="1" applyBorder="1" applyAlignment="1">
      <alignment horizontal="center" vertical="center"/>
    </xf>
    <xf numFmtId="9" fontId="20" fillId="0" borderId="10" xfId="5" applyNumberFormat="1" applyBorder="1"/>
    <xf numFmtId="0" fontId="22" fillId="0" borderId="0" xfId="5" applyFont="1" applyFill="1" applyBorder="1" applyAlignment="1">
      <alignment horizontal="center" vertical="center"/>
    </xf>
    <xf numFmtId="0" fontId="22" fillId="6" borderId="0" xfId="5" applyFont="1" applyFill="1" applyBorder="1" applyAlignment="1">
      <alignment horizontal="center" vertical="center"/>
    </xf>
    <xf numFmtId="0" fontId="22" fillId="0" borderId="0" xfId="5" applyFont="1" applyAlignment="1">
      <alignment horizontal="center" vertical="center"/>
    </xf>
    <xf numFmtId="0" fontId="20" fillId="0" borderId="0" xfId="5" applyFont="1" applyFill="1" applyBorder="1"/>
    <xf numFmtId="0" fontId="20" fillId="0" borderId="0" xfId="5" applyFont="1" applyFill="1" applyBorder="1" applyAlignment="1">
      <alignment horizontal="left"/>
    </xf>
    <xf numFmtId="165" fontId="20" fillId="0" borderId="0" xfId="5" applyNumberFormat="1" applyFont="1" applyFill="1" applyBorder="1" applyAlignment="1">
      <alignment horizontal="center"/>
    </xf>
    <xf numFmtId="165" fontId="20" fillId="0" borderId="0" xfId="5" applyNumberFormat="1" applyFont="1" applyFill="1" applyAlignment="1">
      <alignment horizontal="center"/>
    </xf>
    <xf numFmtId="0" fontId="23" fillId="0" borderId="0" xfId="5" applyFont="1" applyFill="1" applyBorder="1"/>
    <xf numFmtId="0" fontId="21" fillId="6" borderId="0" xfId="5" applyFont="1" applyFill="1" applyBorder="1" applyAlignment="1">
      <alignment horizontal="center" vertical="center"/>
    </xf>
    <xf numFmtId="0" fontId="20" fillId="0" borderId="0" xfId="5" applyFont="1" applyFill="1" applyBorder="1" applyAlignment="1">
      <alignment horizontal="center"/>
    </xf>
    <xf numFmtId="2" fontId="20" fillId="0" borderId="0" xfId="5" applyNumberFormat="1" applyFont="1" applyFill="1" applyBorder="1" applyAlignment="1">
      <alignment horizontal="center"/>
    </xf>
    <xf numFmtId="0" fontId="22" fillId="0" borderId="27" xfId="5" applyFont="1" applyFill="1" applyBorder="1" applyAlignment="1">
      <alignment horizontal="center" vertical="center"/>
    </xf>
    <xf numFmtId="0" fontId="24" fillId="7" borderId="29" xfId="5" applyNumberFormat="1" applyFont="1" applyFill="1" applyBorder="1" applyAlignment="1">
      <alignment horizontal="center" vertical="center"/>
    </xf>
    <xf numFmtId="44" fontId="0" fillId="2" borderId="26" xfId="1" applyFont="1" applyFill="1" applyBorder="1"/>
    <xf numFmtId="0" fontId="24" fillId="7" borderId="28" xfId="5" applyNumberFormat="1" applyFont="1" applyFill="1" applyBorder="1" applyAlignment="1">
      <alignment horizontal="center" vertical="center"/>
    </xf>
    <xf numFmtId="0" fontId="24" fillId="7" borderId="30" xfId="5" applyNumberFormat="1" applyFont="1" applyFill="1" applyBorder="1" applyAlignment="1">
      <alignment horizontal="center" vertical="center"/>
    </xf>
    <xf numFmtId="44" fontId="0" fillId="2" borderId="2" xfId="1" applyFont="1" applyFill="1" applyBorder="1"/>
    <xf numFmtId="44" fontId="0" fillId="2" borderId="5" xfId="1" applyFont="1" applyFill="1" applyBorder="1"/>
    <xf numFmtId="165" fontId="26" fillId="0" borderId="0" xfId="5" applyNumberFormat="1" applyFont="1" applyFill="1" applyBorder="1" applyAlignment="1">
      <alignment horizontal="center"/>
    </xf>
    <xf numFmtId="165" fontId="26" fillId="0" borderId="0" xfId="5" applyNumberFormat="1" applyFont="1" applyFill="1" applyAlignment="1">
      <alignment horizontal="center"/>
    </xf>
    <xf numFmtId="0" fontId="27" fillId="0" borderId="27" xfId="5" applyFont="1" applyFill="1" applyBorder="1" applyAlignment="1">
      <alignment horizontal="center" vertical="center"/>
    </xf>
    <xf numFmtId="0" fontId="27" fillId="0" borderId="0" xfId="5" applyFont="1" applyFill="1" applyBorder="1" applyAlignment="1">
      <alignment horizontal="center" vertical="center"/>
    </xf>
    <xf numFmtId="0" fontId="27" fillId="0" borderId="32" xfId="5" applyFont="1" applyFill="1" applyBorder="1" applyAlignment="1">
      <alignment horizontal="center" vertical="center"/>
    </xf>
    <xf numFmtId="0" fontId="26" fillId="0" borderId="0" xfId="5" applyFont="1" applyFill="1"/>
    <xf numFmtId="0" fontId="13" fillId="4" borderId="33" xfId="0" applyFont="1" applyFill="1" applyBorder="1" applyAlignment="1">
      <alignment horizontal="center" vertical="center"/>
    </xf>
    <xf numFmtId="0" fontId="13" fillId="4" borderId="34" xfId="0" applyFont="1" applyFill="1" applyBorder="1" applyAlignment="1">
      <alignment horizontal="center" vertical="center"/>
    </xf>
    <xf numFmtId="0" fontId="13" fillId="4" borderId="34" xfId="0" applyFont="1" applyFill="1" applyBorder="1" applyAlignment="1">
      <alignment horizontal="center" vertical="center" wrapText="1"/>
    </xf>
    <xf numFmtId="0" fontId="13" fillId="4" borderId="35" xfId="0" applyFont="1" applyFill="1" applyBorder="1" applyAlignment="1">
      <alignment horizontal="center" vertical="center"/>
    </xf>
    <xf numFmtId="0" fontId="28" fillId="4" borderId="31" xfId="0" applyFont="1" applyFill="1" applyBorder="1" applyAlignment="1">
      <alignment horizontal="center" vertical="center"/>
    </xf>
    <xf numFmtId="0" fontId="9" fillId="0" borderId="25" xfId="0" applyFont="1" applyBorder="1" applyAlignment="1">
      <alignment vertical="center"/>
    </xf>
    <xf numFmtId="164" fontId="9" fillId="0" borderId="25" xfId="0" applyNumberFormat="1" applyFont="1" applyBorder="1" applyAlignment="1">
      <alignment vertical="center"/>
    </xf>
    <xf numFmtId="0" fontId="19" fillId="0" borderId="0" xfId="0" applyFont="1" applyAlignment="1"/>
    <xf numFmtId="0" fontId="9" fillId="0" borderId="36" xfId="0" applyFont="1" applyBorder="1" applyAlignment="1">
      <alignment vertical="center"/>
    </xf>
    <xf numFmtId="0" fontId="16" fillId="0" borderId="0" xfId="0" applyFont="1" applyBorder="1" applyAlignment="1">
      <alignment horizontal="left" wrapText="1"/>
    </xf>
    <xf numFmtId="0" fontId="16" fillId="0" borderId="0" xfId="0" applyFont="1" applyBorder="1" applyAlignment="1">
      <alignment horizontal="left"/>
    </xf>
    <xf numFmtId="0" fontId="2" fillId="0" borderId="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14" fillId="4" borderId="3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25" fillId="2" borderId="3" xfId="5" applyFont="1" applyFill="1" applyBorder="1" applyAlignment="1">
      <alignment horizontal="center" vertical="center"/>
    </xf>
    <xf numFmtId="0" fontId="25" fillId="2" borderId="5" xfId="5" applyFont="1" applyFill="1" applyBorder="1" applyAlignment="1">
      <alignment horizontal="center" vertical="center"/>
    </xf>
    <xf numFmtId="9" fontId="9" fillId="2" borderId="25" xfId="2" applyFont="1" applyFill="1" applyBorder="1" applyAlignment="1">
      <alignment horizontal="right" vertical="center"/>
    </xf>
    <xf numFmtId="44" fontId="9" fillId="2" borderId="25" xfId="1" applyFont="1" applyFill="1" applyBorder="1" applyAlignment="1">
      <alignment horizontal="right" vertical="center"/>
    </xf>
  </cellXfs>
  <cellStyles count="43">
    <cellStyle name="Lien hypertexte" xfId="4" builtinId="8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Milliers" xfId="3" builtinId="3"/>
    <cellStyle name="Monétaire" xfId="1" builtinId="4"/>
    <cellStyle name="Normal" xfId="0" builtinId="0"/>
    <cellStyle name="Normal 2" xfId="5"/>
    <cellStyle name="Pourcentage" xfId="2" builtinId="5"/>
  </cellStyles>
  <dxfs count="18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4"/>
        <color rgb="FF000000"/>
        <name val="Calibri"/>
        <scheme val="none"/>
      </font>
      <alignment horizontal="right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</dxfs>
  <tableStyles count="0" defaultTableStyle="TableStyleMedium2" defaultPivotStyle="PivotStyleLight16"/>
  <colors>
    <mruColors>
      <color rgb="FF1E7A6D"/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haredStrings" Target="sharedStrings.xml"/><Relationship Id="rId21" Type="http://schemas.openxmlformats.org/officeDocument/2006/relationships/calcChain" Target="calcChain.xml"/><Relationship Id="rId22" Type="http://schemas.microsoft.com/office/2006/relationships/vbaProject" Target="vbaProject.bin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theme" Target="theme/theme1.xml"/><Relationship Id="rId19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</xdr:row>
      <xdr:rowOff>0</xdr:rowOff>
    </xdr:from>
    <xdr:to>
      <xdr:col>11</xdr:col>
      <xdr:colOff>737160</xdr:colOff>
      <xdr:row>5</xdr:row>
      <xdr:rowOff>513790</xdr:rowOff>
    </xdr:to>
    <xdr:sp macro="[0]!Panier" textlink="">
      <xdr:nvSpPr>
        <xdr:cNvPr id="2" name="Rectangle à coins arrondis 1"/>
        <xdr:cNvSpPr/>
      </xdr:nvSpPr>
      <xdr:spPr>
        <a:xfrm>
          <a:off x="15494000" y="672353"/>
          <a:ext cx="1558925" cy="708025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1146845" displayName="Tableau1146845" ref="A17:I18" totalsRowShown="0" headerRowDxfId="188" dataDxfId="186" headerRowBorderDxfId="187" tableBorderDxfId="185">
  <autoFilter ref="A17:I18"/>
  <tableColumns count="9">
    <tableColumn id="10" name="Code" dataDxfId="184"/>
    <tableColumn id="1" name="Désignation" dataDxfId="183"/>
    <tableColumn id="8" name="Référence" dataDxfId="182"/>
    <tableColumn id="2" name="Qté" dataDxfId="181"/>
    <tableColumn id="3" name="PU HT" dataDxfId="180"/>
    <tableColumn id="4" name="Tx de Remise" dataDxfId="179" dataCellStyle="Pourcentage"/>
    <tableColumn id="6" name="PU HT NET" dataDxfId="178" dataCellStyle="Monétaire">
      <calculatedColumnFormula>IF(Tableau1146845[Qté]="","",Tableau1146845[PU HT]-(Tableau1146845[PU HT]*Tableau1146845[Tx de Remise]))</calculatedColumnFormula>
    </tableColumn>
    <tableColumn id="5" name="Montant HT" dataDxfId="177" dataCellStyle="Monétaire">
      <calculatedColumnFormula>IF(Tableau1146845[Qté]="","",Tableau1146845[PU HT NET]*Tableau1146845[Qté])</calculatedColumnFormula>
    </tableColumn>
    <tableColumn id="7" name="TOTAL remise" dataDxfId="176" dataCellStyle="Monétaire">
      <calculatedColumnFormula>IF(Tableau1146845[Qté]="","",Tableau1146845[[#This Row],[Tx de Remise]]*Tableau1146845[[#This Row],[PU HT]]*Tableau1146845[[#This Row],[Qté]])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au13" displayName="Tableau13" ref="A8:J30" totalsRowShown="0" headerRowDxfId="175">
  <autoFilter ref="A8:J30"/>
  <tableColumns count="10">
    <tableColumn id="1" name="Init" dataDxfId="174"/>
    <tableColumn id="2" name="DESIGNATION" dataDxfId="173"/>
    <tableColumn id="3" name="REFERENCES CONCERNEES" dataDxfId="172"/>
    <tableColumn id="11" name="QUANTITES" dataDxfId="171" dataCellStyle="Normal 2"/>
    <tableColumn id="4" name="PRIX VENTE HT" dataDxfId="170"/>
    <tableColumn id="5" name="MONTANT TVA" dataDxfId="169">
      <calculatedColumnFormula>E9*$G$7</calculatedColumnFormula>
    </tableColumn>
    <tableColumn id="6" name="PRIX DE VENTE TTC" dataDxfId="168">
      <calculatedColumnFormula>E9+F9</calculatedColumnFormula>
    </tableColumn>
    <tableColumn id="7" name="TOTAL HT" dataDxfId="167">
      <calculatedColumnFormula>IF(Tableau13[[#This Row],[QUANTITES]]="","",Tableau13[[#This Row],[QUANTITES]]*Tableau13[[#This Row],[PRIX VENTE HT]])</calculatedColumnFormula>
    </tableColumn>
    <tableColumn id="8" name="TOTAL TVA" dataDxfId="166">
      <calculatedColumnFormula>IF(Tableau13[[#This Row],[QUANTITES]]="","",Tableau13[[#This Row],[QUANTITES]]*Tableau13[[#This Row],[MONTANT TVA]])</calculatedColumnFormula>
    </tableColumn>
    <tableColumn id="9" name="TOTAL TTC" dataDxfId="165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3.xml><?xml version="1.0" encoding="utf-8"?>
<table xmlns="http://schemas.openxmlformats.org/spreadsheetml/2006/main" id="2" name="Tableau134" displayName="Tableau134" ref="A8:J15" totalsRowShown="0" headerRowDxfId="164">
  <autoFilter ref="A8:J15"/>
  <sortState ref="A6:F6">
    <sortCondition ref="A5:A12"/>
  </sortState>
  <tableColumns count="10">
    <tableColumn id="1" name="Init" dataDxfId="163"/>
    <tableColumn id="2" name="DESIGNATION" dataDxfId="162"/>
    <tableColumn id="3" name="REFERENCES CONCERNEES" dataDxfId="161"/>
    <tableColumn id="7" name="QUANTITES" dataDxfId="160" dataCellStyle="Normal 2"/>
    <tableColumn id="4" name="PRIX VENTE HT" dataDxfId="159"/>
    <tableColumn id="5" name="MONTANT TVA" dataDxfId="158">
      <calculatedColumnFormula>E9*$G$7</calculatedColumnFormula>
    </tableColumn>
    <tableColumn id="6" name="PRIX DE VENTE TTC" dataDxfId="157">
      <calculatedColumnFormula>E9+F9</calculatedColumnFormula>
    </tableColumn>
    <tableColumn id="8" name="TOTAL HT" dataDxfId="156">
      <calculatedColumnFormula>IF(Tableau134[[#This Row],[QUANTITES]]="","",Tableau134[[#This Row],[QUANTITES]]*Tableau134[[#This Row],[PRIX VENTE HT]])</calculatedColumnFormula>
    </tableColumn>
    <tableColumn id="9" name="TOTAL TVA" dataDxfId="155">
      <calculatedColumnFormula>IF(Tableau134[[#This Row],[QUANTITES]]="","",Tableau134[[#This Row],[QUANTITES]]*Tableau134[[#This Row],[MONTANT TVA]])</calculatedColumnFormula>
    </tableColumn>
    <tableColumn id="10" name="TOTAL TTC" dataDxfId="154">
      <calculatedColumnFormula>IF(Tableau134[[#This Row],[QUANTITES]]="","",Tableau134[[#This Row],[QUANTITES]]*Tableau134[[#This Row],[PRIX DE VENTE TTC]])</calculatedColumnFormula>
    </tableColumn>
  </tableColumns>
  <tableStyleInfo name="TableStyleMedium19" showFirstColumn="0" showLastColumn="0" showRowStripes="1" showColumnStripes="0"/>
</table>
</file>

<file path=xl/tables/table4.xml><?xml version="1.0" encoding="utf-8"?>
<table xmlns="http://schemas.openxmlformats.org/spreadsheetml/2006/main" id="5" name="Tableau1345" displayName="Tableau1345" ref="A8:J27" totalsRowShown="0" headerRowDxfId="153">
  <autoFilter ref="A8:J27"/>
  <tableColumns count="10">
    <tableColumn id="1" name="Init" dataDxfId="152"/>
    <tableColumn id="2" name="DESIGNATION" dataDxfId="151"/>
    <tableColumn id="3" name="REFERENCES CONCERNEES" dataDxfId="150"/>
    <tableColumn id="7" name="QUANTITES" dataDxfId="149" dataCellStyle="Normal 2"/>
    <tableColumn id="4" name="PRIX VENTE HT" dataDxfId="148"/>
    <tableColumn id="5" name="MONTANT TVA" dataDxfId="147">
      <calculatedColumnFormula>E9*$G$7</calculatedColumnFormula>
    </tableColumn>
    <tableColumn id="6" name="PRIX DE VENTE TTC" dataDxfId="146">
      <calculatedColumnFormula>E9+F9</calculatedColumnFormula>
    </tableColumn>
    <tableColumn id="8" name="TOTAL HT" dataDxfId="145">
      <calculatedColumnFormula>IF(Tableau1345[[#This Row],[QUANTITES]]="","",Tableau1345[[#This Row],[QUANTITES]]*Tableau1345[[#This Row],[PRIX VENTE HT]])</calculatedColumnFormula>
    </tableColumn>
    <tableColumn id="9" name="TOTAL TVA" dataDxfId="144">
      <calculatedColumnFormula>IF(Tableau1345[[#This Row],[QUANTITES]]="","",Tableau1345[[#This Row],[QUANTITES]]*Tableau1345[[#This Row],[MONTANT TVA]])</calculatedColumnFormula>
    </tableColumn>
    <tableColumn id="10" name="TOTAL TTC" dataDxfId="143">
      <calculatedColumnFormula>IF(Tableau1345[[#This Row],[QUANTITES]]="","",Tableau1345[[#This Row],[QUANTITES]]*Tableau1345[[#This Row],[PRIX DE VENTE TTC]])</calculatedColumnFormula>
    </tableColumn>
  </tableColumns>
  <tableStyleInfo name="TableStyleMedium19" showFirstColumn="0" showLastColumn="0" showRowStripes="1" showColumnStripes="0"/>
</table>
</file>

<file path=xl/tables/table5.xml><?xml version="1.0" encoding="utf-8"?>
<table xmlns="http://schemas.openxmlformats.org/spreadsheetml/2006/main" id="6" name="Tableau13456" displayName="Tableau13456" ref="A8:J17" totalsRowShown="0" headerRowDxfId="142">
  <autoFilter ref="A8:J17"/>
  <tableColumns count="10">
    <tableColumn id="1" name="Init" dataDxfId="141"/>
    <tableColumn id="2" name="DESIGNATION" dataDxfId="140"/>
    <tableColumn id="3" name="REFERENCES CONCERNEES" dataDxfId="139"/>
    <tableColumn id="7" name="QUANTITES" dataDxfId="138" dataCellStyle="Normal 2"/>
    <tableColumn id="4" name="PRIX VENTE HT" dataDxfId="137"/>
    <tableColumn id="5" name="MONTANT TVA" dataDxfId="136">
      <calculatedColumnFormula>E9*$G$7</calculatedColumnFormula>
    </tableColumn>
    <tableColumn id="6" name="PRIX DE VENTE TTC" dataDxfId="135">
      <calculatedColumnFormula>E9+F9</calculatedColumnFormula>
    </tableColumn>
    <tableColumn id="8" name="TOTAL HT" dataDxfId="134">
      <calculatedColumnFormula>IF(Tableau13456[[#This Row],[QUANTITES]]="","",Tableau13456[[#This Row],[QUANTITES]]*Tableau13456[[#This Row],[PRIX VENTE HT]])</calculatedColumnFormula>
    </tableColumn>
    <tableColumn id="9" name="TOTAL TVA" dataDxfId="133">
      <calculatedColumnFormula>IF(Tableau13456[[#This Row],[QUANTITES]]="","",Tableau13456[[#This Row],[QUANTITES]]*Tableau13456[[#This Row],[MONTANT TVA]])</calculatedColumnFormula>
    </tableColumn>
    <tableColumn id="10" name="TOTAL TTC" dataDxfId="132">
      <calculatedColumnFormula>IF(Tableau13456[[#This Row],[QUANTITES]]="","",Tableau13456[[#This Row],[QUANTITES]]*Tableau13456[[#This Row],[PRIX DE VENTE TTC]])</calculatedColumnFormula>
    </tableColumn>
  </tableColumns>
  <tableStyleInfo name="TableStyleMedium19" showFirstColumn="0" showLastColumn="0" showRowStripes="1" showColumnStripes="0"/>
</table>
</file>

<file path=xl/tables/table6.xml><?xml version="1.0" encoding="utf-8"?>
<table xmlns="http://schemas.openxmlformats.org/spreadsheetml/2006/main" id="9" name="Tableau134567" displayName="Tableau134567" ref="A8:J14" totalsRowShown="0" headerRowDxfId="131">
  <autoFilter ref="A8:J14"/>
  <tableColumns count="10">
    <tableColumn id="1" name="Init" dataDxfId="130"/>
    <tableColumn id="2" name="DESIGNATION" dataDxfId="129"/>
    <tableColumn id="3" name="REFERENCES CONCERNEES" dataDxfId="128"/>
    <tableColumn id="7" name="QUANTITES" dataDxfId="127" dataCellStyle="Normal 2"/>
    <tableColumn id="4" name="PRIX VENTE HT" dataDxfId="126"/>
    <tableColumn id="5" name="MONTANT TVA" dataDxfId="125">
      <calculatedColumnFormula>E9*$G$7</calculatedColumnFormula>
    </tableColumn>
    <tableColumn id="6" name="PRIX DE VENTE TTC" dataDxfId="124">
      <calculatedColumnFormula>E9+F9</calculatedColumnFormula>
    </tableColumn>
    <tableColumn id="8" name="TOTAL HT" dataDxfId="123">
      <calculatedColumnFormula>IF(Tableau134567[[#This Row],[QUANTITES]]="","",Tableau134567[[#This Row],[QUANTITES]]*Tableau134567[[#This Row],[PRIX VENTE HT]])</calculatedColumnFormula>
    </tableColumn>
    <tableColumn id="9" name="TOTAL TVA" dataDxfId="122">
      <calculatedColumnFormula>IF(Tableau13[[#This Row],[QUANTITES]]="","",Tableau13[[#This Row],[QUANTITES]]*Tableau13[[#This Row],[MONTANT TVA]])</calculatedColumnFormula>
    </tableColumn>
    <tableColumn id="10" name="TOTAL TTC" dataDxfId="121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7.xml><?xml version="1.0" encoding="utf-8"?>
<table xmlns="http://schemas.openxmlformats.org/spreadsheetml/2006/main" id="10" name="Tableau1345678" displayName="Tableau1345678" ref="A8:J10" totalsRowShown="0" headerRowDxfId="120">
  <autoFilter ref="A8:J10"/>
  <tableColumns count="10">
    <tableColumn id="1" name="Init" dataDxfId="119"/>
    <tableColumn id="2" name="DESIGNATION" dataDxfId="118"/>
    <tableColumn id="3" name="REFERENCES CONCERNEES" dataDxfId="117"/>
    <tableColumn id="10" name="QUANTITES" dataDxfId="116" dataCellStyle="Normal 2"/>
    <tableColumn id="4" name="PRIX VENTE HT" dataDxfId="115"/>
    <tableColumn id="5" name="MONTANT TVA" dataDxfId="114">
      <calculatedColumnFormula>E9*$G$7</calculatedColumnFormula>
    </tableColumn>
    <tableColumn id="6" name="PRIX DE VENTE TTC" dataDxfId="113">
      <calculatedColumnFormula>E9+F9</calculatedColumnFormula>
    </tableColumn>
    <tableColumn id="7" name="TOTAL HT" dataDxfId="112">
      <calculatedColumnFormula>IF(Tableau13[[#This Row],[QUANTITES]]="","",Tableau13[[#This Row],[QUANTITES]]*Tableau13[[#This Row],[PRIX VENTE HT]])</calculatedColumnFormula>
    </tableColumn>
    <tableColumn id="8" name="TOTAL TVA" dataDxfId="111">
      <calculatedColumnFormula>IF(Tableau13[[#This Row],[QUANTITES]]="","",Tableau13[[#This Row],[QUANTITES]]*Tableau13[[#This Row],[MONTANT TVA]])</calculatedColumnFormula>
    </tableColumn>
    <tableColumn id="9" name="TOTAL TTC" dataDxfId="110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8.xml><?xml version="1.0" encoding="utf-8"?>
<table xmlns="http://schemas.openxmlformats.org/spreadsheetml/2006/main" id="11" name="Tableau13456789" displayName="Tableau13456789" ref="A8:J13" totalsRowShown="0" headerRowDxfId="109">
  <autoFilter ref="A8:J13"/>
  <tableColumns count="10">
    <tableColumn id="1" name="Init" dataDxfId="108"/>
    <tableColumn id="2" name="DESIGNATION" dataDxfId="107"/>
    <tableColumn id="3" name="REFERENCES CONCERNEES" dataDxfId="106"/>
    <tableColumn id="10" name="QUANITES" dataDxfId="105" dataCellStyle="Normal 2"/>
    <tableColumn id="4" name="PRIX VENTE HT" dataDxfId="104"/>
    <tableColumn id="5" name="MONTANT TVA" dataDxfId="103">
      <calculatedColumnFormula>E9*$G$7</calculatedColumnFormula>
    </tableColumn>
    <tableColumn id="6" name="PRIX DE VENTE TTC" dataDxfId="102">
      <calculatedColumnFormula>E9+F9</calculatedColumnFormula>
    </tableColumn>
    <tableColumn id="7" name="TOTAL HT" dataDxfId="101">
      <calculatedColumnFormula>IF(Tableau13[[#This Row],[QUANTITES]]="","",Tableau13[[#This Row],[QUANTITES]]*Tableau13[[#This Row],[PRIX VENTE HT]])</calculatedColumnFormula>
    </tableColumn>
    <tableColumn id="8" name="TOTAL TVA" dataDxfId="100">
      <calculatedColumnFormula>IF(Tableau13[[#This Row],[QUANTITES]]="","",Tableau13[[#This Row],[QUANTITES]]*Tableau13[[#This Row],[MONTANT TVA]])</calculatedColumnFormula>
    </tableColumn>
    <tableColumn id="9" name="TOTAL TTC" dataDxfId="99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9.xml><?xml version="1.0" encoding="utf-8"?>
<table xmlns="http://schemas.openxmlformats.org/spreadsheetml/2006/main" id="12" name="Tableau1345678910" displayName="Tableau1345678910" ref="A8:J32" totalsRowShown="0" headerRowDxfId="98">
  <autoFilter ref="A8:J32"/>
  <tableColumns count="10">
    <tableColumn id="1" name="Init" dataDxfId="97"/>
    <tableColumn id="2" name="DESIGNATION" dataDxfId="96"/>
    <tableColumn id="3" name="REFERENCES CONCERNEES" dataDxfId="95"/>
    <tableColumn id="10" name="QUANTITES" dataDxfId="94" dataCellStyle="Normal 2"/>
    <tableColumn id="4" name="PRIX VENTE HT" dataDxfId="93"/>
    <tableColumn id="5" name="MONTANT TVA" dataDxfId="92">
      <calculatedColumnFormula>E9*$G$7</calculatedColumnFormula>
    </tableColumn>
    <tableColumn id="6" name="PRIX DE VENTE TTC" dataDxfId="91">
      <calculatedColumnFormula>E9+F9</calculatedColumnFormula>
    </tableColumn>
    <tableColumn id="7" name="TOTAL HT" dataDxfId="90">
      <calculatedColumnFormula>IF(Tableau13[[#This Row],[QUANTITES]]="","",Tableau13[[#This Row],[QUANTITES]]*Tableau13[[#This Row],[PRIX VENTE HT]])</calculatedColumnFormula>
    </tableColumn>
    <tableColumn id="8" name="TOTAL TVA" dataDxfId="89">
      <calculatedColumnFormula>IF(Tableau13[[#This Row],[QUANTITES]]="","",Tableau13[[#This Row],[QUANTITES]]*Tableau13[[#This Row],[MONTANT TVA]])</calculatedColumnFormula>
    </tableColumn>
    <tableColumn id="9" name="TOTAL TTC" dataDxfId="88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10.xml><?xml version="1.0" encoding="utf-8"?>
<table xmlns="http://schemas.openxmlformats.org/spreadsheetml/2006/main" id="13" name="Tableau134567891011" displayName="Tableau134567891011" ref="A8:J9" totalsRowShown="0" headerRowDxfId="87">
  <autoFilter ref="A8:J9"/>
  <tableColumns count="10">
    <tableColumn id="1" name="Init" dataDxfId="86"/>
    <tableColumn id="2" name="DESIGNATION" dataDxfId="85"/>
    <tableColumn id="3" name="REFERENCES CONCERNEES" dataDxfId="84"/>
    <tableColumn id="10" name="QUANTITES" dataDxfId="83" dataCellStyle="Normal 2"/>
    <tableColumn id="4" name="PRIX VENTE HT" dataDxfId="82"/>
    <tableColumn id="5" name="MONTANT TVA" dataDxfId="81">
      <calculatedColumnFormula>E9*$G$7</calculatedColumnFormula>
    </tableColumn>
    <tableColumn id="6" name="PRIX DE VENTE TTC" dataDxfId="80">
      <calculatedColumnFormula>E9+F9</calculatedColumnFormula>
    </tableColumn>
    <tableColumn id="7" name="TOTAL HT" dataDxfId="79"/>
    <tableColumn id="8" name="TOTAL TVA" dataDxfId="78"/>
    <tableColumn id="9" name="TOTAL TTC" dataDxfId="77"/>
  </tableColumns>
  <tableStyleInfo name="TableStyleMedium19" showFirstColumn="0" showLastColumn="0" showRowStripes="1" showColumnStripes="0"/>
</table>
</file>

<file path=xl/tables/table11.xml><?xml version="1.0" encoding="utf-8"?>
<table xmlns="http://schemas.openxmlformats.org/spreadsheetml/2006/main" id="14" name="Tableau13456789101112" displayName="Tableau13456789101112" ref="A8:J9" totalsRowShown="0" headerRowDxfId="76">
  <autoFilter ref="A8:J9"/>
  <tableColumns count="10">
    <tableColumn id="1" name="Init" dataDxfId="75"/>
    <tableColumn id="2" name="DESIGNATION" dataDxfId="74"/>
    <tableColumn id="3" name="REFERENCES CONCERNEES" dataDxfId="73"/>
    <tableColumn id="10" name="QUANTITES" dataDxfId="72" dataCellStyle="Normal 2"/>
    <tableColumn id="4" name="PRIX VENTE HT" dataDxfId="71"/>
    <tableColumn id="5" name="MONTANT TVA" dataDxfId="70">
      <calculatedColumnFormula>E9*$G$7</calculatedColumnFormula>
    </tableColumn>
    <tableColumn id="6" name="PRIX DE VENTE TTC" dataDxfId="69">
      <calculatedColumnFormula>E9+F9</calculatedColumnFormula>
    </tableColumn>
    <tableColumn id="7" name="TOTAL HT" dataDxfId="68"/>
    <tableColumn id="8" name="TOTAL TVA" dataDxfId="67"/>
    <tableColumn id="9" name="TOTAL TTC" dataDxfId="66"/>
  </tableColumns>
  <tableStyleInfo name="TableStyleMedium19" showFirstColumn="0" showLastColumn="0" showRowStripes="1" showColumnStripes="0"/>
</table>
</file>

<file path=xl/tables/table12.xml><?xml version="1.0" encoding="utf-8"?>
<table xmlns="http://schemas.openxmlformats.org/spreadsheetml/2006/main" id="15" name="Tableau1345678910111213" displayName="Tableau1345678910111213" ref="A8:J10" totalsRowShown="0" headerRowDxfId="65">
  <autoFilter ref="A8:J10"/>
  <tableColumns count="10">
    <tableColumn id="1" name="Init" dataDxfId="64"/>
    <tableColumn id="2" name="DESIGNATION" dataDxfId="63"/>
    <tableColumn id="3" name="REFERENCES CONCERNEES" dataDxfId="62"/>
    <tableColumn id="10" name="QUANTITES" dataDxfId="61" dataCellStyle="Normal 2"/>
    <tableColumn id="4" name="PRIX VENTE HT" dataDxfId="60"/>
    <tableColumn id="5" name="MONTANT TVA" dataDxfId="59">
      <calculatedColumnFormula>E9*$G$7</calculatedColumnFormula>
    </tableColumn>
    <tableColumn id="6" name="PRIX DE VENTE TTC" dataDxfId="58">
      <calculatedColumnFormula>E9+F9</calculatedColumnFormula>
    </tableColumn>
    <tableColumn id="7" name="TOTAL HT" dataDxfId="57">
      <calculatedColumnFormula>IF(Tableau13[[#This Row],[QUANTITES]]="","",Tableau13[[#This Row],[QUANTITES]]*Tableau13[[#This Row],[PRIX VENTE HT]])</calculatedColumnFormula>
    </tableColumn>
    <tableColumn id="8" name="TOTAL TVA" dataDxfId="56">
      <calculatedColumnFormula>IF(Tableau13[[#This Row],[QUANTITES]]="","",Tableau13[[#This Row],[QUANTITES]]*Tableau13[[#This Row],[MONTANT TVA]])</calculatedColumnFormula>
    </tableColumn>
    <tableColumn id="9" name="TOTAL TTC" dataDxfId="55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13.xml><?xml version="1.0" encoding="utf-8"?>
<table xmlns="http://schemas.openxmlformats.org/spreadsheetml/2006/main" id="16" name="Tableau134567891011121314" displayName="Tableau134567891011121314" ref="A8:J24" totalsRowShown="0" headerRowDxfId="54">
  <autoFilter ref="A8:J24"/>
  <tableColumns count="10">
    <tableColumn id="1" name="Init" dataDxfId="53"/>
    <tableColumn id="2" name="DESIGNATION" dataDxfId="52"/>
    <tableColumn id="3" name="REFERENCES CONCERNEES" dataDxfId="51"/>
    <tableColumn id="10" name="QUANTITES" dataDxfId="50" dataCellStyle="Normal 2"/>
    <tableColumn id="4" name="PRIX VENTE HT" dataDxfId="49"/>
    <tableColumn id="5" name="MONTANT TVA" dataDxfId="48">
      <calculatedColumnFormula>E9*$G$7</calculatedColumnFormula>
    </tableColumn>
    <tableColumn id="6" name="PRIX DE VENTE TTC" dataDxfId="47">
      <calculatedColumnFormula>E9+F9</calculatedColumnFormula>
    </tableColumn>
    <tableColumn id="7" name="TOTAL HT" dataDxfId="46">
      <calculatedColumnFormula>IF(Tableau13[[#This Row],[QUANTITES]]="","",Tableau13[[#This Row],[QUANTITES]]*Tableau13[[#This Row],[PRIX VENTE HT]])</calculatedColumnFormula>
    </tableColumn>
    <tableColumn id="8" name="TOTAL TVA" dataDxfId="45">
      <calculatedColumnFormula>IF(Tableau13[[#This Row],[QUANTITES]]="","",Tableau13[[#This Row],[QUANTITES]]*Tableau13[[#This Row],[MONTANT TVA]])</calculatedColumnFormula>
    </tableColumn>
    <tableColumn id="9" name="TOTAL TTC" dataDxfId="44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14.xml><?xml version="1.0" encoding="utf-8"?>
<table xmlns="http://schemas.openxmlformats.org/spreadsheetml/2006/main" id="17" name="Tableau13456789101112131415" displayName="Tableau13456789101112131415" ref="A8:J31" totalsRowShown="0" headerRowDxfId="43">
  <autoFilter ref="A8:J31"/>
  <tableColumns count="10">
    <tableColumn id="1" name="Init" dataDxfId="42"/>
    <tableColumn id="2" name="DESIGNATION" dataDxfId="41"/>
    <tableColumn id="3" name="REFERENCES CONCERNEES" dataDxfId="40"/>
    <tableColumn id="10" name="QUANTITES" dataDxfId="39" dataCellStyle="Normal 2"/>
    <tableColumn id="4" name="PRIX VENTE HT" dataDxfId="38"/>
    <tableColumn id="5" name="MONTANT TVA" dataDxfId="37">
      <calculatedColumnFormula>E9*$G$7</calculatedColumnFormula>
    </tableColumn>
    <tableColumn id="6" name="PRIX DE VENTE TTC" dataDxfId="36">
      <calculatedColumnFormula>E9+F9</calculatedColumnFormula>
    </tableColumn>
    <tableColumn id="7" name="TOTAL HT" dataDxfId="35">
      <calculatedColumnFormula>IF(Tableau13[[#This Row],[QUANTITES]]="","",Tableau13[[#This Row],[QUANTITES]]*Tableau13[[#This Row],[PRIX VENTE HT]])</calculatedColumnFormula>
    </tableColumn>
    <tableColumn id="8" name="TOTAL TVA" dataDxfId="34">
      <calculatedColumnFormula>IF(Tableau13[[#This Row],[QUANTITES]]="","",Tableau13[[#This Row],[QUANTITES]]*Tableau13[[#This Row],[MONTANT TVA]])</calculatedColumnFormula>
    </tableColumn>
    <tableColumn id="9" name="TOTAL TTC" dataDxfId="33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15.xml><?xml version="1.0" encoding="utf-8"?>
<table xmlns="http://schemas.openxmlformats.org/spreadsheetml/2006/main" id="18" name="Tableau1345678910111213141516" displayName="Tableau1345678910111213141516" ref="A8:J13" totalsRowShown="0" headerRowDxfId="32">
  <autoFilter ref="A8:J13"/>
  <tableColumns count="10">
    <tableColumn id="1" name="Init" dataDxfId="31"/>
    <tableColumn id="2" name="DESIGNATION" dataDxfId="30"/>
    <tableColumn id="3" name="REFERENCES CONCERNEES" dataDxfId="29"/>
    <tableColumn id="10" name="QUANTITES" dataDxfId="28" dataCellStyle="Normal 2"/>
    <tableColumn id="4" name="PRIX VENTE HT" dataDxfId="27"/>
    <tableColumn id="5" name="MONTANT TVA" dataDxfId="26">
      <calculatedColumnFormula>E9*$G$7</calculatedColumnFormula>
    </tableColumn>
    <tableColumn id="6" name="PRIX DE VENTE TTC" dataDxfId="25">
      <calculatedColumnFormula>E9+F9</calculatedColumnFormula>
    </tableColumn>
    <tableColumn id="7" name="TOTAL HT" dataDxfId="24">
      <calculatedColumnFormula>IF(Tableau13[[#This Row],[QUANTITES]]="","",Tableau13[[#This Row],[QUANTITES]]*Tableau13[[#This Row],[PRIX VENTE HT]])</calculatedColumnFormula>
    </tableColumn>
    <tableColumn id="8" name="TOTAL TVA" dataDxfId="23">
      <calculatedColumnFormula>IF(Tableau13[[#This Row],[QUANTITES]]="","",Tableau13[[#This Row],[QUANTITES]]*Tableau13[[#This Row],[MONTANT TVA]])</calculatedColumnFormula>
    </tableColumn>
    <tableColumn id="9" name="TOTAL TTC" dataDxfId="22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16.xml><?xml version="1.0" encoding="utf-8"?>
<table xmlns="http://schemas.openxmlformats.org/spreadsheetml/2006/main" id="19" name="Tableau134567891011121314151617" displayName="Tableau134567891011121314151617" ref="A8:J19" totalsRowShown="0" headerRowDxfId="21">
  <autoFilter ref="A8:J19"/>
  <tableColumns count="10">
    <tableColumn id="1" name="Init" dataDxfId="20"/>
    <tableColumn id="2" name="DESIGNATION" dataDxfId="19"/>
    <tableColumn id="3" name="REFERENCES CONCERNEES" dataDxfId="18"/>
    <tableColumn id="10" name="QUANTITES" dataDxfId="17" dataCellStyle="Normal 2"/>
    <tableColumn id="4" name="PRIX VENTE HT" dataDxfId="16"/>
    <tableColumn id="5" name="MONTANT TVA" dataDxfId="15">
      <calculatedColumnFormula>E9*$G$7</calculatedColumnFormula>
    </tableColumn>
    <tableColumn id="6" name="PRIX DE VENTE TTC" dataDxfId="14">
      <calculatedColumnFormula>E9+F9</calculatedColumnFormula>
    </tableColumn>
    <tableColumn id="7" name="TOTAL HT" dataDxfId="13">
      <calculatedColumnFormula>IF(Tableau13[[#This Row],[QUANTITES]]="","",Tableau13[[#This Row],[QUANTITES]]*Tableau13[[#This Row],[PRIX VENTE HT]])</calculatedColumnFormula>
    </tableColumn>
    <tableColumn id="8" name="TOTAL TVA" dataDxfId="12">
      <calculatedColumnFormula>IF(Tableau13[[#This Row],[QUANTITES]]="","",Tableau13[[#This Row],[QUANTITES]]*Tableau13[[#This Row],[MONTANT TVA]])</calculatedColumnFormula>
    </tableColumn>
    <tableColumn id="9" name="TOTAL TTC" dataDxfId="11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17.xml><?xml version="1.0" encoding="utf-8"?>
<table xmlns="http://schemas.openxmlformats.org/spreadsheetml/2006/main" id="20" name="Tableau13456789101112131415161718" displayName="Tableau13456789101112131415161718" ref="A8:J11" totalsRowShown="0" headerRowDxfId="10">
  <autoFilter ref="A8:J11"/>
  <tableColumns count="10">
    <tableColumn id="1" name="Init" dataDxfId="9"/>
    <tableColumn id="2" name="DESIGNATION" dataDxfId="8"/>
    <tableColumn id="3" name="REFERENCES CONCERNEES" dataDxfId="7"/>
    <tableColumn id="10" name="QUANTITES" dataDxfId="6" dataCellStyle="Normal 2"/>
    <tableColumn id="4" name="PRIX VENTE HT" dataDxfId="5"/>
    <tableColumn id="5" name="MONTANT TVA" dataDxfId="4">
      <calculatedColumnFormula>E9*$G$7</calculatedColumnFormula>
    </tableColumn>
    <tableColumn id="6" name="PRIX DE VENTE TTC" dataDxfId="3">
      <calculatedColumnFormula>E9+F9</calculatedColumnFormula>
    </tableColumn>
    <tableColumn id="7" name="TOTAL HT" dataDxfId="2">
      <calculatedColumnFormula>IF(Tableau13[[#This Row],[QUANTITES]]="","",Tableau13[[#This Row],[QUANTITES]]*Tableau13[[#This Row],[PRIX VENTE HT]])</calculatedColumnFormula>
    </tableColumn>
    <tableColumn id="8" name="TOTAL TVA" dataDxfId="1">
      <calculatedColumnFormula>IF(Tableau13[[#This Row],[QUANTITES]]="","",Tableau13[[#This Row],[QUANTITES]]*Tableau13[[#This Row],[MONTANT TVA]])</calculatedColumnFormula>
    </tableColumn>
    <tableColumn id="9" name="TOTAL TTC" dataDxfId="0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 enableFormatConditionsCalculation="0">
    <tabColor rgb="FF0070C0"/>
    <pageSetUpPr fitToPage="1"/>
  </sheetPr>
  <dimension ref="A1:P50"/>
  <sheetViews>
    <sheetView showGridLines="0" tabSelected="1" zoomScale="85" zoomScaleNormal="85" zoomScalePageLayoutView="85" workbookViewId="0">
      <selection activeCell="B4" sqref="B4"/>
    </sheetView>
  </sheetViews>
  <sheetFormatPr baseColWidth="10" defaultRowHeight="14" x14ac:dyDescent="0"/>
  <cols>
    <col min="1" max="1" width="7.5" customWidth="1"/>
    <col min="2" max="2" width="34.5" bestFit="1" customWidth="1"/>
    <col min="3" max="3" width="41.6640625" customWidth="1"/>
    <col min="4" max="4" width="12.5" style="4" bestFit="1" customWidth="1"/>
    <col min="5" max="5" width="13.1640625" customWidth="1"/>
    <col min="6" max="6" width="12.5" style="1" customWidth="1"/>
    <col min="7" max="7" width="23.5" bestFit="1" customWidth="1"/>
    <col min="8" max="8" width="23.1640625" customWidth="1"/>
    <col min="9" max="9" width="23.83203125" customWidth="1"/>
  </cols>
  <sheetData>
    <row r="1" spans="1:16">
      <c r="A1" s="28"/>
      <c r="B1" s="28"/>
      <c r="C1" s="28"/>
      <c r="D1" s="29"/>
      <c r="E1" s="28"/>
      <c r="F1" s="30"/>
      <c r="G1" s="28"/>
      <c r="H1" s="28"/>
    </row>
    <row r="2" spans="1:16" ht="15" thickBot="1">
      <c r="A2" s="28"/>
      <c r="B2" s="28"/>
      <c r="C2" s="28"/>
      <c r="D2" s="29"/>
      <c r="E2" s="28"/>
      <c r="F2" s="30"/>
      <c r="G2" s="28"/>
      <c r="H2" s="28"/>
    </row>
    <row r="3" spans="1:16" ht="24" thickBot="1">
      <c r="A3" s="28"/>
      <c r="B3" s="28"/>
      <c r="C3" s="28"/>
      <c r="D3" s="29"/>
      <c r="E3" s="28"/>
      <c r="F3" s="30"/>
      <c r="H3" s="33" t="s">
        <v>15</v>
      </c>
    </row>
    <row r="4" spans="1:16">
      <c r="A4" s="28"/>
      <c r="B4" s="28"/>
      <c r="C4" s="28"/>
      <c r="D4" s="29"/>
      <c r="E4" s="28"/>
      <c r="F4" s="30"/>
      <c r="G4" s="28"/>
      <c r="H4" s="28"/>
    </row>
    <row r="5" spans="1:16" ht="1.5" customHeight="1">
      <c r="A5" s="28"/>
      <c r="B5" s="28"/>
      <c r="C5" s="28"/>
      <c r="D5" s="29"/>
      <c r="E5" s="28"/>
      <c r="F5" s="30"/>
      <c r="G5" s="28"/>
      <c r="H5" s="28"/>
    </row>
    <row r="6" spans="1:16" ht="57.75" customHeight="1">
      <c r="A6" s="86"/>
      <c r="B6" s="87"/>
      <c r="C6" s="32"/>
      <c r="D6" s="5"/>
      <c r="E6" s="5"/>
      <c r="F6" s="5"/>
      <c r="G6" s="5"/>
      <c r="H6" s="5"/>
      <c r="P6" s="47"/>
    </row>
    <row r="7" spans="1:16" ht="24" customHeight="1">
      <c r="A7" s="87"/>
      <c r="B7" s="87"/>
      <c r="C7" s="32"/>
      <c r="D7" s="31"/>
      <c r="E7" s="31"/>
      <c r="F7" s="5"/>
      <c r="G7" s="5"/>
      <c r="H7" s="5"/>
      <c r="P7" s="47"/>
    </row>
    <row r="8" spans="1:16" ht="36" customHeight="1">
      <c r="A8" s="35"/>
      <c r="B8" s="35"/>
      <c r="C8" s="32"/>
      <c r="D8" s="31"/>
      <c r="E8" s="31"/>
      <c r="F8" s="88"/>
      <c r="G8" s="89"/>
      <c r="H8" s="90"/>
    </row>
    <row r="9" spans="1:16" ht="36" customHeight="1">
      <c r="A9" s="35"/>
      <c r="B9" s="35"/>
      <c r="C9" s="32"/>
      <c r="D9" s="31"/>
      <c r="E9" s="31"/>
      <c r="F9" s="91"/>
      <c r="G9" s="92"/>
      <c r="H9" s="93"/>
    </row>
    <row r="10" spans="1:16" ht="19" thickBot="1">
      <c r="A10" s="28"/>
      <c r="B10" s="28"/>
      <c r="C10" s="32"/>
      <c r="D10" s="31"/>
      <c r="E10" s="31"/>
      <c r="F10" s="94"/>
      <c r="G10" s="95"/>
      <c r="H10" s="96"/>
    </row>
    <row r="11" spans="1:16" ht="19" thickBot="1">
      <c r="B11" s="97" t="s">
        <v>15</v>
      </c>
      <c r="C11" s="98"/>
      <c r="D11" s="29"/>
      <c r="E11" s="28"/>
      <c r="F11" s="30"/>
      <c r="G11" s="28"/>
      <c r="H11" s="28"/>
    </row>
    <row r="12" spans="1:16">
      <c r="B12" s="41" t="s">
        <v>0</v>
      </c>
      <c r="C12" s="41" t="s">
        <v>1</v>
      </c>
      <c r="D12" s="29"/>
      <c r="E12" s="28"/>
      <c r="F12" s="30"/>
      <c r="G12" s="28"/>
      <c r="H12" s="28"/>
    </row>
    <row r="13" spans="1:16" ht="16" thickBot="1">
      <c r="B13" s="40"/>
      <c r="C13" s="34"/>
      <c r="D13" s="29"/>
      <c r="E13" s="28"/>
      <c r="F13" s="30"/>
      <c r="G13" s="28"/>
      <c r="H13" s="28"/>
    </row>
    <row r="14" spans="1:16">
      <c r="A14" s="28"/>
      <c r="B14" s="28"/>
      <c r="C14" s="28"/>
      <c r="D14" s="29"/>
      <c r="E14" s="28"/>
      <c r="F14" s="30"/>
      <c r="G14" s="28"/>
      <c r="H14" s="28"/>
    </row>
    <row r="15" spans="1:16">
      <c r="A15" s="28"/>
      <c r="B15" s="28"/>
      <c r="C15" s="28"/>
      <c r="D15" s="29"/>
      <c r="E15" s="28"/>
      <c r="F15" s="30"/>
      <c r="G15" s="28"/>
      <c r="H15" s="28"/>
    </row>
    <row r="16" spans="1:16">
      <c r="A16" s="28"/>
      <c r="B16" s="28"/>
      <c r="C16" s="28"/>
      <c r="D16" s="29"/>
      <c r="E16" s="28"/>
      <c r="F16" s="30"/>
      <c r="G16" s="28"/>
      <c r="H16" s="28"/>
    </row>
    <row r="17" spans="1:9" ht="42" customHeight="1">
      <c r="A17" s="77" t="s">
        <v>448</v>
      </c>
      <c r="B17" s="78" t="s">
        <v>12</v>
      </c>
      <c r="C17" s="78" t="s">
        <v>449</v>
      </c>
      <c r="D17" s="78" t="s">
        <v>16</v>
      </c>
      <c r="E17" s="78" t="s">
        <v>2</v>
      </c>
      <c r="F17" s="79" t="s">
        <v>451</v>
      </c>
      <c r="G17" s="79" t="s">
        <v>11</v>
      </c>
      <c r="H17" s="80" t="s">
        <v>7</v>
      </c>
      <c r="I17" s="81" t="s">
        <v>450</v>
      </c>
    </row>
    <row r="18" spans="1:9" ht="42" customHeight="1">
      <c r="A18" s="85"/>
      <c r="B18" s="82"/>
      <c r="C18" s="82"/>
      <c r="D18" s="82"/>
      <c r="E18" s="83"/>
      <c r="F18" s="104"/>
      <c r="G18" s="105" t="str">
        <f>IF(Tableau1146845[Qté]="","",Tableau1146845[PU HT]-(Tableau1146845[PU HT]*Tableau1146845[Tx de Remise]))</f>
        <v/>
      </c>
      <c r="H18" s="105" t="str">
        <f>IF(Tableau1146845[Qté]="","",Tableau1146845[PU HT NET]*Tableau1146845[Qté])</f>
        <v/>
      </c>
      <c r="I18" s="105" t="str">
        <f>IF(Tableau1146845[Qté]="","",Tableau1146845[[#This Row],[Tx de Remise]]*Tableau1146845[[#This Row],[PU HT]]*Tableau1146845[[#This Row],[Qté]])</f>
        <v/>
      </c>
    </row>
    <row r="19" spans="1:9" ht="18">
      <c r="A19" s="37"/>
      <c r="B19" s="6"/>
      <c r="C19" s="7"/>
      <c r="D19" s="8"/>
      <c r="E19" s="9"/>
      <c r="F19" s="36"/>
      <c r="G19" s="10" t="s">
        <v>4</v>
      </c>
      <c r="H19" s="11">
        <f>SUM(Tableau1146845[Montant HT])</f>
        <v>0</v>
      </c>
    </row>
    <row r="20" spans="1:9" ht="18">
      <c r="A20" s="37"/>
      <c r="B20" s="12"/>
      <c r="C20" s="13"/>
      <c r="D20" s="14"/>
      <c r="E20" s="37"/>
      <c r="F20" s="36"/>
      <c r="G20" s="15" t="s">
        <v>13</v>
      </c>
      <c r="H20" s="16">
        <f>SUM(Tableau1146845[TOTAL remise])</f>
        <v>0</v>
      </c>
    </row>
    <row r="21" spans="1:9" ht="19" thickBot="1">
      <c r="A21" s="37"/>
      <c r="B21" s="37"/>
      <c r="C21" s="37"/>
      <c r="D21" s="38"/>
      <c r="E21" s="37"/>
      <c r="F21" s="36"/>
      <c r="G21" s="17" t="s">
        <v>14</v>
      </c>
      <c r="H21" s="18">
        <f>H19-H20</f>
        <v>0</v>
      </c>
    </row>
    <row r="22" spans="1:9" ht="19" thickBot="1">
      <c r="A22" s="37"/>
      <c r="B22" s="42" t="s">
        <v>3</v>
      </c>
      <c r="C22" s="42" t="s">
        <v>5</v>
      </c>
      <c r="D22" s="45" t="s">
        <v>17</v>
      </c>
      <c r="E22" s="37"/>
      <c r="F22" s="13"/>
      <c r="G22" s="19" t="s">
        <v>6</v>
      </c>
      <c r="H22" s="20">
        <f>H21*$C$23</f>
        <v>0</v>
      </c>
    </row>
    <row r="23" spans="1:9" ht="19" thickBot="1">
      <c r="A23" s="37"/>
      <c r="B23" s="2" t="str">
        <f>IF(C13="","",C13+30)</f>
        <v/>
      </c>
      <c r="C23" s="3">
        <v>0.2</v>
      </c>
      <c r="D23" s="3">
        <v>0.3</v>
      </c>
      <c r="E23" s="37"/>
      <c r="F23" s="13"/>
      <c r="G23" s="21" t="s">
        <v>8</v>
      </c>
      <c r="H23" s="22">
        <f>H22+H21</f>
        <v>0</v>
      </c>
    </row>
    <row r="24" spans="1:9" ht="19" thickBot="1">
      <c r="A24" s="37"/>
      <c r="B24" s="37"/>
      <c r="C24" s="37"/>
      <c r="D24" s="39"/>
      <c r="E24" s="23"/>
      <c r="F24" s="24"/>
      <c r="G24" s="37"/>
      <c r="H24" s="37"/>
    </row>
    <row r="25" spans="1:9" ht="19" thickBot="1">
      <c r="A25" s="37"/>
      <c r="B25" s="99" t="s">
        <v>452</v>
      </c>
      <c r="C25" s="100"/>
      <c r="D25" s="100"/>
      <c r="E25" s="100"/>
      <c r="F25" s="101"/>
      <c r="G25" s="25" t="s">
        <v>10</v>
      </c>
      <c r="H25" s="26">
        <f>H23*D23</f>
        <v>0</v>
      </c>
    </row>
    <row r="26" spans="1:9" ht="19" thickBot="1">
      <c r="A26" s="37"/>
      <c r="B26" s="37"/>
      <c r="C26" s="37"/>
      <c r="D26" s="38"/>
      <c r="E26" s="37"/>
      <c r="F26" s="36"/>
      <c r="G26" s="37"/>
      <c r="H26" s="37"/>
    </row>
    <row r="27" spans="1:9" ht="15" customHeight="1" thickBot="1">
      <c r="A27" s="37"/>
      <c r="B27" s="37"/>
      <c r="C27" s="37"/>
      <c r="D27" s="38"/>
      <c r="E27" s="37"/>
      <c r="F27" s="36"/>
      <c r="G27" s="43" t="s">
        <v>9</v>
      </c>
      <c r="H27" s="44">
        <f>H23</f>
        <v>0</v>
      </c>
    </row>
    <row r="28" spans="1:9" ht="15" customHeight="1">
      <c r="A28" s="84"/>
      <c r="B28" s="84"/>
      <c r="C28" s="84"/>
      <c r="D28" s="84"/>
      <c r="E28" s="84"/>
      <c r="F28" s="84"/>
      <c r="G28" s="84"/>
      <c r="H28" s="84"/>
      <c r="I28" s="46"/>
    </row>
    <row r="29" spans="1:9">
      <c r="A29" s="84"/>
      <c r="B29" s="84"/>
      <c r="C29" s="84"/>
      <c r="D29" s="84"/>
      <c r="E29" s="84"/>
      <c r="F29" s="84"/>
      <c r="G29" s="84"/>
      <c r="H29" s="84"/>
      <c r="I29" s="46"/>
    </row>
    <row r="30" spans="1:9">
      <c r="A30" s="84"/>
      <c r="B30" s="84"/>
      <c r="C30" s="84"/>
      <c r="D30" s="84"/>
      <c r="E30" s="84"/>
      <c r="F30" s="84"/>
      <c r="G30" s="84"/>
      <c r="H30" s="84"/>
      <c r="I30" s="46"/>
    </row>
    <row r="31" spans="1:9">
      <c r="A31" s="84"/>
      <c r="B31" s="84"/>
      <c r="C31" s="84"/>
      <c r="D31" s="84"/>
      <c r="E31" s="84"/>
      <c r="F31" s="84"/>
      <c r="G31" s="84"/>
      <c r="H31" s="84"/>
      <c r="I31" s="46"/>
    </row>
    <row r="32" spans="1:9">
      <c r="A32" s="84"/>
      <c r="B32" s="84"/>
      <c r="C32" s="84"/>
      <c r="D32" s="84"/>
      <c r="E32" s="84"/>
      <c r="F32" s="84"/>
      <c r="G32" s="84"/>
      <c r="H32" s="84"/>
      <c r="I32" s="46"/>
    </row>
    <row r="33" spans="1:9">
      <c r="A33" s="84"/>
      <c r="B33" s="84"/>
      <c r="C33" s="84"/>
      <c r="D33" s="84"/>
      <c r="E33" s="84"/>
      <c r="F33" s="84"/>
      <c r="G33" s="84"/>
      <c r="H33" s="84"/>
      <c r="I33" s="46"/>
    </row>
    <row r="34" spans="1:9">
      <c r="A34" s="84"/>
      <c r="B34" s="84"/>
      <c r="C34" s="84"/>
      <c r="D34" s="84"/>
      <c r="E34" s="84"/>
      <c r="F34" s="84"/>
      <c r="G34" s="84"/>
      <c r="H34" s="84"/>
      <c r="I34" s="46"/>
    </row>
    <row r="35" spans="1:9">
      <c r="A35" s="84"/>
      <c r="B35" s="84"/>
      <c r="C35" s="84"/>
      <c r="D35" s="84"/>
      <c r="E35" s="84"/>
      <c r="F35" s="84"/>
      <c r="G35" s="84"/>
      <c r="H35" s="84"/>
      <c r="I35" s="46"/>
    </row>
    <row r="36" spans="1:9">
      <c r="A36" s="84"/>
      <c r="B36" s="84"/>
      <c r="C36" s="84"/>
      <c r="D36" s="84"/>
      <c r="E36" s="84"/>
      <c r="F36" s="84"/>
      <c r="G36" s="84"/>
      <c r="H36" s="84"/>
      <c r="I36" s="46"/>
    </row>
    <row r="37" spans="1:9">
      <c r="A37" s="84"/>
      <c r="B37" s="84"/>
      <c r="C37" s="84"/>
      <c r="D37" s="84"/>
      <c r="E37" s="84"/>
      <c r="F37" s="84"/>
      <c r="G37" s="84"/>
      <c r="H37" s="84"/>
      <c r="I37" s="46"/>
    </row>
    <row r="38" spans="1:9">
      <c r="A38" s="84"/>
      <c r="B38" s="84"/>
      <c r="C38" s="84"/>
      <c r="D38" s="84"/>
      <c r="E38" s="84"/>
      <c r="F38" s="84"/>
      <c r="G38" s="84"/>
      <c r="H38" s="84"/>
      <c r="I38" s="46"/>
    </row>
    <row r="39" spans="1:9">
      <c r="A39" s="84"/>
      <c r="B39" s="84"/>
      <c r="C39" s="84"/>
      <c r="D39" s="84"/>
      <c r="E39" s="84"/>
      <c r="F39" s="84"/>
      <c r="G39" s="84"/>
      <c r="H39" s="84"/>
      <c r="I39" s="46"/>
    </row>
    <row r="40" spans="1:9">
      <c r="A40" s="84"/>
      <c r="B40" s="84"/>
      <c r="C40" s="84"/>
      <c r="D40" s="84"/>
      <c r="E40" s="84"/>
      <c r="F40" s="84"/>
      <c r="G40" s="84"/>
      <c r="H40" s="84"/>
      <c r="I40" s="46"/>
    </row>
    <row r="41" spans="1:9">
      <c r="A41" s="48"/>
      <c r="B41" s="49"/>
      <c r="C41" s="49"/>
      <c r="D41" s="49"/>
      <c r="E41" s="49"/>
      <c r="F41" s="49"/>
      <c r="G41" s="49"/>
      <c r="H41" s="49"/>
      <c r="I41" s="46"/>
    </row>
    <row r="42" spans="1:9">
      <c r="A42" s="49"/>
      <c r="B42" s="49"/>
      <c r="C42" s="49"/>
      <c r="D42" s="49"/>
      <c r="E42" s="49"/>
      <c r="F42" s="49"/>
      <c r="G42" s="49"/>
      <c r="H42" s="49"/>
      <c r="I42" s="46"/>
    </row>
    <row r="43" spans="1:9">
      <c r="A43" s="49"/>
      <c r="B43" s="49"/>
      <c r="C43" s="49"/>
      <c r="D43" s="49"/>
      <c r="E43" s="49"/>
      <c r="F43" s="49"/>
      <c r="G43" s="49"/>
      <c r="H43" s="49"/>
      <c r="I43" s="46"/>
    </row>
    <row r="44" spans="1:9">
      <c r="A44" s="49"/>
      <c r="B44" s="49"/>
      <c r="C44" s="49"/>
      <c r="D44" s="49"/>
      <c r="E44" s="49"/>
      <c r="F44" s="49"/>
      <c r="G44" s="49"/>
      <c r="H44" s="49"/>
      <c r="I44" s="46"/>
    </row>
    <row r="45" spans="1:9">
      <c r="A45" s="49"/>
      <c r="B45" s="49"/>
      <c r="C45" s="49"/>
      <c r="D45" s="49"/>
      <c r="E45" s="49"/>
      <c r="F45" s="49"/>
      <c r="G45" s="49"/>
      <c r="H45" s="49"/>
    </row>
    <row r="46" spans="1:9">
      <c r="A46" s="27"/>
      <c r="B46" s="27"/>
      <c r="C46" s="27"/>
      <c r="D46" s="27"/>
      <c r="E46" s="27"/>
      <c r="F46" s="27"/>
      <c r="G46" s="27"/>
      <c r="H46" s="27"/>
    </row>
    <row r="47" spans="1:9">
      <c r="A47" s="27"/>
      <c r="B47" s="27"/>
      <c r="C47" s="27"/>
      <c r="D47" s="27"/>
      <c r="E47" s="27"/>
      <c r="F47" s="27"/>
      <c r="G47" s="27"/>
      <c r="H47" s="27"/>
    </row>
    <row r="48" spans="1:9">
      <c r="A48" s="27"/>
      <c r="B48" s="27"/>
      <c r="C48" s="27"/>
      <c r="D48" s="27"/>
      <c r="E48" s="27"/>
      <c r="F48" s="27"/>
      <c r="G48" s="27"/>
      <c r="H48" s="27"/>
    </row>
    <row r="49" spans="1:8">
      <c r="A49" s="27"/>
      <c r="B49" s="27"/>
      <c r="C49" s="27"/>
      <c r="D49" s="27"/>
      <c r="E49" s="27"/>
      <c r="F49" s="27"/>
      <c r="G49" s="27"/>
      <c r="H49" s="27"/>
    </row>
    <row r="50" spans="1:8">
      <c r="A50" s="27"/>
      <c r="B50" s="27"/>
      <c r="C50" s="27"/>
      <c r="D50" s="27"/>
      <c r="E50" s="27"/>
      <c r="F50" s="27"/>
      <c r="G50" s="27"/>
      <c r="H50" s="27"/>
    </row>
  </sheetData>
  <mergeCells count="4">
    <mergeCell ref="A6:B7"/>
    <mergeCell ref="F8:H10"/>
    <mergeCell ref="B11:C11"/>
    <mergeCell ref="B25:F25"/>
  </mergeCells>
  <pageMargins left="0.23622047244094491" right="0.23622047244094491" top="0.74803149606299213" bottom="0.74803149606299213" header="0.31496062992125984" footer="0.31496062992125984"/>
  <pageSetup paperSize="9" scale="59" fitToHeight="0" orientation="portrait"/>
  <headerFooter>
    <oddFooter xml:space="preserve">&amp;LQBX CYCLES S.A.R.L 
Domaine du Moulin de Madame 
11290 ARZENS (CARCASSONNE - FRANCE)&amp;CQBX CYCLES SARL au capital de 7 500€ - SIRET488 693 656 00016 
CODE APE 354C – N° TVA FR 88488693656
&amp;RTel : 09 52 60 60 11 - 06 88 58 27 16
contact@qbx-quadbike.com
</oddFooter>
  </headerFooter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pageSetUpPr fitToPage="1"/>
  </sheetPr>
  <dimension ref="A1:J30"/>
  <sheetViews>
    <sheetView showGridLines="0" workbookViewId="0">
      <selection activeCell="D40" sqref="D40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3" width="40" style="50" customWidth="1"/>
    <col min="4" max="4" width="16.1640625" style="50" bestFit="1" customWidth="1"/>
    <col min="5" max="5" width="23.33203125" style="50" customWidth="1"/>
    <col min="6" max="6" width="15.1640625" style="50" customWidth="1"/>
    <col min="7" max="7" width="21.33203125" style="50" customWidth="1"/>
    <col min="8" max="8" width="14.6640625" style="50" bestFit="1" customWidth="1"/>
    <col min="9" max="9" width="16" style="50" bestFit="1" customWidth="1"/>
    <col min="10" max="10" width="15.83203125" style="50" bestFit="1" customWidth="1"/>
    <col min="11" max="256" width="10.83203125" style="50"/>
    <col min="257" max="257" width="6" style="50" customWidth="1"/>
    <col min="258" max="258" width="40.83203125" style="50" customWidth="1"/>
    <col min="259" max="259" width="40" style="50" customWidth="1"/>
    <col min="260" max="260" width="23.33203125" style="50" customWidth="1"/>
    <col min="261" max="261" width="15.1640625" style="50" customWidth="1"/>
    <col min="262" max="262" width="21.33203125" style="50" customWidth="1"/>
    <col min="263" max="512" width="10.83203125" style="50"/>
    <col min="513" max="513" width="6" style="50" customWidth="1"/>
    <col min="514" max="514" width="40.83203125" style="50" customWidth="1"/>
    <col min="515" max="515" width="40" style="50" customWidth="1"/>
    <col min="516" max="516" width="23.33203125" style="50" customWidth="1"/>
    <col min="517" max="517" width="15.1640625" style="50" customWidth="1"/>
    <col min="518" max="518" width="21.33203125" style="50" customWidth="1"/>
    <col min="519" max="768" width="10.83203125" style="50"/>
    <col min="769" max="769" width="6" style="50" customWidth="1"/>
    <col min="770" max="770" width="40.83203125" style="50" customWidth="1"/>
    <col min="771" max="771" width="40" style="50" customWidth="1"/>
    <col min="772" max="772" width="23.33203125" style="50" customWidth="1"/>
    <col min="773" max="773" width="15.1640625" style="50" customWidth="1"/>
    <col min="774" max="774" width="21.33203125" style="50" customWidth="1"/>
    <col min="775" max="1024" width="10.83203125" style="50"/>
    <col min="1025" max="1025" width="6" style="50" customWidth="1"/>
    <col min="1026" max="1026" width="40.83203125" style="50" customWidth="1"/>
    <col min="1027" max="1027" width="40" style="50" customWidth="1"/>
    <col min="1028" max="1028" width="23.33203125" style="50" customWidth="1"/>
    <col min="1029" max="1029" width="15.1640625" style="50" customWidth="1"/>
    <col min="1030" max="1030" width="21.33203125" style="50" customWidth="1"/>
    <col min="1031" max="1280" width="10.83203125" style="50"/>
    <col min="1281" max="1281" width="6" style="50" customWidth="1"/>
    <col min="1282" max="1282" width="40.83203125" style="50" customWidth="1"/>
    <col min="1283" max="1283" width="40" style="50" customWidth="1"/>
    <col min="1284" max="1284" width="23.33203125" style="50" customWidth="1"/>
    <col min="1285" max="1285" width="15.1640625" style="50" customWidth="1"/>
    <col min="1286" max="1286" width="21.33203125" style="50" customWidth="1"/>
    <col min="1287" max="1536" width="10.83203125" style="50"/>
    <col min="1537" max="1537" width="6" style="50" customWidth="1"/>
    <col min="1538" max="1538" width="40.83203125" style="50" customWidth="1"/>
    <col min="1539" max="1539" width="40" style="50" customWidth="1"/>
    <col min="1540" max="1540" width="23.33203125" style="50" customWidth="1"/>
    <col min="1541" max="1541" width="15.1640625" style="50" customWidth="1"/>
    <col min="1542" max="1542" width="21.33203125" style="50" customWidth="1"/>
    <col min="1543" max="1792" width="10.83203125" style="50"/>
    <col min="1793" max="1793" width="6" style="50" customWidth="1"/>
    <col min="1794" max="1794" width="40.83203125" style="50" customWidth="1"/>
    <col min="1795" max="1795" width="40" style="50" customWidth="1"/>
    <col min="1796" max="1796" width="23.33203125" style="50" customWidth="1"/>
    <col min="1797" max="1797" width="15.1640625" style="50" customWidth="1"/>
    <col min="1798" max="1798" width="21.33203125" style="50" customWidth="1"/>
    <col min="1799" max="2048" width="10.83203125" style="50"/>
    <col min="2049" max="2049" width="6" style="50" customWidth="1"/>
    <col min="2050" max="2050" width="40.83203125" style="50" customWidth="1"/>
    <col min="2051" max="2051" width="40" style="50" customWidth="1"/>
    <col min="2052" max="2052" width="23.33203125" style="50" customWidth="1"/>
    <col min="2053" max="2053" width="15.1640625" style="50" customWidth="1"/>
    <col min="2054" max="2054" width="21.33203125" style="50" customWidth="1"/>
    <col min="2055" max="2304" width="10.83203125" style="50"/>
    <col min="2305" max="2305" width="6" style="50" customWidth="1"/>
    <col min="2306" max="2306" width="40.83203125" style="50" customWidth="1"/>
    <col min="2307" max="2307" width="40" style="50" customWidth="1"/>
    <col min="2308" max="2308" width="23.33203125" style="50" customWidth="1"/>
    <col min="2309" max="2309" width="15.1640625" style="50" customWidth="1"/>
    <col min="2310" max="2310" width="21.33203125" style="50" customWidth="1"/>
    <col min="2311" max="2560" width="10.83203125" style="50"/>
    <col min="2561" max="2561" width="6" style="50" customWidth="1"/>
    <col min="2562" max="2562" width="40.83203125" style="50" customWidth="1"/>
    <col min="2563" max="2563" width="40" style="50" customWidth="1"/>
    <col min="2564" max="2564" width="23.33203125" style="50" customWidth="1"/>
    <col min="2565" max="2565" width="15.1640625" style="50" customWidth="1"/>
    <col min="2566" max="2566" width="21.33203125" style="50" customWidth="1"/>
    <col min="2567" max="2816" width="10.83203125" style="50"/>
    <col min="2817" max="2817" width="6" style="50" customWidth="1"/>
    <col min="2818" max="2818" width="40.83203125" style="50" customWidth="1"/>
    <col min="2819" max="2819" width="40" style="50" customWidth="1"/>
    <col min="2820" max="2820" width="23.33203125" style="50" customWidth="1"/>
    <col min="2821" max="2821" width="15.1640625" style="50" customWidth="1"/>
    <col min="2822" max="2822" width="21.33203125" style="50" customWidth="1"/>
    <col min="2823" max="3072" width="10.83203125" style="50"/>
    <col min="3073" max="3073" width="6" style="50" customWidth="1"/>
    <col min="3074" max="3074" width="40.83203125" style="50" customWidth="1"/>
    <col min="3075" max="3075" width="40" style="50" customWidth="1"/>
    <col min="3076" max="3076" width="23.33203125" style="50" customWidth="1"/>
    <col min="3077" max="3077" width="15.1640625" style="50" customWidth="1"/>
    <col min="3078" max="3078" width="21.33203125" style="50" customWidth="1"/>
    <col min="3079" max="3328" width="10.83203125" style="50"/>
    <col min="3329" max="3329" width="6" style="50" customWidth="1"/>
    <col min="3330" max="3330" width="40.83203125" style="50" customWidth="1"/>
    <col min="3331" max="3331" width="40" style="50" customWidth="1"/>
    <col min="3332" max="3332" width="23.33203125" style="50" customWidth="1"/>
    <col min="3333" max="3333" width="15.1640625" style="50" customWidth="1"/>
    <col min="3334" max="3334" width="21.33203125" style="50" customWidth="1"/>
    <col min="3335" max="3584" width="10.83203125" style="50"/>
    <col min="3585" max="3585" width="6" style="50" customWidth="1"/>
    <col min="3586" max="3586" width="40.83203125" style="50" customWidth="1"/>
    <col min="3587" max="3587" width="40" style="50" customWidth="1"/>
    <col min="3588" max="3588" width="23.33203125" style="50" customWidth="1"/>
    <col min="3589" max="3589" width="15.1640625" style="50" customWidth="1"/>
    <col min="3590" max="3590" width="21.33203125" style="50" customWidth="1"/>
    <col min="3591" max="3840" width="10.83203125" style="50"/>
    <col min="3841" max="3841" width="6" style="50" customWidth="1"/>
    <col min="3842" max="3842" width="40.83203125" style="50" customWidth="1"/>
    <col min="3843" max="3843" width="40" style="50" customWidth="1"/>
    <col min="3844" max="3844" width="23.33203125" style="50" customWidth="1"/>
    <col min="3845" max="3845" width="15.1640625" style="50" customWidth="1"/>
    <col min="3846" max="3846" width="21.33203125" style="50" customWidth="1"/>
    <col min="3847" max="4096" width="10.83203125" style="50"/>
    <col min="4097" max="4097" width="6" style="50" customWidth="1"/>
    <col min="4098" max="4098" width="40.83203125" style="50" customWidth="1"/>
    <col min="4099" max="4099" width="40" style="50" customWidth="1"/>
    <col min="4100" max="4100" width="23.33203125" style="50" customWidth="1"/>
    <col min="4101" max="4101" width="15.1640625" style="50" customWidth="1"/>
    <col min="4102" max="4102" width="21.33203125" style="50" customWidth="1"/>
    <col min="4103" max="4352" width="10.83203125" style="50"/>
    <col min="4353" max="4353" width="6" style="50" customWidth="1"/>
    <col min="4354" max="4354" width="40.83203125" style="50" customWidth="1"/>
    <col min="4355" max="4355" width="40" style="50" customWidth="1"/>
    <col min="4356" max="4356" width="23.33203125" style="50" customWidth="1"/>
    <col min="4357" max="4357" width="15.1640625" style="50" customWidth="1"/>
    <col min="4358" max="4358" width="21.33203125" style="50" customWidth="1"/>
    <col min="4359" max="4608" width="10.83203125" style="50"/>
    <col min="4609" max="4609" width="6" style="50" customWidth="1"/>
    <col min="4610" max="4610" width="40.83203125" style="50" customWidth="1"/>
    <col min="4611" max="4611" width="40" style="50" customWidth="1"/>
    <col min="4612" max="4612" width="23.33203125" style="50" customWidth="1"/>
    <col min="4613" max="4613" width="15.1640625" style="50" customWidth="1"/>
    <col min="4614" max="4614" width="21.33203125" style="50" customWidth="1"/>
    <col min="4615" max="4864" width="10.83203125" style="50"/>
    <col min="4865" max="4865" width="6" style="50" customWidth="1"/>
    <col min="4866" max="4866" width="40.83203125" style="50" customWidth="1"/>
    <col min="4867" max="4867" width="40" style="50" customWidth="1"/>
    <col min="4868" max="4868" width="23.33203125" style="50" customWidth="1"/>
    <col min="4869" max="4869" width="15.1640625" style="50" customWidth="1"/>
    <col min="4870" max="4870" width="21.33203125" style="50" customWidth="1"/>
    <col min="4871" max="5120" width="10.83203125" style="50"/>
    <col min="5121" max="5121" width="6" style="50" customWidth="1"/>
    <col min="5122" max="5122" width="40.83203125" style="50" customWidth="1"/>
    <col min="5123" max="5123" width="40" style="50" customWidth="1"/>
    <col min="5124" max="5124" width="23.33203125" style="50" customWidth="1"/>
    <col min="5125" max="5125" width="15.1640625" style="50" customWidth="1"/>
    <col min="5126" max="5126" width="21.33203125" style="50" customWidth="1"/>
    <col min="5127" max="5376" width="10.83203125" style="50"/>
    <col min="5377" max="5377" width="6" style="50" customWidth="1"/>
    <col min="5378" max="5378" width="40.83203125" style="50" customWidth="1"/>
    <col min="5379" max="5379" width="40" style="50" customWidth="1"/>
    <col min="5380" max="5380" width="23.33203125" style="50" customWidth="1"/>
    <col min="5381" max="5381" width="15.1640625" style="50" customWidth="1"/>
    <col min="5382" max="5382" width="21.33203125" style="50" customWidth="1"/>
    <col min="5383" max="5632" width="10.83203125" style="50"/>
    <col min="5633" max="5633" width="6" style="50" customWidth="1"/>
    <col min="5634" max="5634" width="40.83203125" style="50" customWidth="1"/>
    <col min="5635" max="5635" width="40" style="50" customWidth="1"/>
    <col min="5636" max="5636" width="23.33203125" style="50" customWidth="1"/>
    <col min="5637" max="5637" width="15.1640625" style="50" customWidth="1"/>
    <col min="5638" max="5638" width="21.33203125" style="50" customWidth="1"/>
    <col min="5639" max="5888" width="10.83203125" style="50"/>
    <col min="5889" max="5889" width="6" style="50" customWidth="1"/>
    <col min="5890" max="5890" width="40.83203125" style="50" customWidth="1"/>
    <col min="5891" max="5891" width="40" style="50" customWidth="1"/>
    <col min="5892" max="5892" width="23.33203125" style="50" customWidth="1"/>
    <col min="5893" max="5893" width="15.1640625" style="50" customWidth="1"/>
    <col min="5894" max="5894" width="21.33203125" style="50" customWidth="1"/>
    <col min="5895" max="6144" width="10.83203125" style="50"/>
    <col min="6145" max="6145" width="6" style="50" customWidth="1"/>
    <col min="6146" max="6146" width="40.83203125" style="50" customWidth="1"/>
    <col min="6147" max="6147" width="40" style="50" customWidth="1"/>
    <col min="6148" max="6148" width="23.33203125" style="50" customWidth="1"/>
    <col min="6149" max="6149" width="15.1640625" style="50" customWidth="1"/>
    <col min="6150" max="6150" width="21.33203125" style="50" customWidth="1"/>
    <col min="6151" max="6400" width="10.83203125" style="50"/>
    <col min="6401" max="6401" width="6" style="50" customWidth="1"/>
    <col min="6402" max="6402" width="40.83203125" style="50" customWidth="1"/>
    <col min="6403" max="6403" width="40" style="50" customWidth="1"/>
    <col min="6404" max="6404" width="23.33203125" style="50" customWidth="1"/>
    <col min="6405" max="6405" width="15.1640625" style="50" customWidth="1"/>
    <col min="6406" max="6406" width="21.33203125" style="50" customWidth="1"/>
    <col min="6407" max="6656" width="10.83203125" style="50"/>
    <col min="6657" max="6657" width="6" style="50" customWidth="1"/>
    <col min="6658" max="6658" width="40.83203125" style="50" customWidth="1"/>
    <col min="6659" max="6659" width="40" style="50" customWidth="1"/>
    <col min="6660" max="6660" width="23.33203125" style="50" customWidth="1"/>
    <col min="6661" max="6661" width="15.1640625" style="50" customWidth="1"/>
    <col min="6662" max="6662" width="21.33203125" style="50" customWidth="1"/>
    <col min="6663" max="6912" width="10.83203125" style="50"/>
    <col min="6913" max="6913" width="6" style="50" customWidth="1"/>
    <col min="6914" max="6914" width="40.83203125" style="50" customWidth="1"/>
    <col min="6915" max="6915" width="40" style="50" customWidth="1"/>
    <col min="6916" max="6916" width="23.33203125" style="50" customWidth="1"/>
    <col min="6917" max="6917" width="15.1640625" style="50" customWidth="1"/>
    <col min="6918" max="6918" width="21.33203125" style="50" customWidth="1"/>
    <col min="6919" max="7168" width="10.83203125" style="50"/>
    <col min="7169" max="7169" width="6" style="50" customWidth="1"/>
    <col min="7170" max="7170" width="40.83203125" style="50" customWidth="1"/>
    <col min="7171" max="7171" width="40" style="50" customWidth="1"/>
    <col min="7172" max="7172" width="23.33203125" style="50" customWidth="1"/>
    <col min="7173" max="7173" width="15.1640625" style="50" customWidth="1"/>
    <col min="7174" max="7174" width="21.33203125" style="50" customWidth="1"/>
    <col min="7175" max="7424" width="10.83203125" style="50"/>
    <col min="7425" max="7425" width="6" style="50" customWidth="1"/>
    <col min="7426" max="7426" width="40.83203125" style="50" customWidth="1"/>
    <col min="7427" max="7427" width="40" style="50" customWidth="1"/>
    <col min="7428" max="7428" width="23.33203125" style="50" customWidth="1"/>
    <col min="7429" max="7429" width="15.1640625" style="50" customWidth="1"/>
    <col min="7430" max="7430" width="21.33203125" style="50" customWidth="1"/>
    <col min="7431" max="7680" width="10.83203125" style="50"/>
    <col min="7681" max="7681" width="6" style="50" customWidth="1"/>
    <col min="7682" max="7682" width="40.83203125" style="50" customWidth="1"/>
    <col min="7683" max="7683" width="40" style="50" customWidth="1"/>
    <col min="7684" max="7684" width="23.33203125" style="50" customWidth="1"/>
    <col min="7685" max="7685" width="15.1640625" style="50" customWidth="1"/>
    <col min="7686" max="7686" width="21.33203125" style="50" customWidth="1"/>
    <col min="7687" max="7936" width="10.83203125" style="50"/>
    <col min="7937" max="7937" width="6" style="50" customWidth="1"/>
    <col min="7938" max="7938" width="40.83203125" style="50" customWidth="1"/>
    <col min="7939" max="7939" width="40" style="50" customWidth="1"/>
    <col min="7940" max="7940" width="23.33203125" style="50" customWidth="1"/>
    <col min="7941" max="7941" width="15.1640625" style="50" customWidth="1"/>
    <col min="7942" max="7942" width="21.33203125" style="50" customWidth="1"/>
    <col min="7943" max="8192" width="10.83203125" style="50"/>
    <col min="8193" max="8193" width="6" style="50" customWidth="1"/>
    <col min="8194" max="8194" width="40.83203125" style="50" customWidth="1"/>
    <col min="8195" max="8195" width="40" style="50" customWidth="1"/>
    <col min="8196" max="8196" width="23.33203125" style="50" customWidth="1"/>
    <col min="8197" max="8197" width="15.1640625" style="50" customWidth="1"/>
    <col min="8198" max="8198" width="21.33203125" style="50" customWidth="1"/>
    <col min="8199" max="8448" width="10.83203125" style="50"/>
    <col min="8449" max="8449" width="6" style="50" customWidth="1"/>
    <col min="8450" max="8450" width="40.83203125" style="50" customWidth="1"/>
    <col min="8451" max="8451" width="40" style="50" customWidth="1"/>
    <col min="8452" max="8452" width="23.33203125" style="50" customWidth="1"/>
    <col min="8453" max="8453" width="15.1640625" style="50" customWidth="1"/>
    <col min="8454" max="8454" width="21.33203125" style="50" customWidth="1"/>
    <col min="8455" max="8704" width="10.83203125" style="50"/>
    <col min="8705" max="8705" width="6" style="50" customWidth="1"/>
    <col min="8706" max="8706" width="40.83203125" style="50" customWidth="1"/>
    <col min="8707" max="8707" width="40" style="50" customWidth="1"/>
    <col min="8708" max="8708" width="23.33203125" style="50" customWidth="1"/>
    <col min="8709" max="8709" width="15.1640625" style="50" customWidth="1"/>
    <col min="8710" max="8710" width="21.33203125" style="50" customWidth="1"/>
    <col min="8711" max="8960" width="10.83203125" style="50"/>
    <col min="8961" max="8961" width="6" style="50" customWidth="1"/>
    <col min="8962" max="8962" width="40.83203125" style="50" customWidth="1"/>
    <col min="8963" max="8963" width="40" style="50" customWidth="1"/>
    <col min="8964" max="8964" width="23.33203125" style="50" customWidth="1"/>
    <col min="8965" max="8965" width="15.1640625" style="50" customWidth="1"/>
    <col min="8966" max="8966" width="21.33203125" style="50" customWidth="1"/>
    <col min="8967" max="9216" width="10.83203125" style="50"/>
    <col min="9217" max="9217" width="6" style="50" customWidth="1"/>
    <col min="9218" max="9218" width="40.83203125" style="50" customWidth="1"/>
    <col min="9219" max="9219" width="40" style="50" customWidth="1"/>
    <col min="9220" max="9220" width="23.33203125" style="50" customWidth="1"/>
    <col min="9221" max="9221" width="15.1640625" style="50" customWidth="1"/>
    <col min="9222" max="9222" width="21.33203125" style="50" customWidth="1"/>
    <col min="9223" max="9472" width="10.83203125" style="50"/>
    <col min="9473" max="9473" width="6" style="50" customWidth="1"/>
    <col min="9474" max="9474" width="40.83203125" style="50" customWidth="1"/>
    <col min="9475" max="9475" width="40" style="50" customWidth="1"/>
    <col min="9476" max="9476" width="23.33203125" style="50" customWidth="1"/>
    <col min="9477" max="9477" width="15.1640625" style="50" customWidth="1"/>
    <col min="9478" max="9478" width="21.33203125" style="50" customWidth="1"/>
    <col min="9479" max="9728" width="10.83203125" style="50"/>
    <col min="9729" max="9729" width="6" style="50" customWidth="1"/>
    <col min="9730" max="9730" width="40.83203125" style="50" customWidth="1"/>
    <col min="9731" max="9731" width="40" style="50" customWidth="1"/>
    <col min="9732" max="9732" width="23.33203125" style="50" customWidth="1"/>
    <col min="9733" max="9733" width="15.1640625" style="50" customWidth="1"/>
    <col min="9734" max="9734" width="21.33203125" style="50" customWidth="1"/>
    <col min="9735" max="9984" width="10.83203125" style="50"/>
    <col min="9985" max="9985" width="6" style="50" customWidth="1"/>
    <col min="9986" max="9986" width="40.83203125" style="50" customWidth="1"/>
    <col min="9987" max="9987" width="40" style="50" customWidth="1"/>
    <col min="9988" max="9988" width="23.33203125" style="50" customWidth="1"/>
    <col min="9989" max="9989" width="15.1640625" style="50" customWidth="1"/>
    <col min="9990" max="9990" width="21.33203125" style="50" customWidth="1"/>
    <col min="9991" max="10240" width="10.83203125" style="50"/>
    <col min="10241" max="10241" width="6" style="50" customWidth="1"/>
    <col min="10242" max="10242" width="40.83203125" style="50" customWidth="1"/>
    <col min="10243" max="10243" width="40" style="50" customWidth="1"/>
    <col min="10244" max="10244" width="23.33203125" style="50" customWidth="1"/>
    <col min="10245" max="10245" width="15.1640625" style="50" customWidth="1"/>
    <col min="10246" max="10246" width="21.33203125" style="50" customWidth="1"/>
    <col min="10247" max="10496" width="10.83203125" style="50"/>
    <col min="10497" max="10497" width="6" style="50" customWidth="1"/>
    <col min="10498" max="10498" width="40.83203125" style="50" customWidth="1"/>
    <col min="10499" max="10499" width="40" style="50" customWidth="1"/>
    <col min="10500" max="10500" width="23.33203125" style="50" customWidth="1"/>
    <col min="10501" max="10501" width="15.1640625" style="50" customWidth="1"/>
    <col min="10502" max="10502" width="21.33203125" style="50" customWidth="1"/>
    <col min="10503" max="10752" width="10.83203125" style="50"/>
    <col min="10753" max="10753" width="6" style="50" customWidth="1"/>
    <col min="10754" max="10754" width="40.83203125" style="50" customWidth="1"/>
    <col min="10755" max="10755" width="40" style="50" customWidth="1"/>
    <col min="10756" max="10756" width="23.33203125" style="50" customWidth="1"/>
    <col min="10757" max="10757" width="15.1640625" style="50" customWidth="1"/>
    <col min="10758" max="10758" width="21.33203125" style="50" customWidth="1"/>
    <col min="10759" max="11008" width="10.83203125" style="50"/>
    <col min="11009" max="11009" width="6" style="50" customWidth="1"/>
    <col min="11010" max="11010" width="40.83203125" style="50" customWidth="1"/>
    <col min="11011" max="11011" width="40" style="50" customWidth="1"/>
    <col min="11012" max="11012" width="23.33203125" style="50" customWidth="1"/>
    <col min="11013" max="11013" width="15.1640625" style="50" customWidth="1"/>
    <col min="11014" max="11014" width="21.33203125" style="50" customWidth="1"/>
    <col min="11015" max="11264" width="10.83203125" style="50"/>
    <col min="11265" max="11265" width="6" style="50" customWidth="1"/>
    <col min="11266" max="11266" width="40.83203125" style="50" customWidth="1"/>
    <col min="11267" max="11267" width="40" style="50" customWidth="1"/>
    <col min="11268" max="11268" width="23.33203125" style="50" customWidth="1"/>
    <col min="11269" max="11269" width="15.1640625" style="50" customWidth="1"/>
    <col min="11270" max="11270" width="21.33203125" style="50" customWidth="1"/>
    <col min="11271" max="11520" width="10.83203125" style="50"/>
    <col min="11521" max="11521" width="6" style="50" customWidth="1"/>
    <col min="11522" max="11522" width="40.83203125" style="50" customWidth="1"/>
    <col min="11523" max="11523" width="40" style="50" customWidth="1"/>
    <col min="11524" max="11524" width="23.33203125" style="50" customWidth="1"/>
    <col min="11525" max="11525" width="15.1640625" style="50" customWidth="1"/>
    <col min="11526" max="11526" width="21.33203125" style="50" customWidth="1"/>
    <col min="11527" max="11776" width="10.83203125" style="50"/>
    <col min="11777" max="11777" width="6" style="50" customWidth="1"/>
    <col min="11778" max="11778" width="40.83203125" style="50" customWidth="1"/>
    <col min="11779" max="11779" width="40" style="50" customWidth="1"/>
    <col min="11780" max="11780" width="23.33203125" style="50" customWidth="1"/>
    <col min="11781" max="11781" width="15.1640625" style="50" customWidth="1"/>
    <col min="11782" max="11782" width="21.33203125" style="50" customWidth="1"/>
    <col min="11783" max="12032" width="10.83203125" style="50"/>
    <col min="12033" max="12033" width="6" style="50" customWidth="1"/>
    <col min="12034" max="12034" width="40.83203125" style="50" customWidth="1"/>
    <col min="12035" max="12035" width="40" style="50" customWidth="1"/>
    <col min="12036" max="12036" width="23.33203125" style="50" customWidth="1"/>
    <col min="12037" max="12037" width="15.1640625" style="50" customWidth="1"/>
    <col min="12038" max="12038" width="21.33203125" style="50" customWidth="1"/>
    <col min="12039" max="12288" width="10.83203125" style="50"/>
    <col min="12289" max="12289" width="6" style="50" customWidth="1"/>
    <col min="12290" max="12290" width="40.83203125" style="50" customWidth="1"/>
    <col min="12291" max="12291" width="40" style="50" customWidth="1"/>
    <col min="12292" max="12292" width="23.33203125" style="50" customWidth="1"/>
    <col min="12293" max="12293" width="15.1640625" style="50" customWidth="1"/>
    <col min="12294" max="12294" width="21.33203125" style="50" customWidth="1"/>
    <col min="12295" max="12544" width="10.83203125" style="50"/>
    <col min="12545" max="12545" width="6" style="50" customWidth="1"/>
    <col min="12546" max="12546" width="40.83203125" style="50" customWidth="1"/>
    <col min="12547" max="12547" width="40" style="50" customWidth="1"/>
    <col min="12548" max="12548" width="23.33203125" style="50" customWidth="1"/>
    <col min="12549" max="12549" width="15.1640625" style="50" customWidth="1"/>
    <col min="12550" max="12550" width="21.33203125" style="50" customWidth="1"/>
    <col min="12551" max="12800" width="10.83203125" style="50"/>
    <col min="12801" max="12801" width="6" style="50" customWidth="1"/>
    <col min="12802" max="12802" width="40.83203125" style="50" customWidth="1"/>
    <col min="12803" max="12803" width="40" style="50" customWidth="1"/>
    <col min="12804" max="12804" width="23.33203125" style="50" customWidth="1"/>
    <col min="12805" max="12805" width="15.1640625" style="50" customWidth="1"/>
    <col min="12806" max="12806" width="21.33203125" style="50" customWidth="1"/>
    <col min="12807" max="13056" width="10.83203125" style="50"/>
    <col min="13057" max="13057" width="6" style="50" customWidth="1"/>
    <col min="13058" max="13058" width="40.83203125" style="50" customWidth="1"/>
    <col min="13059" max="13059" width="40" style="50" customWidth="1"/>
    <col min="13060" max="13060" width="23.33203125" style="50" customWidth="1"/>
    <col min="13061" max="13061" width="15.1640625" style="50" customWidth="1"/>
    <col min="13062" max="13062" width="21.33203125" style="50" customWidth="1"/>
    <col min="13063" max="13312" width="10.83203125" style="50"/>
    <col min="13313" max="13313" width="6" style="50" customWidth="1"/>
    <col min="13314" max="13314" width="40.83203125" style="50" customWidth="1"/>
    <col min="13315" max="13315" width="40" style="50" customWidth="1"/>
    <col min="13316" max="13316" width="23.33203125" style="50" customWidth="1"/>
    <col min="13317" max="13317" width="15.1640625" style="50" customWidth="1"/>
    <col min="13318" max="13318" width="21.33203125" style="50" customWidth="1"/>
    <col min="13319" max="13568" width="10.83203125" style="50"/>
    <col min="13569" max="13569" width="6" style="50" customWidth="1"/>
    <col min="13570" max="13570" width="40.83203125" style="50" customWidth="1"/>
    <col min="13571" max="13571" width="40" style="50" customWidth="1"/>
    <col min="13572" max="13572" width="23.33203125" style="50" customWidth="1"/>
    <col min="13573" max="13573" width="15.1640625" style="50" customWidth="1"/>
    <col min="13574" max="13574" width="21.33203125" style="50" customWidth="1"/>
    <col min="13575" max="13824" width="10.83203125" style="50"/>
    <col min="13825" max="13825" width="6" style="50" customWidth="1"/>
    <col min="13826" max="13826" width="40.83203125" style="50" customWidth="1"/>
    <col min="13827" max="13827" width="40" style="50" customWidth="1"/>
    <col min="13828" max="13828" width="23.33203125" style="50" customWidth="1"/>
    <col min="13829" max="13829" width="15.1640625" style="50" customWidth="1"/>
    <col min="13830" max="13830" width="21.33203125" style="50" customWidth="1"/>
    <col min="13831" max="14080" width="10.83203125" style="50"/>
    <col min="14081" max="14081" width="6" style="50" customWidth="1"/>
    <col min="14082" max="14082" width="40.83203125" style="50" customWidth="1"/>
    <col min="14083" max="14083" width="40" style="50" customWidth="1"/>
    <col min="14084" max="14084" width="23.33203125" style="50" customWidth="1"/>
    <col min="14085" max="14085" width="15.1640625" style="50" customWidth="1"/>
    <col min="14086" max="14086" width="21.33203125" style="50" customWidth="1"/>
    <col min="14087" max="14336" width="10.83203125" style="50"/>
    <col min="14337" max="14337" width="6" style="50" customWidth="1"/>
    <col min="14338" max="14338" width="40.83203125" style="50" customWidth="1"/>
    <col min="14339" max="14339" width="40" style="50" customWidth="1"/>
    <col min="14340" max="14340" width="23.33203125" style="50" customWidth="1"/>
    <col min="14341" max="14341" width="15.1640625" style="50" customWidth="1"/>
    <col min="14342" max="14342" width="21.33203125" style="50" customWidth="1"/>
    <col min="14343" max="14592" width="10.83203125" style="50"/>
    <col min="14593" max="14593" width="6" style="50" customWidth="1"/>
    <col min="14594" max="14594" width="40.83203125" style="50" customWidth="1"/>
    <col min="14595" max="14595" width="40" style="50" customWidth="1"/>
    <col min="14596" max="14596" width="23.33203125" style="50" customWidth="1"/>
    <col min="14597" max="14597" width="15.1640625" style="50" customWidth="1"/>
    <col min="14598" max="14598" width="21.33203125" style="50" customWidth="1"/>
    <col min="14599" max="14848" width="10.83203125" style="50"/>
    <col min="14849" max="14849" width="6" style="50" customWidth="1"/>
    <col min="14850" max="14850" width="40.83203125" style="50" customWidth="1"/>
    <col min="14851" max="14851" width="40" style="50" customWidth="1"/>
    <col min="14852" max="14852" width="23.33203125" style="50" customWidth="1"/>
    <col min="14853" max="14853" width="15.1640625" style="50" customWidth="1"/>
    <col min="14854" max="14854" width="21.33203125" style="50" customWidth="1"/>
    <col min="14855" max="15104" width="10.83203125" style="50"/>
    <col min="15105" max="15105" width="6" style="50" customWidth="1"/>
    <col min="15106" max="15106" width="40.83203125" style="50" customWidth="1"/>
    <col min="15107" max="15107" width="40" style="50" customWidth="1"/>
    <col min="15108" max="15108" width="23.33203125" style="50" customWidth="1"/>
    <col min="15109" max="15109" width="15.1640625" style="50" customWidth="1"/>
    <col min="15110" max="15110" width="21.33203125" style="50" customWidth="1"/>
    <col min="15111" max="15360" width="10.83203125" style="50"/>
    <col min="15361" max="15361" width="6" style="50" customWidth="1"/>
    <col min="15362" max="15362" width="40.83203125" style="50" customWidth="1"/>
    <col min="15363" max="15363" width="40" style="50" customWidth="1"/>
    <col min="15364" max="15364" width="23.33203125" style="50" customWidth="1"/>
    <col min="15365" max="15365" width="15.1640625" style="50" customWidth="1"/>
    <col min="15366" max="15366" width="21.33203125" style="50" customWidth="1"/>
    <col min="15367" max="15616" width="10.83203125" style="50"/>
    <col min="15617" max="15617" width="6" style="50" customWidth="1"/>
    <col min="15618" max="15618" width="40.83203125" style="50" customWidth="1"/>
    <col min="15619" max="15619" width="40" style="50" customWidth="1"/>
    <col min="15620" max="15620" width="23.33203125" style="50" customWidth="1"/>
    <col min="15621" max="15621" width="15.1640625" style="50" customWidth="1"/>
    <col min="15622" max="15622" width="21.33203125" style="50" customWidth="1"/>
    <col min="15623" max="15872" width="10.83203125" style="50"/>
    <col min="15873" max="15873" width="6" style="50" customWidth="1"/>
    <col min="15874" max="15874" width="40.83203125" style="50" customWidth="1"/>
    <col min="15875" max="15875" width="40" style="50" customWidth="1"/>
    <col min="15876" max="15876" width="23.33203125" style="50" customWidth="1"/>
    <col min="15877" max="15877" width="15.1640625" style="50" customWidth="1"/>
    <col min="15878" max="15878" width="21.33203125" style="50" customWidth="1"/>
    <col min="15879" max="16128" width="10.83203125" style="50"/>
    <col min="16129" max="16129" width="6" style="50" customWidth="1"/>
    <col min="16130" max="16130" width="40.83203125" style="50" customWidth="1"/>
    <col min="16131" max="16131" width="40" style="50" customWidth="1"/>
    <col min="16132" max="16132" width="23.33203125" style="50" customWidth="1"/>
    <col min="16133" max="16133" width="15.1640625" style="50" customWidth="1"/>
    <col min="16134" max="16134" width="21.33203125" style="50" customWidth="1"/>
    <col min="16135" max="16384" width="10.83203125" style="50"/>
  </cols>
  <sheetData>
    <row r="1" spans="1:10" ht="13" thickBot="1"/>
    <row r="2" spans="1:10" ht="28.5" customHeight="1" thickBot="1">
      <c r="C2" s="102" t="s">
        <v>443</v>
      </c>
      <c r="D2" s="103"/>
    </row>
    <row r="3" spans="1:10" ht="18.75" customHeight="1" thickBot="1">
      <c r="C3" s="65" t="s">
        <v>440</v>
      </c>
      <c r="D3" s="66">
        <f>SUM(Tableau13[TOTAL HT])</f>
        <v>314.25</v>
      </c>
    </row>
    <row r="4" spans="1:10" ht="18.75" customHeight="1" thickBot="1">
      <c r="C4" s="67" t="s">
        <v>441</v>
      </c>
      <c r="D4" s="70">
        <f>SUM(Tableau13[TOTAL TVA])</f>
        <v>62.85</v>
      </c>
    </row>
    <row r="5" spans="1:10" ht="18.75" customHeight="1" thickBot="1">
      <c r="C5" s="68" t="s">
        <v>442</v>
      </c>
      <c r="D5" s="69">
        <f>SUM(Tableau13[TOTAL TTC])</f>
        <v>377.09999999999991</v>
      </c>
    </row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61" t="s">
        <v>23</v>
      </c>
      <c r="G8" s="61" t="s">
        <v>24</v>
      </c>
      <c r="H8" s="64" t="s">
        <v>4</v>
      </c>
      <c r="I8" s="53" t="s">
        <v>445</v>
      </c>
      <c r="J8" s="53" t="s">
        <v>446</v>
      </c>
    </row>
    <row r="9" spans="1:10">
      <c r="A9" s="56" t="s">
        <v>25</v>
      </c>
      <c r="B9" s="56" t="s">
        <v>26</v>
      </c>
      <c r="C9" s="57">
        <v>1314</v>
      </c>
      <c r="D9" s="57">
        <v>10</v>
      </c>
      <c r="E9" s="58">
        <v>31.424999999999997</v>
      </c>
      <c r="F9" s="59">
        <f t="shared" ref="F9:F30" si="0">E9*$G$7</f>
        <v>6.2850000000000001</v>
      </c>
      <c r="G9" s="58">
        <f t="shared" ref="G9:G30" si="1">E9+F9</f>
        <v>37.709999999999994</v>
      </c>
      <c r="H9" s="58">
        <f>IF(Tableau13[[#This Row],[QUANTITES]]="","",Tableau13[[#This Row],[QUANTITES]]*Tableau13[[#This Row],[PRIX VENTE HT]])</f>
        <v>314.25</v>
      </c>
      <c r="I9" s="58">
        <f>IF(Tableau13[[#This Row],[QUANTITES]]="","",Tableau13[[#This Row],[QUANTITES]]*Tableau13[[#This Row],[MONTANT TVA]])</f>
        <v>62.85</v>
      </c>
      <c r="J9" s="58">
        <f>IF(Tableau13[[#This Row],[QUANTITES]]="","",Tableau13[[#This Row],[QUANTITES]]*Tableau13[[#This Row],[PRIX DE VENTE TTC]])</f>
        <v>377.09999999999991</v>
      </c>
    </row>
    <row r="10" spans="1:10">
      <c r="A10" s="56" t="s">
        <v>27</v>
      </c>
      <c r="B10" s="56" t="s">
        <v>28</v>
      </c>
      <c r="C10" s="57">
        <v>1540</v>
      </c>
      <c r="D10" s="57"/>
      <c r="E10" s="58">
        <v>11.625</v>
      </c>
      <c r="F10" s="58">
        <f t="shared" si="0"/>
        <v>2.3250000000000002</v>
      </c>
      <c r="G10" s="58">
        <f t="shared" si="1"/>
        <v>13.95</v>
      </c>
      <c r="H10" s="58" t="str">
        <f>IF(Tableau13[[#This Row],[QUANTITES]]="","",Tableau13[[#This Row],[QUANTITES]]*Tableau13[[#This Row],[PRIX VENTE HT]])</f>
        <v/>
      </c>
      <c r="I10" s="58" t="str">
        <f>IF(Tableau13[[#This Row],[QUANTITES]]="","",Tableau13[[#This Row],[QUANTITES]]*Tableau13[[#This Row],[MONTANT TVA]])</f>
        <v/>
      </c>
      <c r="J10" s="58" t="str">
        <f>IF(Tableau13[[#This Row],[QUANTITES]]="","",Tableau13[[#This Row],[QUANTITES]]*Tableau13[[#This Row],[PRIX DE VENTE TTC]])</f>
        <v/>
      </c>
    </row>
    <row r="11" spans="1:10">
      <c r="A11" s="56" t="s">
        <v>29</v>
      </c>
      <c r="B11" s="56" t="s">
        <v>30</v>
      </c>
      <c r="C11" s="56" t="s">
        <v>31</v>
      </c>
      <c r="D11" s="57"/>
      <c r="E11" s="58">
        <v>14.25</v>
      </c>
      <c r="F11" s="58">
        <f t="shared" si="0"/>
        <v>2.85</v>
      </c>
      <c r="G11" s="58">
        <f t="shared" si="1"/>
        <v>17.100000000000001</v>
      </c>
      <c r="H11" s="58" t="str">
        <f>IF(Tableau13[[#This Row],[QUANTITES]]="","",Tableau13[[#This Row],[QUANTITES]]*Tableau13[[#This Row],[PRIX VENTE HT]])</f>
        <v/>
      </c>
      <c r="I11" s="58" t="str">
        <f>IF(Tableau13[[#This Row],[QUANTITES]]="","",Tableau13[[#This Row],[QUANTITES]]*Tableau13[[#This Row],[MONTANT TVA]])</f>
        <v/>
      </c>
      <c r="J11" s="58" t="str">
        <f>IF(Tableau13[[#This Row],[QUANTITES]]="","",Tableau13[[#This Row],[QUANTITES]]*Tableau13[[#This Row],[PRIX DE VENTE TTC]])</f>
        <v/>
      </c>
    </row>
    <row r="12" spans="1:10">
      <c r="A12" s="56" t="s">
        <v>32</v>
      </c>
      <c r="B12" s="56" t="s">
        <v>33</v>
      </c>
      <c r="C12" s="56" t="s">
        <v>34</v>
      </c>
      <c r="D12" s="57"/>
      <c r="E12" s="58">
        <v>14.924999999999999</v>
      </c>
      <c r="F12" s="58">
        <f t="shared" si="0"/>
        <v>2.9849999999999999</v>
      </c>
      <c r="G12" s="58">
        <f t="shared" si="1"/>
        <v>17.91</v>
      </c>
      <c r="H12" s="58" t="str">
        <f>IF(Tableau13[[#This Row],[QUANTITES]]="","",Tableau13[[#This Row],[QUANTITES]]*Tableau13[[#This Row],[PRIX VENTE HT]])</f>
        <v/>
      </c>
      <c r="I12" s="58" t="str">
        <f>IF(Tableau13[[#This Row],[QUANTITES]]="","",Tableau13[[#This Row],[QUANTITES]]*Tableau13[[#This Row],[MONTANT TVA]])</f>
        <v/>
      </c>
      <c r="J12" s="58" t="str">
        <f>IF(Tableau13[[#This Row],[QUANTITES]]="","",Tableau13[[#This Row],[QUANTITES]]*Tableau13[[#This Row],[PRIX DE VENTE TTC]])</f>
        <v/>
      </c>
    </row>
    <row r="13" spans="1:10">
      <c r="A13" s="56" t="s">
        <v>35</v>
      </c>
      <c r="B13" s="56" t="s">
        <v>36</v>
      </c>
      <c r="C13" s="57" t="s">
        <v>37</v>
      </c>
      <c r="D13" s="57"/>
      <c r="E13" s="58">
        <v>31.5</v>
      </c>
      <c r="F13" s="58">
        <f t="shared" si="0"/>
        <v>6.3000000000000007</v>
      </c>
      <c r="G13" s="58">
        <f t="shared" si="1"/>
        <v>37.799999999999997</v>
      </c>
      <c r="H13" s="58" t="str">
        <f>IF(Tableau13[[#This Row],[QUANTITES]]="","",Tableau13[[#This Row],[QUANTITES]]*Tableau13[[#This Row],[PRIX VENTE HT]])</f>
        <v/>
      </c>
      <c r="I13" s="58" t="str">
        <f>IF(Tableau13[[#This Row],[QUANTITES]]="","",Tableau13[[#This Row],[QUANTITES]]*Tableau13[[#This Row],[MONTANT TVA]])</f>
        <v/>
      </c>
      <c r="J13" s="58" t="str">
        <f>IF(Tableau13[[#This Row],[QUANTITES]]="","",Tableau13[[#This Row],[QUANTITES]]*Tableau13[[#This Row],[PRIX DE VENTE TTC]])</f>
        <v/>
      </c>
    </row>
    <row r="14" spans="1:10">
      <c r="A14" s="56" t="s">
        <v>38</v>
      </c>
      <c r="B14" s="56" t="s">
        <v>39</v>
      </c>
      <c r="C14" s="56" t="s">
        <v>40</v>
      </c>
      <c r="D14" s="57"/>
      <c r="E14" s="58">
        <v>24.48</v>
      </c>
      <c r="F14" s="58">
        <f t="shared" si="0"/>
        <v>4.8960000000000008</v>
      </c>
      <c r="G14" s="58">
        <f t="shared" si="1"/>
        <v>29.376000000000001</v>
      </c>
      <c r="H14" s="58" t="str">
        <f>IF(Tableau13[[#This Row],[QUANTITES]]="","",Tableau13[[#This Row],[QUANTITES]]*Tableau13[[#This Row],[PRIX VENTE HT]])</f>
        <v/>
      </c>
      <c r="I14" s="58" t="str">
        <f>IF(Tableau13[[#This Row],[QUANTITES]]="","",Tableau13[[#This Row],[QUANTITES]]*Tableau13[[#This Row],[MONTANT TVA]])</f>
        <v/>
      </c>
      <c r="J14" s="58" t="str">
        <f>IF(Tableau13[[#This Row],[QUANTITES]]="","",Tableau13[[#This Row],[QUANTITES]]*Tableau13[[#This Row],[PRIX DE VENTE TTC]])</f>
        <v/>
      </c>
    </row>
    <row r="15" spans="1:10" ht="13">
      <c r="A15" s="56" t="s">
        <v>41</v>
      </c>
      <c r="B15" s="60" t="s">
        <v>42</v>
      </c>
      <c r="C15" s="56" t="s">
        <v>43</v>
      </c>
      <c r="D15" s="57"/>
      <c r="E15" s="58">
        <v>109.30500000000001</v>
      </c>
      <c r="F15" s="58">
        <f t="shared" si="0"/>
        <v>21.861000000000004</v>
      </c>
      <c r="G15" s="58">
        <f t="shared" si="1"/>
        <v>131.166</v>
      </c>
      <c r="H15" s="58" t="str">
        <f>IF(Tableau13[[#This Row],[QUANTITES]]="","",Tableau13[[#This Row],[QUANTITES]]*Tableau13[[#This Row],[PRIX VENTE HT]])</f>
        <v/>
      </c>
      <c r="I15" s="58" t="str">
        <f>IF(Tableau13[[#This Row],[QUANTITES]]="","",Tableau13[[#This Row],[QUANTITES]]*Tableau13[[#This Row],[MONTANT TVA]])</f>
        <v/>
      </c>
      <c r="J15" s="58" t="str">
        <f>IF(Tableau13[[#This Row],[QUANTITES]]="","",Tableau13[[#This Row],[QUANTITES]]*Tableau13[[#This Row],[PRIX DE VENTE TTC]])</f>
        <v/>
      </c>
    </row>
    <row r="16" spans="1:10" ht="13">
      <c r="A16" s="56" t="s">
        <v>44</v>
      </c>
      <c r="B16" s="60" t="s">
        <v>45</v>
      </c>
      <c r="C16" s="56" t="s">
        <v>46</v>
      </c>
      <c r="D16" s="57"/>
      <c r="E16" s="58">
        <v>8.9250000000000007</v>
      </c>
      <c r="F16" s="58">
        <f t="shared" si="0"/>
        <v>1.7850000000000001</v>
      </c>
      <c r="G16" s="58">
        <f t="shared" si="1"/>
        <v>10.71</v>
      </c>
      <c r="H16" s="58" t="str">
        <f>IF(Tableau13[[#This Row],[QUANTITES]]="","",Tableau13[[#This Row],[QUANTITES]]*Tableau13[[#This Row],[PRIX VENTE HT]])</f>
        <v/>
      </c>
      <c r="I16" s="58" t="str">
        <f>IF(Tableau13[[#This Row],[QUANTITES]]="","",Tableau13[[#This Row],[QUANTITES]]*Tableau13[[#This Row],[MONTANT TVA]])</f>
        <v/>
      </c>
      <c r="J16" s="58" t="str">
        <f>IF(Tableau13[[#This Row],[QUANTITES]]="","",Tableau13[[#This Row],[QUANTITES]]*Tableau13[[#This Row],[PRIX DE VENTE TTC]])</f>
        <v/>
      </c>
    </row>
    <row r="17" spans="1:10">
      <c r="A17" s="56" t="s">
        <v>47</v>
      </c>
      <c r="B17" s="56" t="s">
        <v>48</v>
      </c>
      <c r="C17" s="56" t="s">
        <v>49</v>
      </c>
      <c r="D17" s="57"/>
      <c r="E17" s="58">
        <v>22.424999999999997</v>
      </c>
      <c r="F17" s="58">
        <f t="shared" si="0"/>
        <v>4.4849999999999994</v>
      </c>
      <c r="G17" s="58">
        <f t="shared" si="1"/>
        <v>26.909999999999997</v>
      </c>
      <c r="H17" s="58" t="str">
        <f>IF(Tableau13[[#This Row],[QUANTITES]]="","",Tableau13[[#This Row],[QUANTITES]]*Tableau13[[#This Row],[PRIX VENTE HT]])</f>
        <v/>
      </c>
      <c r="I17" s="58" t="str">
        <f>IF(Tableau13[[#This Row],[QUANTITES]]="","",Tableau13[[#This Row],[QUANTITES]]*Tableau13[[#This Row],[MONTANT TVA]])</f>
        <v/>
      </c>
      <c r="J17" s="58" t="str">
        <f>IF(Tableau13[[#This Row],[QUANTITES]]="","",Tableau13[[#This Row],[QUANTITES]]*Tableau13[[#This Row],[PRIX DE VENTE TTC]])</f>
        <v/>
      </c>
    </row>
    <row r="18" spans="1:10">
      <c r="A18" s="56" t="s">
        <v>50</v>
      </c>
      <c r="B18" s="56" t="s">
        <v>51</v>
      </c>
      <c r="C18" s="56" t="s">
        <v>52</v>
      </c>
      <c r="D18" s="57"/>
      <c r="E18" s="58">
        <v>7.5</v>
      </c>
      <c r="F18" s="58">
        <f t="shared" si="0"/>
        <v>1.5</v>
      </c>
      <c r="G18" s="58">
        <f t="shared" si="1"/>
        <v>9</v>
      </c>
      <c r="H18" s="58" t="str">
        <f>IF(Tableau13[[#This Row],[QUANTITES]]="","",Tableau13[[#This Row],[QUANTITES]]*Tableau13[[#This Row],[PRIX VENTE HT]])</f>
        <v/>
      </c>
      <c r="I18" s="58" t="str">
        <f>IF(Tableau13[[#This Row],[QUANTITES]]="","",Tableau13[[#This Row],[QUANTITES]]*Tableau13[[#This Row],[MONTANT TVA]])</f>
        <v/>
      </c>
      <c r="J18" s="58" t="str">
        <f>IF(Tableau13[[#This Row],[QUANTITES]]="","",Tableau13[[#This Row],[QUANTITES]]*Tableau13[[#This Row],[PRIX DE VENTE TTC]])</f>
        <v/>
      </c>
    </row>
    <row r="19" spans="1:10">
      <c r="A19" s="56" t="s">
        <v>53</v>
      </c>
      <c r="B19" s="56" t="s">
        <v>54</v>
      </c>
      <c r="C19" s="57" t="s">
        <v>55</v>
      </c>
      <c r="D19" s="57"/>
      <c r="E19" s="58">
        <v>10.5</v>
      </c>
      <c r="F19" s="58">
        <f t="shared" si="0"/>
        <v>2.1</v>
      </c>
      <c r="G19" s="58">
        <f t="shared" si="1"/>
        <v>12.6</v>
      </c>
      <c r="H19" s="58" t="str">
        <f>IF(Tableau13[[#This Row],[QUANTITES]]="","",Tableau13[[#This Row],[QUANTITES]]*Tableau13[[#This Row],[PRIX VENTE HT]])</f>
        <v/>
      </c>
      <c r="I19" s="58" t="str">
        <f>IF(Tableau13[[#This Row],[QUANTITES]]="","",Tableau13[[#This Row],[QUANTITES]]*Tableau13[[#This Row],[MONTANT TVA]])</f>
        <v/>
      </c>
      <c r="J19" s="58" t="str">
        <f>IF(Tableau13[[#This Row],[QUANTITES]]="","",Tableau13[[#This Row],[QUANTITES]]*Tableau13[[#This Row],[PRIX DE VENTE TTC]])</f>
        <v/>
      </c>
    </row>
    <row r="20" spans="1:10">
      <c r="A20" s="56" t="s">
        <v>56</v>
      </c>
      <c r="B20" s="56" t="s">
        <v>57</v>
      </c>
      <c r="C20" s="56" t="s">
        <v>58</v>
      </c>
      <c r="D20" s="57"/>
      <c r="E20" s="58">
        <v>13.620000000000001</v>
      </c>
      <c r="F20" s="58">
        <f t="shared" si="0"/>
        <v>2.7240000000000002</v>
      </c>
      <c r="G20" s="58">
        <f t="shared" si="1"/>
        <v>16.344000000000001</v>
      </c>
      <c r="H20" s="58" t="str">
        <f>IF(Tableau13[[#This Row],[QUANTITES]]="","",Tableau13[[#This Row],[QUANTITES]]*Tableau13[[#This Row],[PRIX VENTE HT]])</f>
        <v/>
      </c>
      <c r="I20" s="58" t="str">
        <f>IF(Tableau13[[#This Row],[QUANTITES]]="","",Tableau13[[#This Row],[QUANTITES]]*Tableau13[[#This Row],[MONTANT TVA]])</f>
        <v/>
      </c>
      <c r="J20" s="58" t="str">
        <f>IF(Tableau13[[#This Row],[QUANTITES]]="","",Tableau13[[#This Row],[QUANTITES]]*Tableau13[[#This Row],[PRIX DE VENTE TTC]])</f>
        <v/>
      </c>
    </row>
    <row r="21" spans="1:10">
      <c r="A21" s="56" t="s">
        <v>59</v>
      </c>
      <c r="B21" s="56" t="s">
        <v>60</v>
      </c>
      <c r="C21" s="57" t="s">
        <v>61</v>
      </c>
      <c r="D21" s="57"/>
      <c r="E21" s="58">
        <v>22.89</v>
      </c>
      <c r="F21" s="58">
        <f t="shared" si="0"/>
        <v>4.5780000000000003</v>
      </c>
      <c r="G21" s="58">
        <f t="shared" si="1"/>
        <v>27.468</v>
      </c>
      <c r="H21" s="58" t="str">
        <f>IF(Tableau13[[#This Row],[QUANTITES]]="","",Tableau13[[#This Row],[QUANTITES]]*Tableau13[[#This Row],[PRIX VENTE HT]])</f>
        <v/>
      </c>
      <c r="I21" s="58" t="str">
        <f>IF(Tableau13[[#This Row],[QUANTITES]]="","",Tableau13[[#This Row],[QUANTITES]]*Tableau13[[#This Row],[MONTANT TVA]])</f>
        <v/>
      </c>
      <c r="J21" s="58" t="str">
        <f>IF(Tableau13[[#This Row],[QUANTITES]]="","",Tableau13[[#This Row],[QUANTITES]]*Tableau13[[#This Row],[PRIX DE VENTE TTC]])</f>
        <v/>
      </c>
    </row>
    <row r="22" spans="1:10">
      <c r="A22" s="56" t="s">
        <v>62</v>
      </c>
      <c r="B22" s="56" t="s">
        <v>63</v>
      </c>
      <c r="C22" s="57" t="s">
        <v>64</v>
      </c>
      <c r="D22" s="57"/>
      <c r="E22" s="58">
        <v>14.339999999999998</v>
      </c>
      <c r="F22" s="58">
        <f t="shared" si="0"/>
        <v>2.8679999999999999</v>
      </c>
      <c r="G22" s="58">
        <f t="shared" si="1"/>
        <v>17.207999999999998</v>
      </c>
      <c r="H22" s="58" t="str">
        <f>IF(Tableau13[[#This Row],[QUANTITES]]="","",Tableau13[[#This Row],[QUANTITES]]*Tableau13[[#This Row],[PRIX VENTE HT]])</f>
        <v/>
      </c>
      <c r="I22" s="58" t="str">
        <f>IF(Tableau13[[#This Row],[QUANTITES]]="","",Tableau13[[#This Row],[QUANTITES]]*Tableau13[[#This Row],[MONTANT TVA]])</f>
        <v/>
      </c>
      <c r="J22" s="58" t="str">
        <f>IF(Tableau13[[#This Row],[QUANTITES]]="","",Tableau13[[#This Row],[QUANTITES]]*Tableau13[[#This Row],[PRIX DE VENTE TTC]])</f>
        <v/>
      </c>
    </row>
    <row r="23" spans="1:10">
      <c r="A23" s="56" t="s">
        <v>65</v>
      </c>
      <c r="B23" s="56" t="s">
        <v>66</v>
      </c>
      <c r="C23" s="57" t="s">
        <v>67</v>
      </c>
      <c r="D23" s="57"/>
      <c r="E23" s="58">
        <v>9.6000000000000014</v>
      </c>
      <c r="F23" s="58">
        <f t="shared" si="0"/>
        <v>1.9200000000000004</v>
      </c>
      <c r="G23" s="58">
        <f t="shared" si="1"/>
        <v>11.520000000000001</v>
      </c>
      <c r="H23" s="58" t="str">
        <f>IF(Tableau13[[#This Row],[QUANTITES]]="","",Tableau13[[#This Row],[QUANTITES]]*Tableau13[[#This Row],[PRIX VENTE HT]])</f>
        <v/>
      </c>
      <c r="I23" s="58" t="str">
        <f>IF(Tableau13[[#This Row],[QUANTITES]]="","",Tableau13[[#This Row],[QUANTITES]]*Tableau13[[#This Row],[MONTANT TVA]])</f>
        <v/>
      </c>
      <c r="J23" s="58" t="str">
        <f>IF(Tableau13[[#This Row],[QUANTITES]]="","",Tableau13[[#This Row],[QUANTITES]]*Tableau13[[#This Row],[PRIX DE VENTE TTC]])</f>
        <v/>
      </c>
    </row>
    <row r="24" spans="1:10">
      <c r="A24" s="56" t="s">
        <v>68</v>
      </c>
      <c r="B24" s="56" t="s">
        <v>69</v>
      </c>
      <c r="C24" s="56" t="s">
        <v>70</v>
      </c>
      <c r="D24" s="57"/>
      <c r="E24" s="58">
        <v>181.5</v>
      </c>
      <c r="F24" s="58">
        <f t="shared" si="0"/>
        <v>36.300000000000004</v>
      </c>
      <c r="G24" s="58">
        <f t="shared" si="1"/>
        <v>217.8</v>
      </c>
      <c r="H24" s="58" t="str">
        <f>IF(Tableau13[[#This Row],[QUANTITES]]="","",Tableau13[[#This Row],[QUANTITES]]*Tableau13[[#This Row],[PRIX VENTE HT]])</f>
        <v/>
      </c>
      <c r="I24" s="58" t="str">
        <f>IF(Tableau13[[#This Row],[QUANTITES]]="","",Tableau13[[#This Row],[QUANTITES]]*Tableau13[[#This Row],[MONTANT TVA]])</f>
        <v/>
      </c>
      <c r="J24" s="58" t="str">
        <f>IF(Tableau13[[#This Row],[QUANTITES]]="","",Tableau13[[#This Row],[QUANTITES]]*Tableau13[[#This Row],[PRIX DE VENTE TTC]])</f>
        <v/>
      </c>
    </row>
    <row r="25" spans="1:10">
      <c r="A25" s="56" t="s">
        <v>71</v>
      </c>
      <c r="B25" s="56" t="s">
        <v>72</v>
      </c>
      <c r="C25" s="56" t="s">
        <v>70</v>
      </c>
      <c r="D25" s="57"/>
      <c r="E25" s="58">
        <v>172.5</v>
      </c>
      <c r="F25" s="58">
        <f t="shared" si="0"/>
        <v>34.5</v>
      </c>
      <c r="G25" s="58">
        <f t="shared" si="1"/>
        <v>207</v>
      </c>
      <c r="H25" s="58" t="str">
        <f>IF(Tableau13[[#This Row],[QUANTITES]]="","",Tableau13[[#This Row],[QUANTITES]]*Tableau13[[#This Row],[PRIX VENTE HT]])</f>
        <v/>
      </c>
      <c r="I25" s="58" t="str">
        <f>IF(Tableau13[[#This Row],[QUANTITES]]="","",Tableau13[[#This Row],[QUANTITES]]*Tableau13[[#This Row],[MONTANT TVA]])</f>
        <v/>
      </c>
      <c r="J25" s="58" t="str">
        <f>IF(Tableau13[[#This Row],[QUANTITES]]="","",Tableau13[[#This Row],[QUANTITES]]*Tableau13[[#This Row],[PRIX DE VENTE TTC]])</f>
        <v/>
      </c>
    </row>
    <row r="26" spans="1:10">
      <c r="A26" s="56" t="s">
        <v>73</v>
      </c>
      <c r="B26" s="56" t="s">
        <v>74</v>
      </c>
      <c r="C26" s="56" t="s">
        <v>70</v>
      </c>
      <c r="D26" s="57"/>
      <c r="E26" s="58">
        <v>201</v>
      </c>
      <c r="F26" s="58">
        <f t="shared" si="0"/>
        <v>40.200000000000003</v>
      </c>
      <c r="G26" s="58">
        <f t="shared" si="1"/>
        <v>241.2</v>
      </c>
      <c r="H26" s="58" t="str">
        <f>IF(Tableau13[[#This Row],[QUANTITES]]="","",Tableau13[[#This Row],[QUANTITES]]*Tableau13[[#This Row],[PRIX VENTE HT]])</f>
        <v/>
      </c>
      <c r="I26" s="58" t="str">
        <f>IF(Tableau13[[#This Row],[QUANTITES]]="","",Tableau13[[#This Row],[QUANTITES]]*Tableau13[[#This Row],[MONTANT TVA]])</f>
        <v/>
      </c>
      <c r="J26" s="58" t="str">
        <f>IF(Tableau13[[#This Row],[QUANTITES]]="","",Tableau13[[#This Row],[QUANTITES]]*Tableau13[[#This Row],[PRIX DE VENTE TTC]])</f>
        <v/>
      </c>
    </row>
    <row r="27" spans="1:10">
      <c r="A27" s="56" t="s">
        <v>75</v>
      </c>
      <c r="B27" s="56" t="s">
        <v>76</v>
      </c>
      <c r="C27" s="56" t="s">
        <v>77</v>
      </c>
      <c r="D27" s="57"/>
      <c r="E27" s="58">
        <v>102</v>
      </c>
      <c r="F27" s="58">
        <f t="shared" si="0"/>
        <v>20.400000000000002</v>
      </c>
      <c r="G27" s="58">
        <f t="shared" si="1"/>
        <v>122.4</v>
      </c>
      <c r="H27" s="58" t="str">
        <f>IF(Tableau13[[#This Row],[QUANTITES]]="","",Tableau13[[#This Row],[QUANTITES]]*Tableau13[[#This Row],[PRIX VENTE HT]])</f>
        <v/>
      </c>
      <c r="I27" s="58" t="str">
        <f>IF(Tableau13[[#This Row],[QUANTITES]]="","",Tableau13[[#This Row],[QUANTITES]]*Tableau13[[#This Row],[MONTANT TVA]])</f>
        <v/>
      </c>
      <c r="J27" s="58" t="str">
        <f>IF(Tableau13[[#This Row],[QUANTITES]]="","",Tableau13[[#This Row],[QUANTITES]]*Tableau13[[#This Row],[PRIX DE VENTE TTC]])</f>
        <v/>
      </c>
    </row>
    <row r="28" spans="1:10">
      <c r="A28" s="56" t="s">
        <v>78</v>
      </c>
      <c r="B28" s="56" t="s">
        <v>79</v>
      </c>
      <c r="C28" s="57" t="s">
        <v>80</v>
      </c>
      <c r="D28" s="57"/>
      <c r="E28" s="58">
        <v>114</v>
      </c>
      <c r="F28" s="58">
        <f t="shared" si="0"/>
        <v>22.8</v>
      </c>
      <c r="G28" s="58">
        <f t="shared" si="1"/>
        <v>136.80000000000001</v>
      </c>
      <c r="H28" s="58" t="str">
        <f>IF(Tableau13[[#This Row],[QUANTITES]]="","",Tableau13[[#This Row],[QUANTITES]]*Tableau13[[#This Row],[PRIX VENTE HT]])</f>
        <v/>
      </c>
      <c r="I28" s="58" t="str">
        <f>IF(Tableau13[[#This Row],[QUANTITES]]="","",Tableau13[[#This Row],[QUANTITES]]*Tableau13[[#This Row],[MONTANT TVA]])</f>
        <v/>
      </c>
      <c r="J28" s="58" t="str">
        <f>IF(Tableau13[[#This Row],[QUANTITES]]="","",Tableau13[[#This Row],[QUANTITES]]*Tableau13[[#This Row],[PRIX DE VENTE TTC]])</f>
        <v/>
      </c>
    </row>
    <row r="29" spans="1:10">
      <c r="A29" s="56" t="s">
        <v>81</v>
      </c>
      <c r="B29" s="56" t="s">
        <v>82</v>
      </c>
      <c r="C29" s="57" t="s">
        <v>83</v>
      </c>
      <c r="D29" s="57"/>
      <c r="E29" s="58">
        <v>112.2</v>
      </c>
      <c r="F29" s="58">
        <f t="shared" si="0"/>
        <v>22.44</v>
      </c>
      <c r="G29" s="58">
        <f t="shared" si="1"/>
        <v>134.64000000000001</v>
      </c>
      <c r="H29" s="58" t="str">
        <f>IF(Tableau13[[#This Row],[QUANTITES]]="","",Tableau13[[#This Row],[QUANTITES]]*Tableau13[[#This Row],[PRIX VENTE HT]])</f>
        <v/>
      </c>
      <c r="I29" s="58" t="str">
        <f>IF(Tableau13[[#This Row],[QUANTITES]]="","",Tableau13[[#This Row],[QUANTITES]]*Tableau13[[#This Row],[MONTANT TVA]])</f>
        <v/>
      </c>
      <c r="J29" s="58" t="str">
        <f>IF(Tableau13[[#This Row],[QUANTITES]]="","",Tableau13[[#This Row],[QUANTITES]]*Tableau13[[#This Row],[PRIX DE VENTE TTC]])</f>
        <v/>
      </c>
    </row>
    <row r="30" spans="1:10">
      <c r="A30" s="56" t="s">
        <v>84</v>
      </c>
      <c r="B30" s="56" t="s">
        <v>85</v>
      </c>
      <c r="C30" s="57" t="s">
        <v>86</v>
      </c>
      <c r="D30" s="57"/>
      <c r="E30" s="58">
        <v>64.599999999999994</v>
      </c>
      <c r="F30" s="58">
        <f t="shared" si="0"/>
        <v>12.92</v>
      </c>
      <c r="G30" s="58">
        <f t="shared" si="1"/>
        <v>77.52</v>
      </c>
      <c r="H30" s="58" t="str">
        <f>IF(Tableau13[[#This Row],[QUANTITES]]="","",Tableau13[[#This Row],[QUANTITES]]*Tableau13[[#This Row],[PRIX VENTE HT]])</f>
        <v/>
      </c>
      <c r="I30" s="58" t="str">
        <f>IF(Tableau13[[#This Row],[QUANTITES]]="","",Tableau13[[#This Row],[QUANTITES]]*Tableau13[[#This Row],[MONTANT TVA]])</f>
        <v/>
      </c>
      <c r="J30" s="58" t="str">
        <f>IF(Tableau13[[#This Row],[QUANTITES]]="","",Tableau13[[#This Row],[QUANTITES]]*Tableau13[[#This Row],[PRIX DE VENTE TTC]])</f>
        <v/>
      </c>
    </row>
  </sheetData>
  <mergeCells count="1">
    <mergeCell ref="C2:D2"/>
  </mergeCells>
  <pageMargins left="0.78740157480314965" right="0.78740157480314965" top="0.98425196850393704" bottom="0.98425196850393704" header="0.51181102362204722" footer="0.51181102362204722"/>
  <pageSetup paperSize="9" scale="61" orientation="landscape"/>
  <headerFooter alignWithMargins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6:J15"/>
  <sheetViews>
    <sheetView showGridLines="0" workbookViewId="0">
      <selection activeCell="D22" sqref="D22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61" t="s">
        <v>23</v>
      </c>
      <c r="G8" s="61" t="s">
        <v>24</v>
      </c>
      <c r="H8" s="73" t="s">
        <v>4</v>
      </c>
      <c r="I8" s="74" t="s">
        <v>445</v>
      </c>
      <c r="J8" s="75" t="s">
        <v>446</v>
      </c>
    </row>
    <row r="9" spans="1:10">
      <c r="A9" s="56" t="s">
        <v>87</v>
      </c>
      <c r="B9" s="56" t="s">
        <v>88</v>
      </c>
      <c r="C9" s="56" t="s">
        <v>89</v>
      </c>
      <c r="D9" s="56"/>
      <c r="E9" s="58">
        <v>147.69</v>
      </c>
      <c r="F9" s="58">
        <f t="shared" ref="F9:F15" si="0">E9*$G$7</f>
        <v>29.538</v>
      </c>
      <c r="G9" s="58">
        <f t="shared" ref="G9:G15" si="1">E9+F9</f>
        <v>177.22800000000001</v>
      </c>
      <c r="H9" s="71" t="str">
        <f>IF(Tableau134[[#This Row],[QUANTITES]]="","",Tableau134[[#This Row],[QUANTITES]]*Tableau134[[#This Row],[PRIX VENTE HT]])</f>
        <v/>
      </c>
      <c r="I9" s="71" t="str">
        <f>IF(Tableau134[[#This Row],[QUANTITES]]="","",Tableau134[[#This Row],[QUANTITES]]*Tableau134[[#This Row],[MONTANT TVA]])</f>
        <v/>
      </c>
      <c r="J9" s="71" t="str">
        <f>IF(Tableau134[[#This Row],[QUANTITES]]="","",Tableau134[[#This Row],[QUANTITES]]*Tableau134[[#This Row],[PRIX DE VENTE TTC]])</f>
        <v/>
      </c>
    </row>
    <row r="10" spans="1:10">
      <c r="A10" s="56" t="s">
        <v>90</v>
      </c>
      <c r="B10" s="56" t="s">
        <v>91</v>
      </c>
      <c r="C10" s="56" t="s">
        <v>92</v>
      </c>
      <c r="D10" s="56"/>
      <c r="E10" s="58">
        <v>97.664999999999992</v>
      </c>
      <c r="F10" s="58">
        <f t="shared" si="0"/>
        <v>19.533000000000001</v>
      </c>
      <c r="G10" s="58">
        <f t="shared" si="1"/>
        <v>117.19799999999999</v>
      </c>
      <c r="H10" s="72" t="str">
        <f>IF(Tableau134[[#This Row],[QUANTITES]]="","",Tableau134[[#This Row],[QUANTITES]]*Tableau134[[#This Row],[PRIX VENTE HT]])</f>
        <v/>
      </c>
      <c r="I10" s="72" t="str">
        <f>IF(Tableau134[[#This Row],[QUANTITES]]="","",Tableau134[[#This Row],[QUANTITES]]*Tableau134[[#This Row],[MONTANT TVA]])</f>
        <v/>
      </c>
      <c r="J10" s="72" t="str">
        <f>IF(Tableau134[[#This Row],[QUANTITES]]="","",Tableau134[[#This Row],[QUANTITES]]*Tableau134[[#This Row],[PRIX DE VENTE TTC]])</f>
        <v/>
      </c>
    </row>
    <row r="11" spans="1:10">
      <c r="A11" s="56" t="s">
        <v>93</v>
      </c>
      <c r="B11" s="56" t="s">
        <v>94</v>
      </c>
      <c r="C11" s="56" t="s">
        <v>95</v>
      </c>
      <c r="D11" s="56"/>
      <c r="E11" s="58">
        <v>28.08</v>
      </c>
      <c r="F11" s="58">
        <f t="shared" si="0"/>
        <v>5.6159999999999997</v>
      </c>
      <c r="G11" s="58">
        <f t="shared" si="1"/>
        <v>33.695999999999998</v>
      </c>
      <c r="H11" s="72" t="str">
        <f>IF(Tableau134[[#This Row],[QUANTITES]]="","",Tableau134[[#This Row],[QUANTITES]]*Tableau134[[#This Row],[PRIX VENTE HT]])</f>
        <v/>
      </c>
      <c r="I11" s="72" t="str">
        <f>IF(Tableau134[[#This Row],[QUANTITES]]="","",Tableau134[[#This Row],[QUANTITES]]*Tableau134[[#This Row],[MONTANT TVA]])</f>
        <v/>
      </c>
      <c r="J11" s="72" t="str">
        <f>IF(Tableau134[[#This Row],[QUANTITES]]="","",Tableau134[[#This Row],[QUANTITES]]*Tableau134[[#This Row],[PRIX DE VENTE TTC]])</f>
        <v/>
      </c>
    </row>
    <row r="12" spans="1:10">
      <c r="A12" s="56" t="s">
        <v>96</v>
      </c>
      <c r="B12" s="56" t="s">
        <v>97</v>
      </c>
      <c r="C12" s="57" t="s">
        <v>98</v>
      </c>
      <c r="D12" s="56"/>
      <c r="E12" s="58">
        <v>15.96</v>
      </c>
      <c r="F12" s="58">
        <f t="shared" si="0"/>
        <v>3.1920000000000002</v>
      </c>
      <c r="G12" s="58">
        <f t="shared" si="1"/>
        <v>19.152000000000001</v>
      </c>
      <c r="H12" s="72" t="str">
        <f>IF(Tableau134[[#This Row],[QUANTITES]]="","",Tableau134[[#This Row],[QUANTITES]]*Tableau134[[#This Row],[PRIX VENTE HT]])</f>
        <v/>
      </c>
      <c r="I12" s="72" t="str">
        <f>IF(Tableau134[[#This Row],[QUANTITES]]="","",Tableau134[[#This Row],[QUANTITES]]*Tableau134[[#This Row],[MONTANT TVA]])</f>
        <v/>
      </c>
      <c r="J12" s="72" t="str">
        <f>IF(Tableau134[[#This Row],[QUANTITES]]="","",Tableau134[[#This Row],[QUANTITES]]*Tableau134[[#This Row],[PRIX DE VENTE TTC]])</f>
        <v/>
      </c>
    </row>
    <row r="13" spans="1:10">
      <c r="A13" s="56" t="s">
        <v>99</v>
      </c>
      <c r="B13" s="56" t="s">
        <v>100</v>
      </c>
      <c r="C13" s="56" t="s">
        <v>101</v>
      </c>
      <c r="D13" s="56"/>
      <c r="E13" s="58">
        <v>23.17</v>
      </c>
      <c r="F13" s="58">
        <f t="shared" si="0"/>
        <v>4.6340000000000003</v>
      </c>
      <c r="G13" s="58">
        <f t="shared" si="1"/>
        <v>27.804000000000002</v>
      </c>
      <c r="H13" s="72" t="str">
        <f>IF(Tableau134[[#This Row],[QUANTITES]]="","",Tableau134[[#This Row],[QUANTITES]]*Tableau134[[#This Row],[PRIX VENTE HT]])</f>
        <v/>
      </c>
      <c r="I13" s="72" t="str">
        <f>IF(Tableau134[[#This Row],[QUANTITES]]="","",Tableau134[[#This Row],[QUANTITES]]*Tableau134[[#This Row],[MONTANT TVA]])</f>
        <v/>
      </c>
      <c r="J13" s="72" t="str">
        <f>IF(Tableau134[[#This Row],[QUANTITES]]="","",Tableau134[[#This Row],[QUANTITES]]*Tableau134[[#This Row],[PRIX DE VENTE TTC]])</f>
        <v/>
      </c>
    </row>
    <row r="14" spans="1:10">
      <c r="A14" s="56" t="s">
        <v>102</v>
      </c>
      <c r="B14" s="56" t="s">
        <v>103</v>
      </c>
      <c r="C14" s="56" t="s">
        <v>101</v>
      </c>
      <c r="D14" s="56"/>
      <c r="E14" s="58">
        <v>48.75</v>
      </c>
      <c r="F14" s="58">
        <f t="shared" si="0"/>
        <v>9.75</v>
      </c>
      <c r="G14" s="58">
        <f t="shared" si="1"/>
        <v>58.5</v>
      </c>
      <c r="H14" s="72" t="str">
        <f>IF(Tableau134[[#This Row],[QUANTITES]]="","",Tableau134[[#This Row],[QUANTITES]]*Tableau134[[#This Row],[PRIX VENTE HT]])</f>
        <v/>
      </c>
      <c r="I14" s="72" t="str">
        <f>IF(Tableau134[[#This Row],[QUANTITES]]="","",Tableau134[[#This Row],[QUANTITES]]*Tableau134[[#This Row],[MONTANT TVA]])</f>
        <v/>
      </c>
      <c r="J14" s="72" t="str">
        <f>IF(Tableau134[[#This Row],[QUANTITES]]="","",Tableau134[[#This Row],[QUANTITES]]*Tableau134[[#This Row],[PRIX DE VENTE TTC]])</f>
        <v/>
      </c>
    </row>
    <row r="15" spans="1:10">
      <c r="A15" s="56" t="s">
        <v>104</v>
      </c>
      <c r="B15" s="56" t="s">
        <v>105</v>
      </c>
      <c r="C15" s="56" t="s">
        <v>106</v>
      </c>
      <c r="D15" s="56"/>
      <c r="E15" s="58">
        <v>9.3000000000000007</v>
      </c>
      <c r="F15" s="58">
        <f t="shared" si="0"/>
        <v>1.8600000000000003</v>
      </c>
      <c r="G15" s="58">
        <f t="shared" si="1"/>
        <v>11.16</v>
      </c>
      <c r="H15" s="72" t="str">
        <f>IF(Tableau134[[#This Row],[QUANTITES]]="","",Tableau134[[#This Row],[QUANTITES]]*Tableau134[[#This Row],[PRIX VENTE HT]])</f>
        <v/>
      </c>
      <c r="I15" s="72" t="str">
        <f>IF(Tableau134[[#This Row],[QUANTITES]]="","",Tableau134[[#This Row],[QUANTITES]]*Tableau134[[#This Row],[MONTANT TVA]])</f>
        <v/>
      </c>
      <c r="J15" s="72" t="str">
        <f>IF(Tableau134[[#This Row],[QUANTITES]]="","",Tableau134[[#This Row],[QUANTITES]]*Tableau134[[#This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6:J27"/>
  <sheetViews>
    <sheetView showGridLines="0" workbookViewId="0">
      <selection activeCell="D10" sqref="D9:D27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>
      <c r="A9" s="56" t="s">
        <v>107</v>
      </c>
      <c r="B9" s="56" t="s">
        <v>108</v>
      </c>
      <c r="C9" s="56" t="s">
        <v>109</v>
      </c>
      <c r="D9" s="56"/>
      <c r="E9" s="58">
        <v>432.34500000000003</v>
      </c>
      <c r="F9" s="58">
        <f t="shared" ref="F9:F27" si="0">E9*$G$7</f>
        <v>86.469000000000008</v>
      </c>
      <c r="G9" s="58">
        <f t="shared" ref="G9:G27" si="1">E9+F9</f>
        <v>518.81400000000008</v>
      </c>
      <c r="H9" s="71" t="str">
        <f>IF(Tableau1345[[#This Row],[QUANTITES]]="","",Tableau1345[[#This Row],[QUANTITES]]*Tableau1345[[#This Row],[PRIX VENTE HT]])</f>
        <v/>
      </c>
      <c r="I9" s="71" t="str">
        <f>IF(Tableau1345[[#This Row],[QUANTITES]]="","",Tableau1345[[#This Row],[QUANTITES]]*Tableau1345[[#This Row],[MONTANT TVA]])</f>
        <v/>
      </c>
      <c r="J9" s="71" t="str">
        <f>IF(Tableau1345[[#This Row],[QUANTITES]]="","",Tableau1345[[#This Row],[QUANTITES]]*Tableau1345[[#This Row],[PRIX DE VENTE TTC]])</f>
        <v/>
      </c>
    </row>
    <row r="10" spans="1:10">
      <c r="A10" s="56" t="s">
        <v>110</v>
      </c>
      <c r="B10" s="56" t="s">
        <v>111</v>
      </c>
      <c r="C10" s="56" t="s">
        <v>112</v>
      </c>
      <c r="D10" s="56"/>
      <c r="E10" s="58">
        <v>73.875</v>
      </c>
      <c r="F10" s="58">
        <f t="shared" si="0"/>
        <v>14.775</v>
      </c>
      <c r="G10" s="58">
        <f t="shared" si="1"/>
        <v>88.65</v>
      </c>
      <c r="H10" s="72" t="str">
        <f>IF(Tableau1345[[#This Row],[QUANTITES]]="","",Tableau1345[[#This Row],[QUANTITES]]*Tableau1345[[#This Row],[PRIX VENTE HT]])</f>
        <v/>
      </c>
      <c r="I10" s="72" t="str">
        <f>IF(Tableau1345[[#This Row],[QUANTITES]]="","",Tableau1345[[#This Row],[QUANTITES]]*Tableau1345[[#This Row],[MONTANT TVA]])</f>
        <v/>
      </c>
      <c r="J10" s="72" t="str">
        <f>IF(Tableau1345[[#This Row],[QUANTITES]]="","",Tableau1345[[#This Row],[QUANTITES]]*Tableau1345[[#This Row],[PRIX DE VENTE TTC]])</f>
        <v/>
      </c>
    </row>
    <row r="11" spans="1:10" ht="13">
      <c r="A11" s="56" t="s">
        <v>113</v>
      </c>
      <c r="B11" s="60" t="s">
        <v>114</v>
      </c>
      <c r="C11" s="56" t="s">
        <v>115</v>
      </c>
      <c r="D11" s="56"/>
      <c r="E11" s="58">
        <v>43.29</v>
      </c>
      <c r="F11" s="58">
        <f t="shared" si="0"/>
        <v>8.6579999999999995</v>
      </c>
      <c r="G11" s="58">
        <f t="shared" si="1"/>
        <v>51.948</v>
      </c>
      <c r="H11" s="72" t="str">
        <f>IF(Tableau1345[[#This Row],[QUANTITES]]="","",Tableau1345[[#This Row],[QUANTITES]]*Tableau1345[[#This Row],[PRIX VENTE HT]])</f>
        <v/>
      </c>
      <c r="I11" s="72" t="str">
        <f>IF(Tableau1345[[#This Row],[QUANTITES]]="","",Tableau1345[[#This Row],[QUANTITES]]*Tableau1345[[#This Row],[MONTANT TVA]])</f>
        <v/>
      </c>
      <c r="J11" s="72" t="str">
        <f>IF(Tableau1345[[#This Row],[QUANTITES]]="","",Tableau1345[[#This Row],[QUANTITES]]*Tableau1345[[#This Row],[PRIX DE VENTE TTC]])</f>
        <v/>
      </c>
    </row>
    <row r="12" spans="1:10">
      <c r="A12" s="56" t="s">
        <v>116</v>
      </c>
      <c r="B12" s="56" t="s">
        <v>117</v>
      </c>
      <c r="C12" s="56" t="s">
        <v>118</v>
      </c>
      <c r="D12" s="56"/>
      <c r="E12" s="58">
        <v>44.25</v>
      </c>
      <c r="F12" s="58">
        <f t="shared" si="0"/>
        <v>8.85</v>
      </c>
      <c r="G12" s="58">
        <f t="shared" si="1"/>
        <v>53.1</v>
      </c>
      <c r="H12" s="72" t="str">
        <f>IF(Tableau1345[[#This Row],[QUANTITES]]="","",Tableau1345[[#This Row],[QUANTITES]]*Tableau1345[[#This Row],[PRIX VENTE HT]])</f>
        <v/>
      </c>
      <c r="I12" s="72" t="str">
        <f>IF(Tableau1345[[#This Row],[QUANTITES]]="","",Tableau1345[[#This Row],[QUANTITES]]*Tableau1345[[#This Row],[MONTANT TVA]])</f>
        <v/>
      </c>
      <c r="J12" s="72" t="str">
        <f>IF(Tableau1345[[#This Row],[QUANTITES]]="","",Tableau1345[[#This Row],[QUANTITES]]*Tableau1345[[#This Row],[PRIX DE VENTE TTC]])</f>
        <v/>
      </c>
    </row>
    <row r="13" spans="1:10">
      <c r="A13" s="56" t="s">
        <v>119</v>
      </c>
      <c r="B13" s="56" t="s">
        <v>120</v>
      </c>
      <c r="C13" s="56" t="s">
        <v>121</v>
      </c>
      <c r="D13" s="56"/>
      <c r="E13" s="58">
        <v>11.355</v>
      </c>
      <c r="F13" s="58">
        <f t="shared" si="0"/>
        <v>2.2710000000000004</v>
      </c>
      <c r="G13" s="58">
        <f t="shared" si="1"/>
        <v>13.626000000000001</v>
      </c>
      <c r="H13" s="72" t="str">
        <f>IF(Tableau1345[[#This Row],[QUANTITES]]="","",Tableau1345[[#This Row],[QUANTITES]]*Tableau1345[[#This Row],[PRIX VENTE HT]])</f>
        <v/>
      </c>
      <c r="I13" s="72" t="str">
        <f>IF(Tableau1345[[#This Row],[QUANTITES]]="","",Tableau1345[[#This Row],[QUANTITES]]*Tableau1345[[#This Row],[MONTANT TVA]])</f>
        <v/>
      </c>
      <c r="J13" s="72" t="str">
        <f>IF(Tableau1345[[#This Row],[QUANTITES]]="","",Tableau1345[[#This Row],[QUANTITES]]*Tableau1345[[#This Row],[PRIX DE VENTE TTC]])</f>
        <v/>
      </c>
    </row>
    <row r="14" spans="1:10">
      <c r="A14" s="56" t="s">
        <v>122</v>
      </c>
      <c r="B14" s="56" t="s">
        <v>123</v>
      </c>
      <c r="C14" s="56" t="s">
        <v>124</v>
      </c>
      <c r="D14" s="56"/>
      <c r="E14" s="58">
        <v>23.265000000000001</v>
      </c>
      <c r="F14" s="58">
        <f t="shared" si="0"/>
        <v>4.6530000000000005</v>
      </c>
      <c r="G14" s="58">
        <f t="shared" si="1"/>
        <v>27.917999999999999</v>
      </c>
      <c r="H14" s="72" t="str">
        <f>IF(Tableau1345[[#This Row],[QUANTITES]]="","",Tableau1345[[#This Row],[QUANTITES]]*Tableau1345[[#This Row],[PRIX VENTE HT]])</f>
        <v/>
      </c>
      <c r="I14" s="72" t="str">
        <f>IF(Tableau1345[[#This Row],[QUANTITES]]="","",Tableau1345[[#This Row],[QUANTITES]]*Tableau1345[[#This Row],[MONTANT TVA]])</f>
        <v/>
      </c>
      <c r="J14" s="72" t="str">
        <f>IF(Tableau1345[[#This Row],[QUANTITES]]="","",Tableau1345[[#This Row],[QUANTITES]]*Tableau1345[[#This Row],[PRIX DE VENTE TTC]])</f>
        <v/>
      </c>
    </row>
    <row r="15" spans="1:10">
      <c r="A15" s="56" t="s">
        <v>125</v>
      </c>
      <c r="B15" s="56" t="s">
        <v>126</v>
      </c>
      <c r="C15" s="56" t="s">
        <v>127</v>
      </c>
      <c r="D15" s="56"/>
      <c r="E15" s="58">
        <v>49.724999999999994</v>
      </c>
      <c r="F15" s="58">
        <f t="shared" si="0"/>
        <v>9.9450000000000003</v>
      </c>
      <c r="G15" s="58">
        <f t="shared" si="1"/>
        <v>59.669999999999995</v>
      </c>
      <c r="H15" s="72" t="str">
        <f>IF(Tableau1345[[#This Row],[QUANTITES]]="","",Tableau1345[[#This Row],[QUANTITES]]*Tableau1345[[#This Row],[PRIX VENTE HT]])</f>
        <v/>
      </c>
      <c r="I15" s="72" t="str">
        <f>IF(Tableau1345[[#This Row],[QUANTITES]]="","",Tableau1345[[#This Row],[QUANTITES]]*Tableau1345[[#This Row],[MONTANT TVA]])</f>
        <v/>
      </c>
      <c r="J15" s="72" t="str">
        <f>IF(Tableau1345[[#This Row],[QUANTITES]]="","",Tableau1345[[#This Row],[QUANTITES]]*Tableau1345[[#This Row],[PRIX DE VENTE TTC]])</f>
        <v/>
      </c>
    </row>
    <row r="16" spans="1:10" ht="13">
      <c r="A16" s="56" t="s">
        <v>128</v>
      </c>
      <c r="B16" s="60" t="s">
        <v>129</v>
      </c>
      <c r="C16" s="56" t="s">
        <v>130</v>
      </c>
      <c r="D16" s="56"/>
      <c r="E16" s="58">
        <v>3.8080000000000003</v>
      </c>
      <c r="F16" s="58">
        <f t="shared" si="0"/>
        <v>0.76160000000000005</v>
      </c>
      <c r="G16" s="58">
        <f t="shared" si="1"/>
        <v>4.5696000000000003</v>
      </c>
      <c r="H16" s="72" t="str">
        <f>IF(Tableau1345[[#This Row],[QUANTITES]]="","",Tableau1345[[#This Row],[QUANTITES]]*Tableau1345[[#This Row],[PRIX VENTE HT]])</f>
        <v/>
      </c>
      <c r="I16" s="72" t="str">
        <f>IF(Tableau1345[[#This Row],[QUANTITES]]="","",Tableau1345[[#This Row],[QUANTITES]]*Tableau1345[[#This Row],[MONTANT TVA]])</f>
        <v/>
      </c>
      <c r="J16" s="72" t="str">
        <f>IF(Tableau1345[[#This Row],[QUANTITES]]="","",Tableau1345[[#This Row],[QUANTITES]]*Tableau1345[[#This Row],[PRIX DE VENTE TTC]])</f>
        <v/>
      </c>
    </row>
    <row r="17" spans="1:10">
      <c r="A17" s="56" t="s">
        <v>131</v>
      </c>
      <c r="B17" s="56" t="s">
        <v>132</v>
      </c>
      <c r="C17" s="56" t="s">
        <v>133</v>
      </c>
      <c r="D17" s="56"/>
      <c r="E17" s="58">
        <v>1109.49</v>
      </c>
      <c r="F17" s="58">
        <f t="shared" si="0"/>
        <v>221.89800000000002</v>
      </c>
      <c r="G17" s="58">
        <f t="shared" si="1"/>
        <v>1331.3879999999999</v>
      </c>
      <c r="H17" s="72" t="str">
        <f>IF(Tableau1345[[#This Row],[QUANTITES]]="","",Tableau1345[[#This Row],[QUANTITES]]*Tableau1345[[#This Row],[PRIX VENTE HT]])</f>
        <v/>
      </c>
      <c r="I17" s="72" t="str">
        <f>IF(Tableau1345[[#This Row],[QUANTITES]]="","",Tableau1345[[#This Row],[QUANTITES]]*Tableau1345[[#This Row],[MONTANT TVA]])</f>
        <v/>
      </c>
      <c r="J17" s="72" t="str">
        <f>IF(Tableau1345[[#This Row],[QUANTITES]]="","",Tableau1345[[#This Row],[QUANTITES]]*Tableau1345[[#This Row],[PRIX DE VENTE TTC]])</f>
        <v/>
      </c>
    </row>
    <row r="18" spans="1:10">
      <c r="A18" s="56" t="s">
        <v>134</v>
      </c>
      <c r="B18" s="56" t="s">
        <v>135</v>
      </c>
      <c r="C18" s="56" t="s">
        <v>136</v>
      </c>
      <c r="D18" s="56"/>
      <c r="E18" s="58">
        <v>90</v>
      </c>
      <c r="F18" s="58">
        <f t="shared" si="0"/>
        <v>18</v>
      </c>
      <c r="G18" s="58">
        <f t="shared" si="1"/>
        <v>108</v>
      </c>
      <c r="H18" s="72" t="str">
        <f>IF(Tableau1345[[#This Row],[QUANTITES]]="","",Tableau1345[[#This Row],[QUANTITES]]*Tableau1345[[#This Row],[PRIX VENTE HT]])</f>
        <v/>
      </c>
      <c r="I18" s="72" t="str">
        <f>IF(Tableau1345[[#This Row],[QUANTITES]]="","",Tableau1345[[#This Row],[QUANTITES]]*Tableau1345[[#This Row],[MONTANT TVA]])</f>
        <v/>
      </c>
      <c r="J18" s="72" t="str">
        <f>IF(Tableau1345[[#This Row],[QUANTITES]]="","",Tableau1345[[#This Row],[QUANTITES]]*Tableau1345[[#This Row],[PRIX DE VENTE TTC]])</f>
        <v/>
      </c>
    </row>
    <row r="19" spans="1:10">
      <c r="A19" s="56" t="s">
        <v>137</v>
      </c>
      <c r="B19" s="56" t="s">
        <v>138</v>
      </c>
      <c r="C19" s="57" t="s">
        <v>136</v>
      </c>
      <c r="D19" s="56"/>
      <c r="E19" s="58">
        <v>90</v>
      </c>
      <c r="F19" s="58">
        <f t="shared" si="0"/>
        <v>18</v>
      </c>
      <c r="G19" s="58">
        <f t="shared" si="1"/>
        <v>108</v>
      </c>
      <c r="H19" s="72" t="str">
        <f>IF(Tableau1345[[#This Row],[QUANTITES]]="","",Tableau1345[[#This Row],[QUANTITES]]*Tableau1345[[#This Row],[PRIX VENTE HT]])</f>
        <v/>
      </c>
      <c r="I19" s="72" t="str">
        <f>IF(Tableau1345[[#This Row],[QUANTITES]]="","",Tableau1345[[#This Row],[QUANTITES]]*Tableau1345[[#This Row],[MONTANT TVA]])</f>
        <v/>
      </c>
      <c r="J19" s="72" t="str">
        <f>IF(Tableau1345[[#This Row],[QUANTITES]]="","",Tableau1345[[#This Row],[QUANTITES]]*Tableau1345[[#This Row],[PRIX DE VENTE TTC]])</f>
        <v/>
      </c>
    </row>
    <row r="20" spans="1:10">
      <c r="A20" s="56" t="s">
        <v>139</v>
      </c>
      <c r="B20" s="56" t="s">
        <v>140</v>
      </c>
      <c r="C20" s="56" t="s">
        <v>141</v>
      </c>
      <c r="D20" s="56"/>
      <c r="E20" s="58">
        <v>3.5999999999999996</v>
      </c>
      <c r="F20" s="58">
        <f t="shared" si="0"/>
        <v>0.72</v>
      </c>
      <c r="G20" s="58">
        <f t="shared" si="1"/>
        <v>4.3199999999999994</v>
      </c>
      <c r="H20" s="72" t="str">
        <f>IF(Tableau1345[[#This Row],[QUANTITES]]="","",Tableau1345[[#This Row],[QUANTITES]]*Tableau1345[[#This Row],[PRIX VENTE HT]])</f>
        <v/>
      </c>
      <c r="I20" s="72" t="str">
        <f>IF(Tableau1345[[#This Row],[QUANTITES]]="","",Tableau1345[[#This Row],[QUANTITES]]*Tableau1345[[#This Row],[MONTANT TVA]])</f>
        <v/>
      </c>
      <c r="J20" s="72" t="str">
        <f>IF(Tableau1345[[#This Row],[QUANTITES]]="","",Tableau1345[[#This Row],[QUANTITES]]*Tableau1345[[#This Row],[PRIX DE VENTE TTC]])</f>
        <v/>
      </c>
    </row>
    <row r="21" spans="1:10">
      <c r="A21" s="56" t="s">
        <v>142</v>
      </c>
      <c r="B21" s="56" t="s">
        <v>143</v>
      </c>
      <c r="C21" s="56" t="s">
        <v>141</v>
      </c>
      <c r="D21" s="56"/>
      <c r="E21" s="58">
        <v>21.692</v>
      </c>
      <c r="F21" s="58">
        <f t="shared" si="0"/>
        <v>4.3384</v>
      </c>
      <c r="G21" s="58">
        <f t="shared" si="1"/>
        <v>26.0304</v>
      </c>
      <c r="H21" s="72" t="str">
        <f>IF(Tableau1345[[#This Row],[QUANTITES]]="","",Tableau1345[[#This Row],[QUANTITES]]*Tableau1345[[#This Row],[PRIX VENTE HT]])</f>
        <v/>
      </c>
      <c r="I21" s="72" t="str">
        <f>IF(Tableau1345[[#This Row],[QUANTITES]]="","",Tableau1345[[#This Row],[QUANTITES]]*Tableau1345[[#This Row],[MONTANT TVA]])</f>
        <v/>
      </c>
      <c r="J21" s="72" t="str">
        <f>IF(Tableau1345[[#This Row],[QUANTITES]]="","",Tableau1345[[#This Row],[QUANTITES]]*Tableau1345[[#This Row],[PRIX DE VENTE TTC]])</f>
        <v/>
      </c>
    </row>
    <row r="22" spans="1:10">
      <c r="A22" s="56" t="s">
        <v>144</v>
      </c>
      <c r="B22" s="56" t="s">
        <v>145</v>
      </c>
      <c r="C22" s="56" t="s">
        <v>141</v>
      </c>
      <c r="D22" s="56"/>
      <c r="E22" s="58">
        <v>30.939999999999998</v>
      </c>
      <c r="F22" s="58">
        <f t="shared" si="0"/>
        <v>6.1879999999999997</v>
      </c>
      <c r="G22" s="58">
        <f t="shared" si="1"/>
        <v>37.128</v>
      </c>
      <c r="H22" s="72" t="str">
        <f>IF(Tableau1345[[#This Row],[QUANTITES]]="","",Tableau1345[[#This Row],[QUANTITES]]*Tableau1345[[#This Row],[PRIX VENTE HT]])</f>
        <v/>
      </c>
      <c r="I22" s="72" t="str">
        <f>IF(Tableau1345[[#This Row],[QUANTITES]]="","",Tableau1345[[#This Row],[QUANTITES]]*Tableau1345[[#This Row],[MONTANT TVA]])</f>
        <v/>
      </c>
      <c r="J22" s="72" t="str">
        <f>IF(Tableau1345[[#This Row],[QUANTITES]]="","",Tableau1345[[#This Row],[QUANTITES]]*Tableau1345[[#This Row],[PRIX DE VENTE TTC]])</f>
        <v/>
      </c>
    </row>
    <row r="23" spans="1:10">
      <c r="A23" s="56" t="s">
        <v>146</v>
      </c>
      <c r="B23" s="56" t="s">
        <v>147</v>
      </c>
      <c r="C23" s="56" t="s">
        <v>141</v>
      </c>
      <c r="D23" s="56"/>
      <c r="E23" s="58">
        <v>0</v>
      </c>
      <c r="F23" s="58">
        <f t="shared" si="0"/>
        <v>0</v>
      </c>
      <c r="G23" s="58">
        <f t="shared" si="1"/>
        <v>0</v>
      </c>
      <c r="H23" s="72" t="str">
        <f>IF(Tableau1345[[#This Row],[QUANTITES]]="","",Tableau1345[[#This Row],[QUANTITES]]*Tableau1345[[#This Row],[PRIX VENTE HT]])</f>
        <v/>
      </c>
      <c r="I23" s="72" t="str">
        <f>IF(Tableau1345[[#This Row],[QUANTITES]]="","",Tableau1345[[#This Row],[QUANTITES]]*Tableau1345[[#This Row],[MONTANT TVA]])</f>
        <v/>
      </c>
      <c r="J23" s="72" t="str">
        <f>IF(Tableau1345[[#This Row],[QUANTITES]]="","",Tableau1345[[#This Row],[QUANTITES]]*Tableau1345[[#This Row],[PRIX DE VENTE TTC]])</f>
        <v/>
      </c>
    </row>
    <row r="24" spans="1:10">
      <c r="A24" s="56" t="s">
        <v>148</v>
      </c>
      <c r="B24" s="56" t="s">
        <v>149</v>
      </c>
      <c r="C24" s="56" t="s">
        <v>141</v>
      </c>
      <c r="D24" s="56"/>
      <c r="E24" s="58">
        <v>56.457000000000001</v>
      </c>
      <c r="F24" s="58">
        <f t="shared" si="0"/>
        <v>11.291400000000001</v>
      </c>
      <c r="G24" s="58">
        <f t="shared" si="1"/>
        <v>67.748400000000004</v>
      </c>
      <c r="H24" s="72" t="str">
        <f>IF(Tableau1345[[#This Row],[QUANTITES]]="","",Tableau1345[[#This Row],[QUANTITES]]*Tableau1345[[#This Row],[PRIX VENTE HT]])</f>
        <v/>
      </c>
      <c r="I24" s="72" t="str">
        <f>IF(Tableau1345[[#This Row],[QUANTITES]]="","",Tableau1345[[#This Row],[QUANTITES]]*Tableau1345[[#This Row],[MONTANT TVA]])</f>
        <v/>
      </c>
      <c r="J24" s="72" t="str">
        <f>IF(Tableau1345[[#This Row],[QUANTITES]]="","",Tableau1345[[#This Row],[QUANTITES]]*Tableau1345[[#This Row],[PRIX DE VENTE TTC]])</f>
        <v/>
      </c>
    </row>
    <row r="25" spans="1:10">
      <c r="A25" s="56" t="s">
        <v>150</v>
      </c>
      <c r="B25" s="56" t="s">
        <v>151</v>
      </c>
      <c r="C25" s="56" t="s">
        <v>152</v>
      </c>
      <c r="D25" s="56"/>
      <c r="E25" s="58">
        <v>49.759</v>
      </c>
      <c r="F25" s="58">
        <f t="shared" si="0"/>
        <v>9.9518000000000004</v>
      </c>
      <c r="G25" s="58">
        <f t="shared" si="1"/>
        <v>59.710799999999999</v>
      </c>
      <c r="H25" s="72" t="str">
        <f>IF(Tableau1345[[#This Row],[QUANTITES]]="","",Tableau1345[[#This Row],[QUANTITES]]*Tableau1345[[#This Row],[PRIX VENTE HT]])</f>
        <v/>
      </c>
      <c r="I25" s="72" t="str">
        <f>IF(Tableau1345[[#This Row],[QUANTITES]]="","",Tableau1345[[#This Row],[QUANTITES]]*Tableau1345[[#This Row],[MONTANT TVA]])</f>
        <v/>
      </c>
      <c r="J25" s="72" t="str">
        <f>IF(Tableau1345[[#This Row],[QUANTITES]]="","",Tableau1345[[#This Row],[QUANTITES]]*Tableau1345[[#This Row],[PRIX DE VENTE TTC]])</f>
        <v/>
      </c>
    </row>
    <row r="26" spans="1:10">
      <c r="A26" s="56" t="s">
        <v>153</v>
      </c>
      <c r="B26" s="56" t="s">
        <v>140</v>
      </c>
      <c r="C26" s="57"/>
      <c r="D26" s="56"/>
      <c r="E26" s="58">
        <v>0</v>
      </c>
      <c r="F26" s="58">
        <f t="shared" si="0"/>
        <v>0</v>
      </c>
      <c r="G26" s="58">
        <f t="shared" si="1"/>
        <v>0</v>
      </c>
      <c r="H26" s="72" t="str">
        <f>IF(Tableau1345[[#This Row],[QUANTITES]]="","",Tableau1345[[#This Row],[QUANTITES]]*Tableau1345[[#This Row],[PRIX VENTE HT]])</f>
        <v/>
      </c>
      <c r="I26" s="72" t="str">
        <f>IF(Tableau1345[[#This Row],[QUANTITES]]="","",Tableau1345[[#This Row],[QUANTITES]]*Tableau1345[[#This Row],[MONTANT TVA]])</f>
        <v/>
      </c>
      <c r="J26" s="72" t="str">
        <f>IF(Tableau1345[[#This Row],[QUANTITES]]="","",Tableau1345[[#This Row],[QUANTITES]]*Tableau1345[[#This Row],[PRIX DE VENTE TTC]])</f>
        <v/>
      </c>
    </row>
    <row r="27" spans="1:10">
      <c r="A27" s="56" t="s">
        <v>154</v>
      </c>
      <c r="B27" s="56" t="s">
        <v>155</v>
      </c>
      <c r="C27" s="56"/>
      <c r="D27" s="56"/>
      <c r="E27" s="58">
        <v>5.79</v>
      </c>
      <c r="F27" s="58">
        <f t="shared" si="0"/>
        <v>1.1580000000000001</v>
      </c>
      <c r="G27" s="58">
        <f t="shared" si="1"/>
        <v>6.9480000000000004</v>
      </c>
      <c r="H27" s="72" t="str">
        <f>IF(Tableau1345[[#This Row],[QUANTITES]]="","",Tableau1345[[#This Row],[QUANTITES]]*Tableau1345[[#This Row],[PRIX VENTE HT]])</f>
        <v/>
      </c>
      <c r="I27" s="72" t="str">
        <f>IF(Tableau1345[[#This Row],[QUANTITES]]="","",Tableau1345[[#This Row],[QUANTITES]]*Tableau1345[[#This Row],[MONTANT TVA]])</f>
        <v/>
      </c>
      <c r="J27" s="72" t="str">
        <f>IF(Tableau1345[[#This Row],[QUANTITES]]="","",Tableau1345[[#This Row],[QUANTITES]]*Tableau1345[[#This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6:J17"/>
  <sheetViews>
    <sheetView showGridLines="0" workbookViewId="0">
      <selection activeCell="D13" sqref="D13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 ht="13">
      <c r="A9" s="56" t="s">
        <v>156</v>
      </c>
      <c r="B9" s="60" t="s">
        <v>157</v>
      </c>
      <c r="C9" s="56" t="s">
        <v>158</v>
      </c>
      <c r="D9" s="56"/>
      <c r="E9" s="58">
        <v>44.064</v>
      </c>
      <c r="F9" s="58">
        <f t="shared" ref="F9:F17" si="0">E9*$G$7</f>
        <v>8.8128000000000011</v>
      </c>
      <c r="G9" s="58">
        <f t="shared" ref="G9:G17" si="1">E9+F9</f>
        <v>52.876800000000003</v>
      </c>
      <c r="H9" s="71" t="str">
        <f>IF(Tableau13456[[#This Row],[QUANTITES]]="","",Tableau13456[[#This Row],[QUANTITES]]*Tableau13456[[#This Row],[PRIX VENTE HT]])</f>
        <v/>
      </c>
      <c r="I9" s="71" t="str">
        <f>IF(Tableau13456[[#This Row],[QUANTITES]]="","",Tableau13456[[#This Row],[QUANTITES]]*Tableau13456[[#This Row],[MONTANT TVA]])</f>
        <v/>
      </c>
      <c r="J9" s="71" t="str">
        <f>IF(Tableau13456[[#This Row],[QUANTITES]]="","",Tableau13456[[#This Row],[QUANTITES]]*Tableau13456[[#This Row],[PRIX DE VENTE TTC]])</f>
        <v/>
      </c>
    </row>
    <row r="10" spans="1:10" ht="13">
      <c r="A10" s="56" t="s">
        <v>159</v>
      </c>
      <c r="B10" s="60" t="s">
        <v>160</v>
      </c>
      <c r="C10" s="56" t="s">
        <v>161</v>
      </c>
      <c r="D10" s="56"/>
      <c r="E10" s="58">
        <v>27</v>
      </c>
      <c r="F10" s="58">
        <f t="shared" si="0"/>
        <v>5.4</v>
      </c>
      <c r="G10" s="58">
        <f t="shared" si="1"/>
        <v>32.4</v>
      </c>
      <c r="H10" s="72" t="str">
        <f>IF(Tableau13456[[#This Row],[QUANTITES]]="","",Tableau13456[[#This Row],[QUANTITES]]*Tableau13456[[#This Row],[PRIX VENTE HT]])</f>
        <v/>
      </c>
      <c r="I10" s="72" t="str">
        <f>IF(Tableau13456[[#This Row],[QUANTITES]]="","",Tableau13456[[#This Row],[QUANTITES]]*Tableau13456[[#This Row],[MONTANT TVA]])</f>
        <v/>
      </c>
      <c r="J10" s="72" t="str">
        <f>IF(Tableau13456[[#This Row],[QUANTITES]]="","",Tableau13456[[#This Row],[QUANTITES]]*Tableau13456[[#This Row],[PRIX DE VENTE TTC]])</f>
        <v/>
      </c>
    </row>
    <row r="11" spans="1:10" ht="13">
      <c r="A11" s="56" t="s">
        <v>162</v>
      </c>
      <c r="B11" s="60" t="s">
        <v>163</v>
      </c>
      <c r="C11" s="56" t="s">
        <v>141</v>
      </c>
      <c r="D11" s="56"/>
      <c r="E11" s="58">
        <v>24.616</v>
      </c>
      <c r="F11" s="58">
        <f t="shared" si="0"/>
        <v>4.9232000000000005</v>
      </c>
      <c r="G11" s="58">
        <f t="shared" si="1"/>
        <v>29.539200000000001</v>
      </c>
      <c r="H11" s="72" t="str">
        <f>IF(Tableau13456[[#This Row],[QUANTITES]]="","",Tableau13456[[#This Row],[QUANTITES]]*Tableau13456[[#This Row],[PRIX VENTE HT]])</f>
        <v/>
      </c>
      <c r="I11" s="72" t="str">
        <f>IF(Tableau13456[[#This Row],[QUANTITES]]="","",Tableau13456[[#This Row],[QUANTITES]]*Tableau13456[[#This Row],[MONTANT TVA]])</f>
        <v/>
      </c>
      <c r="J11" s="72" t="str">
        <f>IF(Tableau13456[[#This Row],[QUANTITES]]="","",Tableau13456[[#This Row],[QUANTITES]]*Tableau13456[[#This Row],[PRIX DE VENTE TTC]])</f>
        <v/>
      </c>
    </row>
    <row r="12" spans="1:10" ht="13">
      <c r="A12" s="56" t="s">
        <v>164</v>
      </c>
      <c r="B12" s="60" t="s">
        <v>165</v>
      </c>
      <c r="C12" s="56" t="s">
        <v>141</v>
      </c>
      <c r="D12" s="56"/>
      <c r="E12" s="58">
        <v>0</v>
      </c>
      <c r="F12" s="58">
        <f t="shared" si="0"/>
        <v>0</v>
      </c>
      <c r="G12" s="58">
        <f t="shared" si="1"/>
        <v>0</v>
      </c>
      <c r="H12" s="72" t="str">
        <f>IF(Tableau13456[[#This Row],[QUANTITES]]="","",Tableau13456[[#This Row],[QUANTITES]]*Tableau13456[[#This Row],[PRIX VENTE HT]])</f>
        <v/>
      </c>
      <c r="I12" s="72" t="str">
        <f>IF(Tableau13456[[#This Row],[QUANTITES]]="","",Tableau13456[[#This Row],[QUANTITES]]*Tableau13456[[#This Row],[MONTANT TVA]])</f>
        <v/>
      </c>
      <c r="J12" s="72" t="str">
        <f>IF(Tableau13456[[#This Row],[QUANTITES]]="","",Tableau13456[[#This Row],[QUANTITES]]*Tableau13456[[#This Row],[PRIX DE VENTE TTC]])</f>
        <v/>
      </c>
    </row>
    <row r="13" spans="1:10" ht="13">
      <c r="A13" s="56" t="s">
        <v>166</v>
      </c>
      <c r="B13" s="60" t="s">
        <v>167</v>
      </c>
      <c r="C13" s="56" t="s">
        <v>141</v>
      </c>
      <c r="D13" s="56"/>
      <c r="E13" s="58">
        <v>53.617999999999995</v>
      </c>
      <c r="F13" s="58">
        <f t="shared" si="0"/>
        <v>10.723599999999999</v>
      </c>
      <c r="G13" s="58">
        <f t="shared" si="1"/>
        <v>64.3416</v>
      </c>
      <c r="H13" s="72" t="str">
        <f>IF(Tableau13456[[#This Row],[QUANTITES]]="","",Tableau13456[[#This Row],[QUANTITES]]*Tableau13456[[#This Row],[PRIX VENTE HT]])</f>
        <v/>
      </c>
      <c r="I13" s="72" t="str">
        <f>IF(Tableau13456[[#This Row],[QUANTITES]]="","",Tableau13456[[#This Row],[QUANTITES]]*Tableau13456[[#This Row],[MONTANT TVA]])</f>
        <v/>
      </c>
      <c r="J13" s="72" t="str">
        <f>IF(Tableau13456[[#This Row],[QUANTITES]]="","",Tableau13456[[#This Row],[QUANTITES]]*Tableau13456[[#This Row],[PRIX DE VENTE TTC]])</f>
        <v/>
      </c>
    </row>
    <row r="14" spans="1:10" ht="13">
      <c r="A14" s="56" t="s">
        <v>168</v>
      </c>
      <c r="B14" s="60" t="s">
        <v>169</v>
      </c>
      <c r="C14" s="56" t="s">
        <v>141</v>
      </c>
      <c r="D14" s="56"/>
      <c r="E14" s="58">
        <v>76.534000000000006</v>
      </c>
      <c r="F14" s="58">
        <f t="shared" si="0"/>
        <v>15.306800000000003</v>
      </c>
      <c r="G14" s="58">
        <f t="shared" si="1"/>
        <v>91.840800000000002</v>
      </c>
      <c r="H14" s="72" t="str">
        <f>IF(Tableau13456[[#This Row],[QUANTITES]]="","",Tableau13456[[#This Row],[QUANTITES]]*Tableau13456[[#This Row],[PRIX VENTE HT]])</f>
        <v/>
      </c>
      <c r="I14" s="72" t="str">
        <f>IF(Tableau13456[[#This Row],[QUANTITES]]="","",Tableau13456[[#This Row],[QUANTITES]]*Tableau13456[[#This Row],[MONTANT TVA]])</f>
        <v/>
      </c>
      <c r="J14" s="72" t="str">
        <f>IF(Tableau13456[[#This Row],[QUANTITES]]="","",Tableau13456[[#This Row],[QUANTITES]]*Tableau13456[[#This Row],[PRIX DE VENTE TTC]])</f>
        <v/>
      </c>
    </row>
    <row r="15" spans="1:10" ht="13">
      <c r="A15" s="56" t="s">
        <v>170</v>
      </c>
      <c r="B15" s="60" t="s">
        <v>171</v>
      </c>
      <c r="C15" s="56" t="s">
        <v>141</v>
      </c>
      <c r="D15" s="56"/>
      <c r="E15" s="58">
        <v>33.167000000000002</v>
      </c>
      <c r="F15" s="58">
        <f t="shared" si="0"/>
        <v>6.6334000000000009</v>
      </c>
      <c r="G15" s="58">
        <f t="shared" si="1"/>
        <v>39.800400000000003</v>
      </c>
      <c r="H15" s="72" t="str">
        <f>IF(Tableau13456[[#This Row],[QUANTITES]]="","",Tableau13456[[#This Row],[QUANTITES]]*Tableau13456[[#This Row],[PRIX VENTE HT]])</f>
        <v/>
      </c>
      <c r="I15" s="72" t="str">
        <f>IF(Tableau13456[[#This Row],[QUANTITES]]="","",Tableau13456[[#This Row],[QUANTITES]]*Tableau13456[[#This Row],[MONTANT TVA]])</f>
        <v/>
      </c>
      <c r="J15" s="72" t="str">
        <f>IF(Tableau13456[[#This Row],[QUANTITES]]="","",Tableau13456[[#This Row],[QUANTITES]]*Tableau13456[[#This Row],[PRIX DE VENTE TTC]])</f>
        <v/>
      </c>
    </row>
    <row r="16" spans="1:10" ht="13">
      <c r="A16" s="56" t="s">
        <v>172</v>
      </c>
      <c r="B16" s="60" t="s">
        <v>173</v>
      </c>
      <c r="C16" s="56" t="s">
        <v>141</v>
      </c>
      <c r="D16" s="56"/>
      <c r="E16" s="58">
        <v>29.92</v>
      </c>
      <c r="F16" s="58">
        <f t="shared" si="0"/>
        <v>5.9840000000000009</v>
      </c>
      <c r="G16" s="58">
        <f t="shared" si="1"/>
        <v>35.904000000000003</v>
      </c>
      <c r="H16" s="72" t="str">
        <f>IF(Tableau13456[[#This Row],[QUANTITES]]="","",Tableau13456[[#This Row],[QUANTITES]]*Tableau13456[[#This Row],[PRIX VENTE HT]])</f>
        <v/>
      </c>
      <c r="I16" s="72" t="str">
        <f>IF(Tableau13456[[#This Row],[QUANTITES]]="","",Tableau13456[[#This Row],[QUANTITES]]*Tableau13456[[#This Row],[MONTANT TVA]])</f>
        <v/>
      </c>
      <c r="J16" s="72" t="str">
        <f>IF(Tableau13456[[#This Row],[QUANTITES]]="","",Tableau13456[[#This Row],[QUANTITES]]*Tableau13456[[#This Row],[PRIX DE VENTE TTC]])</f>
        <v/>
      </c>
    </row>
    <row r="17" spans="1:10" ht="13">
      <c r="A17" s="56" t="s">
        <v>174</v>
      </c>
      <c r="B17" s="60" t="s">
        <v>175</v>
      </c>
      <c r="C17" s="56" t="s">
        <v>141</v>
      </c>
      <c r="D17" s="56"/>
      <c r="E17" s="58">
        <v>37.705999999999996</v>
      </c>
      <c r="F17" s="58">
        <f t="shared" si="0"/>
        <v>7.5411999999999999</v>
      </c>
      <c r="G17" s="58">
        <f t="shared" si="1"/>
        <v>45.247199999999992</v>
      </c>
      <c r="H17" s="72" t="str">
        <f>IF(Tableau13456[[#This Row],[QUANTITES]]="","",Tableau13456[[#This Row],[QUANTITES]]*Tableau13456[[#This Row],[PRIX VENTE HT]])</f>
        <v/>
      </c>
      <c r="I17" s="72" t="str">
        <f>IF(Tableau13456[[#This Row],[QUANTITES]]="","",Tableau13456[[#This Row],[QUANTITES]]*Tableau13456[[#This Row],[MONTANT TVA]])</f>
        <v/>
      </c>
      <c r="J17" s="72" t="str">
        <f>IF(Tableau13456[[#This Row],[QUANTITES]]="","",Tableau13456[[#This Row],[QUANTITES]]*Tableau13456[[#This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6:J14"/>
  <sheetViews>
    <sheetView showGridLines="0" workbookViewId="0">
      <selection activeCell="D10" sqref="D9:D14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 ht="13">
      <c r="A9" s="56" t="s">
        <v>176</v>
      </c>
      <c r="B9" s="60" t="s">
        <v>177</v>
      </c>
      <c r="C9" s="57" t="s">
        <v>178</v>
      </c>
      <c r="D9" s="57"/>
      <c r="E9" s="58">
        <v>15</v>
      </c>
      <c r="F9" s="58">
        <f t="shared" ref="F9:F14" si="0">E9*$G$7</f>
        <v>3</v>
      </c>
      <c r="G9" s="58">
        <f t="shared" ref="G9:G14" si="1">E9+F9</f>
        <v>18</v>
      </c>
      <c r="H9" s="71" t="str">
        <f>IF(Tableau134567[[#This Row],[QUANTITES]]="","",Tableau134567[[#This Row],[QUANTITES]]*Tableau134567[[#This Row],[PRIX VENTE HT]])</f>
        <v/>
      </c>
      <c r="I9" s="71" t="str">
        <f>IF(Tableau134567[[#This Row],[QUANTITES]]="","",Tableau134567[[#This Row],[QUANTITES]]*Tableau134567[[#This Row],[MONTANT TVA]])</f>
        <v/>
      </c>
      <c r="J9" s="71" t="str">
        <f>IF(Tableau134567[[#This Row],[QUANTITES]]="","",Tableau134567[[#This Row],[QUANTITES]]*Tableau134567[[#This Row],[PRIX DE VENTE TTC]])</f>
        <v/>
      </c>
    </row>
    <row r="10" spans="1:10" ht="13">
      <c r="A10" s="56" t="s">
        <v>179</v>
      </c>
      <c r="B10" s="60" t="s">
        <v>180</v>
      </c>
      <c r="C10" s="57" t="s">
        <v>181</v>
      </c>
      <c r="D10" s="57"/>
      <c r="E10" s="58">
        <v>14.55</v>
      </c>
      <c r="F10" s="58">
        <f t="shared" si="0"/>
        <v>2.91</v>
      </c>
      <c r="G10" s="58">
        <f t="shared" si="1"/>
        <v>17.46</v>
      </c>
      <c r="H10" s="72" t="str">
        <f>IF(Tableau134567[[#This Row],[QUANTITES]]="","",Tableau134567[[#This Row],[QUANTITES]]*Tableau134567[[#This Row],[PRIX VENTE HT]])</f>
        <v/>
      </c>
      <c r="I10" s="72" t="str">
        <f>IF(Tableau134567[[#This Row],[QUANTITES]]="","",Tableau134567[[#This Row],[QUANTITES]]*Tableau134567[[#This Row],[MONTANT TVA]])</f>
        <v/>
      </c>
      <c r="J10" s="72" t="str">
        <f>IF(Tableau134567[[#This Row],[QUANTITES]]="","",Tableau134567[[#This Row],[QUANTITES]]*Tableau134567[[#This Row],[PRIX DE VENTE TTC]])</f>
        <v/>
      </c>
    </row>
    <row r="11" spans="1:10">
      <c r="A11" s="56" t="s">
        <v>182</v>
      </c>
      <c r="B11" s="56" t="s">
        <v>183</v>
      </c>
      <c r="C11" s="57" t="s">
        <v>184</v>
      </c>
      <c r="D11" s="57"/>
      <c r="E11" s="58">
        <v>1.7999999999999998</v>
      </c>
      <c r="F11" s="58">
        <f t="shared" si="0"/>
        <v>0.36</v>
      </c>
      <c r="G11" s="58">
        <f t="shared" si="1"/>
        <v>2.1599999999999997</v>
      </c>
      <c r="H11" s="72" t="str">
        <f>IF(Tableau134567[[#This Row],[QUANTITES]]="","",Tableau134567[[#This Row],[QUANTITES]]*Tableau134567[[#This Row],[PRIX VENTE HT]])</f>
        <v/>
      </c>
      <c r="I11" s="72" t="str">
        <f>IF(Tableau134567[[#This Row],[QUANTITES]]="","",Tableau134567[[#This Row],[QUANTITES]]*Tableau134567[[#This Row],[MONTANT TVA]])</f>
        <v/>
      </c>
      <c r="J11" s="72" t="str">
        <f>IF(Tableau134567[[#This Row],[QUANTITES]]="","",Tableau134567[[#This Row],[QUANTITES]]*Tableau134567[[#This Row],[PRIX DE VENTE TTC]])</f>
        <v/>
      </c>
    </row>
    <row r="12" spans="1:10">
      <c r="A12" s="56" t="s">
        <v>185</v>
      </c>
      <c r="B12" s="56" t="s">
        <v>186</v>
      </c>
      <c r="C12" s="56" t="s">
        <v>187</v>
      </c>
      <c r="D12" s="57"/>
      <c r="E12" s="58">
        <v>2.7</v>
      </c>
      <c r="F12" s="58">
        <f t="shared" si="0"/>
        <v>0.54</v>
      </c>
      <c r="G12" s="58">
        <f t="shared" si="1"/>
        <v>3.24</v>
      </c>
      <c r="H12" s="72" t="str">
        <f>IF(Tableau134567[[#This Row],[QUANTITES]]="","",Tableau134567[[#This Row],[QUANTITES]]*Tableau134567[[#This Row],[PRIX VENTE HT]])</f>
        <v/>
      </c>
      <c r="I12" s="72" t="str">
        <f>IF(Tableau134567[[#This Row],[QUANTITES]]="","",Tableau134567[[#This Row],[QUANTITES]]*Tableau134567[[#This Row],[MONTANT TVA]])</f>
        <v/>
      </c>
      <c r="J12" s="72" t="str">
        <f>IF(Tableau134567[[#This Row],[QUANTITES]]="","",Tableau134567[[#This Row],[QUANTITES]]*Tableau134567[[#This Row],[PRIX DE VENTE TTC]])</f>
        <v/>
      </c>
    </row>
    <row r="13" spans="1:10">
      <c r="A13" s="56" t="s">
        <v>188</v>
      </c>
      <c r="B13" s="56" t="s">
        <v>189</v>
      </c>
      <c r="C13" s="57" t="s">
        <v>190</v>
      </c>
      <c r="D13" s="57"/>
      <c r="E13" s="58">
        <v>19.5</v>
      </c>
      <c r="F13" s="58">
        <f t="shared" si="0"/>
        <v>3.9000000000000004</v>
      </c>
      <c r="G13" s="58">
        <f t="shared" si="1"/>
        <v>23.4</v>
      </c>
      <c r="H13" s="72" t="str">
        <f>IF(Tableau134567[[#This Row],[QUANTITES]]="","",Tableau134567[[#This Row],[QUANTITES]]*Tableau134567[[#This Row],[PRIX VENTE HT]])</f>
        <v/>
      </c>
      <c r="I13" s="72" t="str">
        <f>IF(Tableau134567[[#This Row],[QUANTITES]]="","",Tableau134567[[#This Row],[QUANTITES]]*Tableau134567[[#This Row],[MONTANT TVA]])</f>
        <v/>
      </c>
      <c r="J13" s="72" t="str">
        <f>IF(Tableau134567[[#This Row],[QUANTITES]]="","",Tableau134567[[#This Row],[QUANTITES]]*Tableau134567[[#This Row],[PRIX DE VENTE TTC]])</f>
        <v/>
      </c>
    </row>
    <row r="14" spans="1:10">
      <c r="A14" s="56" t="s">
        <v>191</v>
      </c>
      <c r="B14" s="56" t="s">
        <v>192</v>
      </c>
      <c r="C14" s="56" t="s">
        <v>193</v>
      </c>
      <c r="D14" s="57"/>
      <c r="E14" s="58">
        <v>11.7</v>
      </c>
      <c r="F14" s="58">
        <f t="shared" si="0"/>
        <v>2.34</v>
      </c>
      <c r="G14" s="58">
        <f t="shared" si="1"/>
        <v>14.04</v>
      </c>
      <c r="H14" s="72" t="str">
        <f>IF(Tableau134567[[#This Row],[QUANTITES]]="","",Tableau134567[[#This Row],[QUANTITES]]*Tableau134567[[#This Row],[PRIX VENTE HT]])</f>
        <v/>
      </c>
      <c r="I14" s="72" t="str">
        <f>IF(Tableau134567[[#This Row],[QUANTITES]]="","",Tableau134567[[#This Row],[QUANTITES]]*Tableau134567[[#This Row],[MONTANT TVA]])</f>
        <v/>
      </c>
      <c r="J14" s="72" t="str">
        <f>IF(Tableau134567[[#This Row],[QUANTITES]]="","",Tableau134567[[#This Row],[QUANTITES]]*Tableau134567[[#This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ignoredErrors>
    <ignoredError sqref="H9:J14" calculatedColumn="1"/>
  </ignoredErrors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6:J10"/>
  <sheetViews>
    <sheetView showGridLines="0" workbookViewId="0">
      <selection activeCell="D10" sqref="D9:D10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 ht="13">
      <c r="A9" s="56" t="s">
        <v>194</v>
      </c>
      <c r="B9" s="60" t="s">
        <v>195</v>
      </c>
      <c r="C9" s="56" t="s">
        <v>196</v>
      </c>
      <c r="D9" s="56"/>
      <c r="E9" s="58">
        <v>42.99</v>
      </c>
      <c r="F9" s="58">
        <f>E9*$G$7</f>
        <v>8.5980000000000008</v>
      </c>
      <c r="G9" s="58">
        <f>E9+F9</f>
        <v>51.588000000000001</v>
      </c>
      <c r="H9" s="71" t="str">
        <f>IF(Tableau1345678[[#This Row],[QUANTITES]]="","",Tableau1345678[[#This Row],[QUANTITES]]*Tableau1345678[[#This Row],[PRIX VENTE HT]])</f>
        <v/>
      </c>
      <c r="I9" s="71" t="str">
        <f>IF(Tableau1345678[[#This Row],[QUANTITES]]="","",Tableau1345678[[#This Row],[QUANTITES]]*Tableau1345678[[#This Row],[MONTANT TVA]])</f>
        <v/>
      </c>
      <c r="J9" s="71" t="str">
        <f>IF(Tableau1345678[[#This Row],[QUANTITES]]="","",Tableau1345678[[#This Row],[QUANTITES]]*Tableau1345678[[#This Row],[PRIX DE VENTE TTC]])</f>
        <v/>
      </c>
    </row>
    <row r="10" spans="1:10">
      <c r="A10" s="56" t="s">
        <v>197</v>
      </c>
      <c r="B10" s="56" t="s">
        <v>198</v>
      </c>
      <c r="C10" s="56" t="s">
        <v>199</v>
      </c>
      <c r="D10" s="56"/>
      <c r="E10" s="58">
        <v>67.5</v>
      </c>
      <c r="F10" s="58">
        <f>E10*$G$7</f>
        <v>13.5</v>
      </c>
      <c r="G10" s="58">
        <f>E10+F10</f>
        <v>81</v>
      </c>
      <c r="H10" s="72" t="str">
        <f>IF(Tableau1345678[[#This Row],[QUANTITES]]="","",Tableau1345678[[#This Row],[QUANTITES]]*Tableau1345678[[#This Row],[PRIX VENTE HT]])</f>
        <v/>
      </c>
      <c r="I10" s="72" t="str">
        <f>IF(Tableau1345678[[#This Row],[QUANTITES]]="","",Tableau1345678[[#This Row],[QUANTITES]]*Tableau1345678[[#This Row],[MONTANT TVA]])</f>
        <v/>
      </c>
      <c r="J10" s="72" t="str">
        <f>IF(Tableau1345678[[#This Row],[QUANTITES]]="","",Tableau1345678[[#This Row],[QUANTITES]]*Tableau1345678[[#This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ignoredErrors>
    <ignoredError sqref="H9:J10" calculatedColumn="1"/>
  </ignoredErrors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6:J13"/>
  <sheetViews>
    <sheetView showGridLines="0" workbookViewId="0">
      <selection activeCell="D10" sqref="D9:D13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447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 ht="13">
      <c r="A9" s="56" t="s">
        <v>200</v>
      </c>
      <c r="B9" s="60" t="s">
        <v>201</v>
      </c>
      <c r="C9" s="57" t="s">
        <v>202</v>
      </c>
      <c r="D9" s="57"/>
      <c r="E9" s="58">
        <v>4.3499999999999996</v>
      </c>
      <c r="F9" s="58">
        <f>E9*$G$7</f>
        <v>0.87</v>
      </c>
      <c r="G9" s="58">
        <f>E9+F9</f>
        <v>5.22</v>
      </c>
      <c r="H9" s="71">
        <f>IF(Tableau13[[#This Row],[QUANTITES]]="","",Tableau13[[#This Row],[QUANTITES]]*Tableau13[[#This Row],[PRIX VENTE HT]])</f>
        <v>314.25</v>
      </c>
      <c r="I9" s="71">
        <f>IF(Tableau13[[#This Row],[QUANTITES]]="","",Tableau13[[#This Row],[QUANTITES]]*Tableau13[[#This Row],[MONTANT TVA]])</f>
        <v>62.85</v>
      </c>
      <c r="J9" s="71">
        <f>IF(Tableau13[[#This Row],[QUANTITES]]="","",Tableau13[[#This Row],[QUANTITES]]*Tableau13[[#This Row],[PRIX DE VENTE TTC]])</f>
        <v>377.09999999999991</v>
      </c>
    </row>
    <row r="10" spans="1:10" ht="13">
      <c r="A10" s="56" t="s">
        <v>203</v>
      </c>
      <c r="B10" s="60" t="s">
        <v>204</v>
      </c>
      <c r="C10" s="57" t="s">
        <v>202</v>
      </c>
      <c r="D10" s="57"/>
      <c r="E10" s="58">
        <v>12.524999999999999</v>
      </c>
      <c r="F10" s="58">
        <f>E10*$G$7</f>
        <v>2.5049999999999999</v>
      </c>
      <c r="G10" s="58">
        <f>E10+F10</f>
        <v>15.029999999999998</v>
      </c>
      <c r="H10" s="72" t="str">
        <f>IF(Tableau13[[#This Row],[QUANTITES]]="","",Tableau13[[#This Row],[QUANTITES]]*Tableau13[[#This Row],[PRIX VENTE HT]])</f>
        <v/>
      </c>
      <c r="I10" s="72" t="str">
        <f>IF(Tableau13[[#This Row],[QUANTITES]]="","",Tableau13[[#This Row],[QUANTITES]]*Tableau13[[#This Row],[MONTANT TVA]])</f>
        <v/>
      </c>
      <c r="J10" s="72" t="str">
        <f>IF(Tableau13[[#This Row],[QUANTITES]]="","",Tableau13[[#This Row],[QUANTITES]]*Tableau13[[#This Row],[PRIX DE VENTE TTC]])</f>
        <v/>
      </c>
    </row>
    <row r="11" spans="1:10">
      <c r="A11" s="56" t="s">
        <v>205</v>
      </c>
      <c r="B11" s="56" t="s">
        <v>206</v>
      </c>
      <c r="C11" s="56" t="s">
        <v>207</v>
      </c>
      <c r="D11" s="57"/>
      <c r="E11" s="58">
        <v>4.3499999999999996</v>
      </c>
      <c r="F11" s="58">
        <f>E11*$G$7</f>
        <v>0.87</v>
      </c>
      <c r="G11" s="58">
        <f>E11+F11</f>
        <v>5.22</v>
      </c>
      <c r="H11" s="72" t="str">
        <f>IF(Tableau13[[#This Row],[QUANTITES]]="","",Tableau13[[#This Row],[QUANTITES]]*Tableau13[[#This Row],[PRIX VENTE HT]])</f>
        <v/>
      </c>
      <c r="I11" s="72" t="str">
        <f>IF(Tableau13[[#This Row],[QUANTITES]]="","",Tableau13[[#This Row],[QUANTITES]]*Tableau13[[#This Row],[MONTANT TVA]])</f>
        <v/>
      </c>
      <c r="J11" s="72" t="str">
        <f>IF(Tableau13[[#This Row],[QUANTITES]]="","",Tableau13[[#This Row],[QUANTITES]]*Tableau13[[#This Row],[PRIX DE VENTE TTC]])</f>
        <v/>
      </c>
    </row>
    <row r="12" spans="1:10">
      <c r="A12" s="56" t="s">
        <v>208</v>
      </c>
      <c r="B12" s="56" t="s">
        <v>209</v>
      </c>
      <c r="C12" s="56" t="s">
        <v>210</v>
      </c>
      <c r="D12" s="57"/>
      <c r="E12" s="58">
        <v>1.6800000000000002</v>
      </c>
      <c r="F12" s="58">
        <f>E12*$G$7</f>
        <v>0.33600000000000008</v>
      </c>
      <c r="G12" s="58">
        <f>E12+F12</f>
        <v>2.016</v>
      </c>
      <c r="H12" s="72" t="str">
        <f>IF(Tableau13[[#This Row],[QUANTITES]]="","",Tableau13[[#This Row],[QUANTITES]]*Tableau13[[#This Row],[PRIX VENTE HT]])</f>
        <v/>
      </c>
      <c r="I12" s="72" t="str">
        <f>IF(Tableau13[[#This Row],[QUANTITES]]="","",Tableau13[[#This Row],[QUANTITES]]*Tableau13[[#This Row],[MONTANT TVA]])</f>
        <v/>
      </c>
      <c r="J12" s="72" t="str">
        <f>IF(Tableau13[[#This Row],[QUANTITES]]="","",Tableau13[[#This Row],[QUANTITES]]*Tableau13[[#This Row],[PRIX DE VENTE TTC]])</f>
        <v/>
      </c>
    </row>
    <row r="13" spans="1:10">
      <c r="A13" s="56" t="s">
        <v>211</v>
      </c>
      <c r="B13" s="56" t="s">
        <v>212</v>
      </c>
      <c r="C13" s="57" t="s">
        <v>213</v>
      </c>
      <c r="D13" s="57"/>
      <c r="E13" s="58">
        <v>2.2800000000000002</v>
      </c>
      <c r="F13" s="58">
        <f>E13*$G$7</f>
        <v>0.45600000000000007</v>
      </c>
      <c r="G13" s="58">
        <f>E13+F13</f>
        <v>2.7360000000000002</v>
      </c>
      <c r="H13" s="72" t="str">
        <f>IF(Tableau13[[#This Row],[QUANTITES]]="","",Tableau13[[#This Row],[QUANTITES]]*Tableau13[[#This Row],[PRIX VENTE HT]])</f>
        <v/>
      </c>
      <c r="I13" s="72" t="str">
        <f>IF(Tableau13[[#This Row],[QUANTITES]]="","",Tableau13[[#This Row],[QUANTITES]]*Tableau13[[#This Row],[MONTANT TVA]])</f>
        <v/>
      </c>
      <c r="J13" s="72" t="str">
        <f>IF(Tableau13[[#This Row],[QUANTITES]]="","",Tableau13[[#This Row],[QUANTITES]]*Tableau13[[#This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6:J32"/>
  <sheetViews>
    <sheetView showGridLines="0" workbookViewId="0">
      <selection activeCell="D14" sqref="D14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>
      <c r="A9" s="56" t="s">
        <v>214</v>
      </c>
      <c r="B9" s="56" t="s">
        <v>215</v>
      </c>
      <c r="C9" s="56" t="s">
        <v>216</v>
      </c>
      <c r="D9" s="56"/>
      <c r="E9" s="62">
        <v>571.5</v>
      </c>
      <c r="F9" s="58">
        <f t="shared" ref="F9:F32" si="0">E9*$G$7</f>
        <v>114.30000000000001</v>
      </c>
      <c r="G9" s="58">
        <f t="shared" ref="G9:G32" si="1">E9+F9</f>
        <v>685.8</v>
      </c>
      <c r="H9" s="71" t="str">
        <f>IF(Tableau1345678910[[#This Row],[QUANTITES]]="","",Tableau1345678910[[#This Row],[QUANTITES]]*Tableau1345678910[[#This Row],[PRIX VENTE HT]])</f>
        <v/>
      </c>
      <c r="I9" s="71" t="str">
        <f>IF(Tableau1345678910[[#This Row],[QUANTITES]]="","",Tableau1345678910[[#This Row],[QUANTITES]]*Tableau1345678910[[#This Row],[MONTANT TVA]])</f>
        <v/>
      </c>
      <c r="J9" s="71" t="str">
        <f>IF(Tableau1345678910[[#This Row],[QUANTITES]]="","",Tableau1345678910[[#This Row],[QUANTITES]]*Tableau1345678910[[#This Row],[PRIX DE VENTE TTC]])</f>
        <v/>
      </c>
    </row>
    <row r="10" spans="1:10">
      <c r="A10" s="56" t="s">
        <v>217</v>
      </c>
      <c r="B10" s="56" t="s">
        <v>218</v>
      </c>
      <c r="C10" s="56" t="s">
        <v>219</v>
      </c>
      <c r="D10" s="56"/>
      <c r="E10" s="63">
        <v>546.96199999999999</v>
      </c>
      <c r="F10" s="58">
        <f t="shared" si="0"/>
        <v>109.39240000000001</v>
      </c>
      <c r="G10" s="58">
        <f t="shared" si="1"/>
        <v>656.35439999999994</v>
      </c>
      <c r="H10" s="72" t="str">
        <f>IF(Tableau1345678910[[#This Row],[QUANTITES]]="","",Tableau1345678910[[#This Row],[QUANTITES]]*Tableau1345678910[[#This Row],[PRIX VENTE HT]])</f>
        <v/>
      </c>
      <c r="I10" s="72" t="str">
        <f>IF(Tableau1345678910[[#This Row],[QUANTITES]]="","",Tableau1345678910[[#This Row],[QUANTITES]]*Tableau1345678910[[#This Row],[MONTANT TVA]])</f>
        <v/>
      </c>
      <c r="J10" s="72" t="str">
        <f>IF(Tableau1345678910[[#This Row],[QUANTITES]]="","",Tableau1345678910[[#This Row],[QUANTITES]]*Tableau1345678910[[#This Row],[PRIX DE VENTE TTC]])</f>
        <v/>
      </c>
    </row>
    <row r="11" spans="1:10">
      <c r="A11" s="56" t="s">
        <v>220</v>
      </c>
      <c r="B11" s="56" t="s">
        <v>221</v>
      </c>
      <c r="C11" s="56" t="s">
        <v>222</v>
      </c>
      <c r="D11" s="56"/>
      <c r="E11" s="63">
        <v>621.64700000000005</v>
      </c>
      <c r="F11" s="58">
        <f t="shared" si="0"/>
        <v>124.32940000000002</v>
      </c>
      <c r="G11" s="58">
        <f t="shared" si="1"/>
        <v>745.97640000000001</v>
      </c>
      <c r="H11" s="72" t="str">
        <f>IF(Tableau1345678910[[#This Row],[QUANTITES]]="","",Tableau1345678910[[#This Row],[QUANTITES]]*Tableau1345678910[[#This Row],[PRIX VENTE HT]])</f>
        <v/>
      </c>
      <c r="I11" s="72" t="str">
        <f>IF(Tableau1345678910[[#This Row],[QUANTITES]]="","",Tableau1345678910[[#This Row],[QUANTITES]]*Tableau1345678910[[#This Row],[MONTANT TVA]])</f>
        <v/>
      </c>
      <c r="J11" s="72" t="str">
        <f>IF(Tableau1345678910[[#This Row],[QUANTITES]]="","",Tableau1345678910[[#This Row],[QUANTITES]]*Tableau1345678910[[#This Row],[PRIX DE VENTE TTC]])</f>
        <v/>
      </c>
    </row>
    <row r="12" spans="1:10" ht="13">
      <c r="A12" s="56" t="s">
        <v>223</v>
      </c>
      <c r="B12" s="60" t="s">
        <v>224</v>
      </c>
      <c r="C12" s="56" t="s">
        <v>225</v>
      </c>
      <c r="D12" s="56"/>
      <c r="E12" s="58">
        <v>0.55499999999999994</v>
      </c>
      <c r="F12" s="58">
        <f t="shared" si="0"/>
        <v>0.11099999999999999</v>
      </c>
      <c r="G12" s="58">
        <f t="shared" si="1"/>
        <v>0.66599999999999993</v>
      </c>
      <c r="H12" s="72" t="str">
        <f>IF(Tableau1345678910[[#This Row],[QUANTITES]]="","",Tableau1345678910[[#This Row],[QUANTITES]]*Tableau1345678910[[#This Row],[PRIX VENTE HT]])</f>
        <v/>
      </c>
      <c r="I12" s="72" t="str">
        <f>IF(Tableau1345678910[[#This Row],[QUANTITES]]="","",Tableau1345678910[[#This Row],[QUANTITES]]*Tableau1345678910[[#This Row],[MONTANT TVA]])</f>
        <v/>
      </c>
      <c r="J12" s="72" t="str">
        <f>IF(Tableau1345678910[[#This Row],[QUANTITES]]="","",Tableau1345678910[[#This Row],[QUANTITES]]*Tableau1345678910[[#This Row],[PRIX DE VENTE TTC]])</f>
        <v/>
      </c>
    </row>
    <row r="13" spans="1:10" ht="13">
      <c r="A13" s="56" t="s">
        <v>226</v>
      </c>
      <c r="B13" s="60" t="s">
        <v>227</v>
      </c>
      <c r="C13" s="56" t="s">
        <v>228</v>
      </c>
      <c r="D13" s="56"/>
      <c r="E13" s="58">
        <v>5.9850000000000003</v>
      </c>
      <c r="F13" s="58">
        <f t="shared" si="0"/>
        <v>1.1970000000000001</v>
      </c>
      <c r="G13" s="58">
        <f t="shared" si="1"/>
        <v>7.1820000000000004</v>
      </c>
      <c r="H13" s="72" t="str">
        <f>IF(Tableau1345678910[[#This Row],[QUANTITES]]="","",Tableau1345678910[[#This Row],[QUANTITES]]*Tableau1345678910[[#This Row],[PRIX VENTE HT]])</f>
        <v/>
      </c>
      <c r="I13" s="72" t="str">
        <f>IF(Tableau1345678910[[#This Row],[QUANTITES]]="","",Tableau1345678910[[#This Row],[QUANTITES]]*Tableau1345678910[[#This Row],[MONTANT TVA]])</f>
        <v/>
      </c>
      <c r="J13" s="72" t="str">
        <f>IF(Tableau1345678910[[#This Row],[QUANTITES]]="","",Tableau1345678910[[#This Row],[QUANTITES]]*Tableau1345678910[[#This Row],[PRIX DE VENTE TTC]])</f>
        <v/>
      </c>
    </row>
    <row r="14" spans="1:10" ht="13">
      <c r="A14" s="56" t="s">
        <v>229</v>
      </c>
      <c r="B14" s="60" t="s">
        <v>230</v>
      </c>
      <c r="C14" s="56" t="s">
        <v>231</v>
      </c>
      <c r="D14" s="56"/>
      <c r="E14" s="58">
        <v>3.66</v>
      </c>
      <c r="F14" s="58">
        <f t="shared" si="0"/>
        <v>0.7320000000000001</v>
      </c>
      <c r="G14" s="58">
        <f t="shared" si="1"/>
        <v>4.3920000000000003</v>
      </c>
      <c r="H14" s="72" t="str">
        <f>IF(Tableau1345678910[[#This Row],[QUANTITES]]="","",Tableau1345678910[[#This Row],[QUANTITES]]*Tableau1345678910[[#This Row],[PRIX VENTE HT]])</f>
        <v/>
      </c>
      <c r="I14" s="72" t="str">
        <f>IF(Tableau1345678910[[#This Row],[QUANTITES]]="","",Tableau1345678910[[#This Row],[QUANTITES]]*Tableau1345678910[[#This Row],[MONTANT TVA]])</f>
        <v/>
      </c>
      <c r="J14" s="72" t="str">
        <f>IF(Tableau1345678910[[#This Row],[QUANTITES]]="","",Tableau1345678910[[#This Row],[QUANTITES]]*Tableau1345678910[[#This Row],[PRIX DE VENTE TTC]])</f>
        <v/>
      </c>
    </row>
    <row r="15" spans="1:10" ht="13">
      <c r="A15" s="56" t="s">
        <v>232</v>
      </c>
      <c r="B15" s="60" t="s">
        <v>233</v>
      </c>
      <c r="C15" s="56" t="s">
        <v>234</v>
      </c>
      <c r="D15" s="56"/>
      <c r="E15" s="58">
        <v>14.370000000000001</v>
      </c>
      <c r="F15" s="58">
        <f t="shared" si="0"/>
        <v>2.8740000000000006</v>
      </c>
      <c r="G15" s="58">
        <f t="shared" si="1"/>
        <v>17.244</v>
      </c>
      <c r="H15" s="72" t="str">
        <f>IF(Tableau1345678910[[#This Row],[QUANTITES]]="","",Tableau1345678910[[#This Row],[QUANTITES]]*Tableau1345678910[[#This Row],[PRIX VENTE HT]])</f>
        <v/>
      </c>
      <c r="I15" s="72" t="str">
        <f>IF(Tableau1345678910[[#This Row],[QUANTITES]]="","",Tableau1345678910[[#This Row],[QUANTITES]]*Tableau1345678910[[#This Row],[MONTANT TVA]])</f>
        <v/>
      </c>
      <c r="J15" s="72" t="str">
        <f>IF(Tableau1345678910[[#This Row],[QUANTITES]]="","",Tableau1345678910[[#This Row],[QUANTITES]]*Tableau1345678910[[#This Row],[PRIX DE VENTE TTC]])</f>
        <v/>
      </c>
    </row>
    <row r="16" spans="1:10">
      <c r="A16" s="56" t="s">
        <v>235</v>
      </c>
      <c r="B16" s="56" t="s">
        <v>236</v>
      </c>
      <c r="C16" s="56" t="s">
        <v>237</v>
      </c>
      <c r="D16" s="56"/>
      <c r="E16" s="58">
        <v>1.59</v>
      </c>
      <c r="F16" s="58">
        <f t="shared" si="0"/>
        <v>0.31800000000000006</v>
      </c>
      <c r="G16" s="58">
        <f t="shared" si="1"/>
        <v>1.9080000000000001</v>
      </c>
      <c r="H16" s="72" t="str">
        <f>IF(Tableau1345678910[[#This Row],[QUANTITES]]="","",Tableau1345678910[[#This Row],[QUANTITES]]*Tableau1345678910[[#This Row],[PRIX VENTE HT]])</f>
        <v/>
      </c>
      <c r="I16" s="72" t="str">
        <f>IF(Tableau1345678910[[#This Row],[QUANTITES]]="","",Tableau1345678910[[#This Row],[QUANTITES]]*Tableau1345678910[[#This Row],[MONTANT TVA]])</f>
        <v/>
      </c>
      <c r="J16" s="72" t="str">
        <f>IF(Tableau1345678910[[#This Row],[QUANTITES]]="","",Tableau1345678910[[#This Row],[QUANTITES]]*Tableau1345678910[[#This Row],[PRIX DE VENTE TTC]])</f>
        <v/>
      </c>
    </row>
    <row r="17" spans="1:10">
      <c r="A17" s="56" t="s">
        <v>238</v>
      </c>
      <c r="B17" s="56" t="s">
        <v>239</v>
      </c>
      <c r="C17" s="56" t="s">
        <v>237</v>
      </c>
      <c r="D17" s="56"/>
      <c r="E17" s="58">
        <v>0.52499999999999991</v>
      </c>
      <c r="F17" s="58">
        <f t="shared" si="0"/>
        <v>0.10499999999999998</v>
      </c>
      <c r="G17" s="58">
        <f t="shared" si="1"/>
        <v>0.62999999999999989</v>
      </c>
      <c r="H17" s="72" t="str">
        <f>IF(Tableau1345678910[[#This Row],[QUANTITES]]="","",Tableau1345678910[[#This Row],[QUANTITES]]*Tableau1345678910[[#This Row],[PRIX VENTE HT]])</f>
        <v/>
      </c>
      <c r="I17" s="72" t="str">
        <f>IF(Tableau1345678910[[#This Row],[QUANTITES]]="","",Tableau1345678910[[#This Row],[QUANTITES]]*Tableau1345678910[[#This Row],[MONTANT TVA]])</f>
        <v/>
      </c>
      <c r="J17" s="72" t="str">
        <f>IF(Tableau1345678910[[#This Row],[QUANTITES]]="","",Tableau1345678910[[#This Row],[QUANTITES]]*Tableau1345678910[[#This Row],[PRIX DE VENTE TTC]])</f>
        <v/>
      </c>
    </row>
    <row r="18" spans="1:10">
      <c r="A18" s="56" t="s">
        <v>240</v>
      </c>
      <c r="B18" s="56" t="s">
        <v>241</v>
      </c>
      <c r="C18" s="56" t="s">
        <v>237</v>
      </c>
      <c r="D18" s="56"/>
      <c r="E18" s="58">
        <v>6.3149999999999995</v>
      </c>
      <c r="F18" s="58">
        <f t="shared" si="0"/>
        <v>1.2629999999999999</v>
      </c>
      <c r="G18" s="58">
        <f t="shared" si="1"/>
        <v>7.5779999999999994</v>
      </c>
      <c r="H18" s="72" t="str">
        <f>IF(Tableau1345678910[[#This Row],[QUANTITES]]="","",Tableau1345678910[[#This Row],[QUANTITES]]*Tableau1345678910[[#This Row],[PRIX VENTE HT]])</f>
        <v/>
      </c>
      <c r="I18" s="72" t="str">
        <f>IF(Tableau1345678910[[#This Row],[QUANTITES]]="","",Tableau1345678910[[#This Row],[QUANTITES]]*Tableau1345678910[[#This Row],[MONTANT TVA]])</f>
        <v/>
      </c>
      <c r="J18" s="72" t="str">
        <f>IF(Tableau1345678910[[#This Row],[QUANTITES]]="","",Tableau1345678910[[#This Row],[QUANTITES]]*Tableau1345678910[[#This Row],[PRIX DE VENTE TTC]])</f>
        <v/>
      </c>
    </row>
    <row r="19" spans="1:10">
      <c r="A19" s="56" t="s">
        <v>242</v>
      </c>
      <c r="B19" s="56" t="s">
        <v>243</v>
      </c>
      <c r="C19" s="56" t="s">
        <v>237</v>
      </c>
      <c r="D19" s="56"/>
      <c r="E19" s="58">
        <v>3.165</v>
      </c>
      <c r="F19" s="58">
        <f t="shared" si="0"/>
        <v>0.63300000000000001</v>
      </c>
      <c r="G19" s="58">
        <f t="shared" si="1"/>
        <v>3.798</v>
      </c>
      <c r="H19" s="72" t="str">
        <f>IF(Tableau1345678910[[#This Row],[QUANTITES]]="","",Tableau1345678910[[#This Row],[QUANTITES]]*Tableau1345678910[[#This Row],[PRIX VENTE HT]])</f>
        <v/>
      </c>
      <c r="I19" s="72" t="str">
        <f>IF(Tableau1345678910[[#This Row],[QUANTITES]]="","",Tableau1345678910[[#This Row],[QUANTITES]]*Tableau1345678910[[#This Row],[MONTANT TVA]])</f>
        <v/>
      </c>
      <c r="J19" s="72" t="str">
        <f>IF(Tableau1345678910[[#This Row],[QUANTITES]]="","",Tableau1345678910[[#This Row],[QUANTITES]]*Tableau1345678910[[#This Row],[PRIX DE VENTE TTC]])</f>
        <v/>
      </c>
    </row>
    <row r="20" spans="1:10">
      <c r="A20" s="56" t="s">
        <v>244</v>
      </c>
      <c r="B20" s="56" t="s">
        <v>245</v>
      </c>
      <c r="C20" s="56" t="s">
        <v>237</v>
      </c>
      <c r="D20" s="56"/>
      <c r="E20" s="58">
        <v>1.59</v>
      </c>
      <c r="F20" s="58">
        <f t="shared" si="0"/>
        <v>0.31800000000000006</v>
      </c>
      <c r="G20" s="58">
        <f t="shared" si="1"/>
        <v>1.9080000000000001</v>
      </c>
      <c r="H20" s="72" t="str">
        <f>IF(Tableau1345678910[[#This Row],[QUANTITES]]="","",Tableau1345678910[[#This Row],[QUANTITES]]*Tableau1345678910[[#This Row],[PRIX VENTE HT]])</f>
        <v/>
      </c>
      <c r="I20" s="72" t="str">
        <f>IF(Tableau1345678910[[#This Row],[QUANTITES]]="","",Tableau1345678910[[#This Row],[QUANTITES]]*Tableau1345678910[[#This Row],[MONTANT TVA]])</f>
        <v/>
      </c>
      <c r="J20" s="72" t="str">
        <f>IF(Tableau1345678910[[#This Row],[QUANTITES]]="","",Tableau1345678910[[#This Row],[QUANTITES]]*Tableau1345678910[[#This Row],[PRIX DE VENTE TTC]])</f>
        <v/>
      </c>
    </row>
    <row r="21" spans="1:10">
      <c r="A21" s="56" t="s">
        <v>246</v>
      </c>
      <c r="B21" s="56" t="s">
        <v>247</v>
      </c>
      <c r="C21" s="56" t="s">
        <v>237</v>
      </c>
      <c r="D21" s="56"/>
      <c r="E21" s="58">
        <v>3.5999999999999996</v>
      </c>
      <c r="F21" s="58">
        <f t="shared" si="0"/>
        <v>0.72</v>
      </c>
      <c r="G21" s="58">
        <f t="shared" si="1"/>
        <v>4.3199999999999994</v>
      </c>
      <c r="H21" s="72" t="str">
        <f>IF(Tableau1345678910[[#This Row],[QUANTITES]]="","",Tableau1345678910[[#This Row],[QUANTITES]]*Tableau1345678910[[#This Row],[PRIX VENTE HT]])</f>
        <v/>
      </c>
      <c r="I21" s="72" t="str">
        <f>IF(Tableau1345678910[[#This Row],[QUANTITES]]="","",Tableau1345678910[[#This Row],[QUANTITES]]*Tableau1345678910[[#This Row],[MONTANT TVA]])</f>
        <v/>
      </c>
      <c r="J21" s="72" t="str">
        <f>IF(Tableau1345678910[[#This Row],[QUANTITES]]="","",Tableau1345678910[[#This Row],[QUANTITES]]*Tableau1345678910[[#This Row],[PRIX DE VENTE TTC]])</f>
        <v/>
      </c>
    </row>
    <row r="22" spans="1:10">
      <c r="A22" s="56" t="s">
        <v>248</v>
      </c>
      <c r="B22" s="56" t="s">
        <v>249</v>
      </c>
      <c r="C22" s="56" t="s">
        <v>237</v>
      </c>
      <c r="D22" s="56"/>
      <c r="E22" s="58">
        <v>1.7999999999999998</v>
      </c>
      <c r="F22" s="58">
        <f t="shared" si="0"/>
        <v>0.36</v>
      </c>
      <c r="G22" s="58">
        <f t="shared" si="1"/>
        <v>2.1599999999999997</v>
      </c>
      <c r="H22" s="72" t="str">
        <f>IF(Tableau1345678910[[#This Row],[QUANTITES]]="","",Tableau1345678910[[#This Row],[QUANTITES]]*Tableau1345678910[[#This Row],[PRIX VENTE HT]])</f>
        <v/>
      </c>
      <c r="I22" s="72" t="str">
        <f>IF(Tableau1345678910[[#This Row],[QUANTITES]]="","",Tableau1345678910[[#This Row],[QUANTITES]]*Tableau1345678910[[#This Row],[MONTANT TVA]])</f>
        <v/>
      </c>
      <c r="J22" s="72" t="str">
        <f>IF(Tableau1345678910[[#This Row],[QUANTITES]]="","",Tableau1345678910[[#This Row],[QUANTITES]]*Tableau1345678910[[#This Row],[PRIX DE VENTE TTC]])</f>
        <v/>
      </c>
    </row>
    <row r="23" spans="1:10">
      <c r="A23" s="56" t="s">
        <v>250</v>
      </c>
      <c r="B23" s="56" t="s">
        <v>251</v>
      </c>
      <c r="C23" s="56" t="s">
        <v>237</v>
      </c>
      <c r="D23" s="56"/>
      <c r="E23" s="58">
        <v>4.2149999999999999</v>
      </c>
      <c r="F23" s="58">
        <f t="shared" si="0"/>
        <v>0.84299999999999997</v>
      </c>
      <c r="G23" s="58">
        <f t="shared" si="1"/>
        <v>5.0579999999999998</v>
      </c>
      <c r="H23" s="72" t="str">
        <f>IF(Tableau1345678910[[#This Row],[QUANTITES]]="","",Tableau1345678910[[#This Row],[QUANTITES]]*Tableau1345678910[[#This Row],[PRIX VENTE HT]])</f>
        <v/>
      </c>
      <c r="I23" s="72" t="str">
        <f>IF(Tableau1345678910[[#This Row],[QUANTITES]]="","",Tableau1345678910[[#This Row],[QUANTITES]]*Tableau1345678910[[#This Row],[MONTANT TVA]])</f>
        <v/>
      </c>
      <c r="J23" s="72" t="str">
        <f>IF(Tableau1345678910[[#This Row],[QUANTITES]]="","",Tableau1345678910[[#This Row],[QUANTITES]]*Tableau1345678910[[#This Row],[PRIX DE VENTE TTC]])</f>
        <v/>
      </c>
    </row>
    <row r="24" spans="1:10" ht="13">
      <c r="A24" s="56" t="s">
        <v>252</v>
      </c>
      <c r="B24" s="60" t="s">
        <v>253</v>
      </c>
      <c r="C24" s="56" t="s">
        <v>254</v>
      </c>
      <c r="D24" s="56"/>
      <c r="E24" s="58">
        <v>27</v>
      </c>
      <c r="F24" s="58">
        <f t="shared" si="0"/>
        <v>5.4</v>
      </c>
      <c r="G24" s="58">
        <f t="shared" si="1"/>
        <v>32.4</v>
      </c>
      <c r="H24" s="72" t="str">
        <f>IF(Tableau1345678910[[#This Row],[QUANTITES]]="","",Tableau1345678910[[#This Row],[QUANTITES]]*Tableau1345678910[[#This Row],[PRIX VENTE HT]])</f>
        <v/>
      </c>
      <c r="I24" s="72" t="str">
        <f>IF(Tableau1345678910[[#This Row],[QUANTITES]]="","",Tableau1345678910[[#This Row],[QUANTITES]]*Tableau1345678910[[#This Row],[MONTANT TVA]])</f>
        <v/>
      </c>
      <c r="J24" s="72" t="str">
        <f>IF(Tableau1345678910[[#This Row],[QUANTITES]]="","",Tableau1345678910[[#This Row],[QUANTITES]]*Tableau1345678910[[#This Row],[PRIX DE VENTE TTC]])</f>
        <v/>
      </c>
    </row>
    <row r="25" spans="1:10" ht="13">
      <c r="A25" s="56" t="s">
        <v>255</v>
      </c>
      <c r="B25" s="60" t="s">
        <v>256</v>
      </c>
      <c r="C25" s="56" t="s">
        <v>257</v>
      </c>
      <c r="D25" s="56"/>
      <c r="E25" s="58">
        <v>19.274999999999999</v>
      </c>
      <c r="F25" s="58">
        <f t="shared" si="0"/>
        <v>3.855</v>
      </c>
      <c r="G25" s="58">
        <f t="shared" si="1"/>
        <v>23.13</v>
      </c>
      <c r="H25" s="72" t="str">
        <f>IF(Tableau1345678910[[#This Row],[QUANTITES]]="","",Tableau1345678910[[#This Row],[QUANTITES]]*Tableau1345678910[[#This Row],[PRIX VENTE HT]])</f>
        <v/>
      </c>
      <c r="I25" s="72" t="str">
        <f>IF(Tableau1345678910[[#This Row],[QUANTITES]]="","",Tableau1345678910[[#This Row],[QUANTITES]]*Tableau1345678910[[#This Row],[MONTANT TVA]])</f>
        <v/>
      </c>
      <c r="J25" s="72" t="str">
        <f>IF(Tableau1345678910[[#This Row],[QUANTITES]]="","",Tableau1345678910[[#This Row],[QUANTITES]]*Tableau1345678910[[#This Row],[PRIX DE VENTE TTC]])</f>
        <v/>
      </c>
    </row>
    <row r="26" spans="1:10" ht="13">
      <c r="A26" s="56" t="s">
        <v>258</v>
      </c>
      <c r="B26" s="60" t="s">
        <v>259</v>
      </c>
      <c r="C26" s="56" t="s">
        <v>257</v>
      </c>
      <c r="D26" s="56"/>
      <c r="E26" s="58">
        <v>19.274999999999999</v>
      </c>
      <c r="F26" s="58">
        <f t="shared" si="0"/>
        <v>3.855</v>
      </c>
      <c r="G26" s="58">
        <f t="shared" si="1"/>
        <v>23.13</v>
      </c>
      <c r="H26" s="72" t="str">
        <f>IF(Tableau1345678910[[#This Row],[QUANTITES]]="","",Tableau1345678910[[#This Row],[QUANTITES]]*Tableau1345678910[[#This Row],[PRIX VENTE HT]])</f>
        <v/>
      </c>
      <c r="I26" s="72" t="str">
        <f>IF(Tableau1345678910[[#This Row],[QUANTITES]]="","",Tableau1345678910[[#This Row],[QUANTITES]]*Tableau1345678910[[#This Row],[MONTANT TVA]])</f>
        <v/>
      </c>
      <c r="J26" s="72" t="str">
        <f>IF(Tableau1345678910[[#This Row],[QUANTITES]]="","",Tableau1345678910[[#This Row],[QUANTITES]]*Tableau1345678910[[#This Row],[PRIX DE VENTE TTC]])</f>
        <v/>
      </c>
    </row>
    <row r="27" spans="1:10" ht="13">
      <c r="A27" s="56" t="s">
        <v>260</v>
      </c>
      <c r="B27" s="60" t="s">
        <v>261</v>
      </c>
      <c r="C27" s="56" t="s">
        <v>262</v>
      </c>
      <c r="D27" s="56"/>
      <c r="E27" s="58">
        <v>11.4</v>
      </c>
      <c r="F27" s="58">
        <f t="shared" si="0"/>
        <v>2.2800000000000002</v>
      </c>
      <c r="G27" s="58">
        <f t="shared" si="1"/>
        <v>13.68</v>
      </c>
      <c r="H27" s="72" t="str">
        <f>IF(Tableau1345678910[[#This Row],[QUANTITES]]="","",Tableau1345678910[[#This Row],[QUANTITES]]*Tableau1345678910[[#This Row],[PRIX VENTE HT]])</f>
        <v/>
      </c>
      <c r="I27" s="72" t="str">
        <f>IF(Tableau1345678910[[#This Row],[QUANTITES]]="","",Tableau1345678910[[#This Row],[QUANTITES]]*Tableau1345678910[[#This Row],[MONTANT TVA]])</f>
        <v/>
      </c>
      <c r="J27" s="72" t="str">
        <f>IF(Tableau1345678910[[#This Row],[QUANTITES]]="","",Tableau1345678910[[#This Row],[QUANTITES]]*Tableau1345678910[[#This Row],[PRIX DE VENTE TTC]])</f>
        <v/>
      </c>
    </row>
    <row r="28" spans="1:10" ht="13">
      <c r="A28" s="56" t="s">
        <v>263</v>
      </c>
      <c r="B28" s="60" t="s">
        <v>264</v>
      </c>
      <c r="C28" s="56" t="s">
        <v>265</v>
      </c>
      <c r="D28" s="56"/>
      <c r="E28" s="58">
        <v>14.625</v>
      </c>
      <c r="F28" s="58">
        <f t="shared" si="0"/>
        <v>2.9250000000000003</v>
      </c>
      <c r="G28" s="58">
        <f t="shared" si="1"/>
        <v>17.55</v>
      </c>
      <c r="H28" s="72" t="str">
        <f>IF(Tableau1345678910[[#This Row],[QUANTITES]]="","",Tableau1345678910[[#This Row],[QUANTITES]]*Tableau1345678910[[#This Row],[PRIX VENTE HT]])</f>
        <v/>
      </c>
      <c r="I28" s="72" t="str">
        <f>IF(Tableau1345678910[[#This Row],[QUANTITES]]="","",Tableau1345678910[[#This Row],[QUANTITES]]*Tableau1345678910[[#This Row],[MONTANT TVA]])</f>
        <v/>
      </c>
      <c r="J28" s="72" t="str">
        <f>IF(Tableau1345678910[[#This Row],[QUANTITES]]="","",Tableau1345678910[[#This Row],[QUANTITES]]*Tableau1345678910[[#This Row],[PRIX DE VENTE TTC]])</f>
        <v/>
      </c>
    </row>
    <row r="29" spans="1:10" ht="13">
      <c r="A29" s="56" t="s">
        <v>266</v>
      </c>
      <c r="B29" s="60" t="s">
        <v>267</v>
      </c>
      <c r="C29" s="56" t="s">
        <v>268</v>
      </c>
      <c r="D29" s="56"/>
      <c r="E29" s="58">
        <v>9.6000000000000014</v>
      </c>
      <c r="F29" s="58">
        <f t="shared" si="0"/>
        <v>1.9200000000000004</v>
      </c>
      <c r="G29" s="58">
        <f t="shared" si="1"/>
        <v>11.520000000000001</v>
      </c>
      <c r="H29" s="72" t="str">
        <f>IF(Tableau1345678910[[#This Row],[QUANTITES]]="","",Tableau1345678910[[#This Row],[QUANTITES]]*Tableau1345678910[[#This Row],[PRIX VENTE HT]])</f>
        <v/>
      </c>
      <c r="I29" s="72" t="str">
        <f>IF(Tableau1345678910[[#This Row],[QUANTITES]]="","",Tableau1345678910[[#This Row],[QUANTITES]]*Tableau1345678910[[#This Row],[MONTANT TVA]])</f>
        <v/>
      </c>
      <c r="J29" s="72" t="str">
        <f>IF(Tableau1345678910[[#This Row],[QUANTITES]]="","",Tableau1345678910[[#This Row],[QUANTITES]]*Tableau1345678910[[#This Row],[PRIX DE VENTE TTC]])</f>
        <v/>
      </c>
    </row>
    <row r="30" spans="1:10" ht="13">
      <c r="A30" s="56" t="s">
        <v>269</v>
      </c>
      <c r="B30" s="60" t="s">
        <v>270</v>
      </c>
      <c r="C30" s="56" t="s">
        <v>268</v>
      </c>
      <c r="D30" s="56"/>
      <c r="E30" s="58">
        <v>7.0500000000000007</v>
      </c>
      <c r="F30" s="58">
        <f t="shared" si="0"/>
        <v>1.4100000000000001</v>
      </c>
      <c r="G30" s="58">
        <f t="shared" si="1"/>
        <v>8.4600000000000009</v>
      </c>
      <c r="H30" s="72" t="str">
        <f>IF(Tableau1345678910[[#This Row],[QUANTITES]]="","",Tableau1345678910[[#This Row],[QUANTITES]]*Tableau1345678910[[#This Row],[PRIX VENTE HT]])</f>
        <v/>
      </c>
      <c r="I30" s="72" t="str">
        <f>IF(Tableau1345678910[[#This Row],[QUANTITES]]="","",Tableau1345678910[[#This Row],[QUANTITES]]*Tableau1345678910[[#This Row],[MONTANT TVA]])</f>
        <v/>
      </c>
      <c r="J30" s="72" t="str">
        <f>IF(Tableau1345678910[[#This Row],[QUANTITES]]="","",Tableau1345678910[[#This Row],[QUANTITES]]*Tableau1345678910[[#This Row],[PRIX DE VENTE TTC]])</f>
        <v/>
      </c>
    </row>
    <row r="31" spans="1:10" ht="13">
      <c r="A31" s="56" t="s">
        <v>271</v>
      </c>
      <c r="B31" s="60" t="s">
        <v>272</v>
      </c>
      <c r="C31" s="56" t="s">
        <v>273</v>
      </c>
      <c r="D31" s="56"/>
      <c r="E31" s="58">
        <v>10.305</v>
      </c>
      <c r="F31" s="58">
        <f t="shared" si="0"/>
        <v>2.0609999999999999</v>
      </c>
      <c r="G31" s="58">
        <f t="shared" si="1"/>
        <v>12.366</v>
      </c>
      <c r="H31" s="72" t="str">
        <f>IF(Tableau1345678910[[#This Row],[QUANTITES]]="","",Tableau1345678910[[#This Row],[QUANTITES]]*Tableau1345678910[[#This Row],[PRIX VENTE HT]])</f>
        <v/>
      </c>
      <c r="I31" s="72" t="str">
        <f>IF(Tableau1345678910[[#This Row],[QUANTITES]]="","",Tableau1345678910[[#This Row],[QUANTITES]]*Tableau1345678910[[#This Row],[MONTANT TVA]])</f>
        <v/>
      </c>
      <c r="J31" s="72" t="str">
        <f>IF(Tableau1345678910[[#This Row],[QUANTITES]]="","",Tableau1345678910[[#This Row],[QUANTITES]]*Tableau1345678910[[#This Row],[PRIX DE VENTE TTC]])</f>
        <v/>
      </c>
    </row>
    <row r="32" spans="1:10">
      <c r="A32" s="56" t="s">
        <v>274</v>
      </c>
      <c r="B32" s="56" t="s">
        <v>275</v>
      </c>
      <c r="C32" s="57" t="s">
        <v>276</v>
      </c>
      <c r="D32" s="56"/>
      <c r="E32" s="58">
        <v>33.299999999999997</v>
      </c>
      <c r="F32" s="58">
        <f t="shared" si="0"/>
        <v>6.66</v>
      </c>
      <c r="G32" s="58">
        <f t="shared" si="1"/>
        <v>39.959999999999994</v>
      </c>
      <c r="H32" s="72" t="str">
        <f>IF(Tableau1345678910[[#This Row],[QUANTITES]]="","",Tableau1345678910[[#This Row],[QUANTITES]]*Tableau1345678910[[#This Row],[PRIX VENTE HT]])</f>
        <v/>
      </c>
      <c r="I32" s="72" t="str">
        <f>IF(Tableau1345678910[[#This Row],[QUANTITES]]="","",Tableau1345678910[[#This Row],[QUANTITES]]*Tableau1345678910[[#This Row],[MONTANT TVA]])</f>
        <v/>
      </c>
      <c r="J32" s="72" t="str">
        <f>IF(Tableau1345678910[[#This Row],[QUANTITES]]="","",Tableau1345678910[[#This Row],[QUANTITES]]*Tableau1345678910[[#This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ignoredErrors>
    <ignoredError sqref="H9:J32" calculatedColumn="1"/>
  </ignoredErrors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6:J9"/>
  <sheetViews>
    <sheetView showGridLines="0" workbookViewId="0">
      <selection activeCell="D10" sqref="D10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>
      <c r="A9" s="56" t="s">
        <v>277</v>
      </c>
      <c r="B9" s="56" t="s">
        <v>278</v>
      </c>
      <c r="C9" s="56" t="s">
        <v>279</v>
      </c>
      <c r="D9" s="56"/>
      <c r="E9" s="58">
        <v>15.4</v>
      </c>
      <c r="F9" s="58">
        <f>E9*$G$7</f>
        <v>3.08</v>
      </c>
      <c r="G9" s="58">
        <f>E9+F9</f>
        <v>18.48</v>
      </c>
      <c r="H9" s="71" t="str">
        <f>IF(Tableau134567891011[[#This Row],[QUANTITES]]="","",Tableau134567891011[[#This Row],[QUANTITES]]*Tableau134567891011[[#This Row],[PRIX VENTE HT]])</f>
        <v/>
      </c>
      <c r="I9" s="71" t="str">
        <f>IF(Tableau134567891011[[#This Row],[QUANTITES]]="","",Tableau134567891011[[#This Row],[QUANTITES]]*Tableau134567891011[[#This Row],[MONTANT TVA]])</f>
        <v/>
      </c>
      <c r="J9" s="71" t="str">
        <f>IF(Tableau134567891011[[#This Row],[QUANTITES]]="","",Tableau134567891011[[#This Row],[QUANTITES]]*Tableau134567891011[[#This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/>
  <dimension ref="A6:J9"/>
  <sheetViews>
    <sheetView showGridLines="0" workbookViewId="0">
      <selection activeCell="D10" sqref="D10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>
      <c r="A9" s="56" t="s">
        <v>280</v>
      </c>
      <c r="B9" s="56" t="s">
        <v>281</v>
      </c>
      <c r="C9" s="57" t="s">
        <v>282</v>
      </c>
      <c r="D9" s="57"/>
      <c r="E9" s="58">
        <v>91.5</v>
      </c>
      <c r="F9" s="58">
        <f>E9*$G$7</f>
        <v>18.3</v>
      </c>
      <c r="G9" s="58">
        <f>E9+F9</f>
        <v>109.8</v>
      </c>
      <c r="H9" s="71" t="str">
        <f>IF(Tableau13456789101112[[#This Row],[QUANTITES]]="","",Tableau13456789101112[[#This Row],[QUANTITES]]*Tableau13456789101112[[#This Row],[PRIX VENTE HT]])</f>
        <v/>
      </c>
      <c r="I9" s="71" t="str">
        <f>IF(Tableau13456789101112[[#This Row],[QUANTITES]]="","",Tableau13456789101112[[#This Row],[QUANTITES]]*Tableau13456789101112[[#This Row],[MONTANT TVA]])</f>
        <v/>
      </c>
      <c r="J9" s="71" t="str">
        <f>IF(Tableau13456789101112[[#This Row],[QUANTITES]]="","",Tableau13456789101112[[#This Row],[QUANTITES]]*Tableau13456789101112[[#This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A6:J10"/>
  <sheetViews>
    <sheetView showGridLines="0" workbookViewId="0">
      <selection activeCell="D9" sqref="D9:D10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>
      <c r="A9" s="56" t="s">
        <v>283</v>
      </c>
      <c r="B9" s="56" t="s">
        <v>284</v>
      </c>
      <c r="C9" s="56" t="s">
        <v>285</v>
      </c>
      <c r="D9" s="56"/>
      <c r="E9" s="58">
        <v>32.25</v>
      </c>
      <c r="F9" s="58">
        <f>E9*$G$7</f>
        <v>6.45</v>
      </c>
      <c r="G9" s="58">
        <f>E9+F9</f>
        <v>38.700000000000003</v>
      </c>
      <c r="H9" s="71" t="str">
        <f>IF(Tableau1345678910111213[[#This Row],[QUANTITES]]="","",Tableau1345678910111213[[#This Row],[QUANTITES]]*Tableau1345678910111213[[#This Row],[PRIX VENTE HT]])</f>
        <v/>
      </c>
      <c r="I9" s="71" t="str">
        <f>IF(Tableau1345678910111213[[#This Row],[QUANTITES]]="","",Tableau1345678910111213[[#This Row],[QUANTITES]]*Tableau1345678910111213[[#This Row],[MONTANT TVA]])</f>
        <v/>
      </c>
      <c r="J9" s="71" t="str">
        <f>IF(Tableau1345678910111213[[#This Row],[QUANTITES]]="","",Tableau1345678910111213[[#This Row],[QUANTITES]]*Tableau1345678910111213[[#This Row],[PRIX DE VENTE TTC]])</f>
        <v/>
      </c>
    </row>
    <row r="10" spans="1:10">
      <c r="A10" s="56" t="s">
        <v>286</v>
      </c>
      <c r="B10" s="56" t="s">
        <v>287</v>
      </c>
      <c r="C10" s="56"/>
      <c r="D10" s="56"/>
      <c r="E10" s="58">
        <v>50</v>
      </c>
      <c r="F10" s="58">
        <f>E10*$G$7</f>
        <v>10</v>
      </c>
      <c r="G10" s="58">
        <f>E10+F10</f>
        <v>60</v>
      </c>
      <c r="H10" s="72" t="str">
        <f>IF(Tableau1345678910111213[[#This Row],[QUANTITES]]="","",Tableau1345678910111213[[#This Row],[QUANTITES]]*Tableau1345678910111213[[#This Row],[PRIX VENTE HT]])</f>
        <v/>
      </c>
      <c r="I10" s="72" t="str">
        <f>IF(Tableau1345678910111213[[#This Row],[QUANTITES]]="","",Tableau1345678910111213[[#This Row],[QUANTITES]]*Tableau1345678910111213[[#This Row],[MONTANT TVA]])</f>
        <v/>
      </c>
      <c r="J10" s="72" t="str">
        <f>IF(Tableau1345678910111213[[#This Row],[QUANTITES]]="","",Tableau1345678910111213[[#This Row],[QUANTITES]]*Tableau1345678910111213[[#This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ignoredErrors>
    <ignoredError sqref="H9:J10" calculatedColumn="1"/>
  </ignoredErrors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/>
  <dimension ref="A6:J24"/>
  <sheetViews>
    <sheetView showGridLines="0" workbookViewId="0">
      <selection activeCell="D10" sqref="D9:D24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>
      <c r="A9" s="56" t="s">
        <v>288</v>
      </c>
      <c r="B9" s="56" t="s">
        <v>289</v>
      </c>
      <c r="C9" s="56" t="s">
        <v>290</v>
      </c>
      <c r="D9" s="56"/>
      <c r="E9" s="58">
        <v>76.5</v>
      </c>
      <c r="F9" s="58">
        <f t="shared" ref="F9:F24" si="0">E9*$G$7</f>
        <v>15.3</v>
      </c>
      <c r="G9" s="58">
        <f t="shared" ref="G9:G24" si="1">E9+F9</f>
        <v>91.8</v>
      </c>
      <c r="H9" s="71" t="str">
        <f>IF(Tableau134567891011121314[[#This Row],[QUANTITES]]="","",Tableau134567891011121314[[#This Row],[QUANTITES]]*Tableau134567891011121314[[#This Row],[PRIX VENTE HT]])</f>
        <v/>
      </c>
      <c r="I9" s="71" t="str">
        <f>IF(Tableau134567891011121314[[#This Row],[QUANTITES]]="","",Tableau134567891011121314[[#This Row],[QUANTITES]]*Tableau134567891011121314[[#This Row],[MONTANT TVA]])</f>
        <v/>
      </c>
      <c r="J9" s="71" t="str">
        <f>IF(Tableau134567891011121314[[#This Row],[QUANTITES]]="","",Tableau134567891011121314[[#This Row],[QUANTITES]]*Tableau134567891011121314[[#This Row],[PRIX DE VENTE TTC]])</f>
        <v/>
      </c>
    </row>
    <row r="10" spans="1:10">
      <c r="A10" s="56" t="s">
        <v>291</v>
      </c>
      <c r="B10" s="56" t="s">
        <v>292</v>
      </c>
      <c r="C10" s="57" t="s">
        <v>293</v>
      </c>
      <c r="D10" s="56"/>
      <c r="E10" s="58">
        <v>24.75</v>
      </c>
      <c r="F10" s="58">
        <f t="shared" si="0"/>
        <v>4.95</v>
      </c>
      <c r="G10" s="58">
        <f t="shared" si="1"/>
        <v>29.7</v>
      </c>
      <c r="H10" s="72" t="str">
        <f>IF(Tableau134567891011121314[[#This Row],[QUANTITES]]="","",Tableau134567891011121314[[#This Row],[QUANTITES]]*Tableau134567891011121314[[#This Row],[PRIX VENTE HT]])</f>
        <v/>
      </c>
      <c r="I10" s="72" t="str">
        <f>IF(Tableau134567891011121314[[#This Row],[QUANTITES]]="","",Tableau134567891011121314[[#This Row],[QUANTITES]]*Tableau134567891011121314[[#This Row],[MONTANT TVA]])</f>
        <v/>
      </c>
      <c r="J10" s="72" t="str">
        <f>IF(Tableau134567891011121314[[#This Row],[QUANTITES]]="","",Tableau134567891011121314[[#This Row],[QUANTITES]]*Tableau134567891011121314[[#This Row],[PRIX DE VENTE TTC]])</f>
        <v/>
      </c>
    </row>
    <row r="11" spans="1:10">
      <c r="A11" s="56" t="s">
        <v>294</v>
      </c>
      <c r="B11" s="56" t="s">
        <v>295</v>
      </c>
      <c r="C11" s="56" t="s">
        <v>296</v>
      </c>
      <c r="D11" s="56"/>
      <c r="E11" s="58">
        <v>25.08</v>
      </c>
      <c r="F11" s="58">
        <f t="shared" si="0"/>
        <v>5.016</v>
      </c>
      <c r="G11" s="58">
        <f t="shared" si="1"/>
        <v>30.095999999999997</v>
      </c>
      <c r="H11" s="72" t="str">
        <f>IF(Tableau134567891011121314[[#This Row],[QUANTITES]]="","",Tableau134567891011121314[[#This Row],[QUANTITES]]*Tableau134567891011121314[[#This Row],[PRIX VENTE HT]])</f>
        <v/>
      </c>
      <c r="I11" s="72" t="str">
        <f>IF(Tableau134567891011121314[[#This Row],[QUANTITES]]="","",Tableau134567891011121314[[#This Row],[QUANTITES]]*Tableau134567891011121314[[#This Row],[MONTANT TVA]])</f>
        <v/>
      </c>
      <c r="J11" s="72" t="str">
        <f>IF(Tableau134567891011121314[[#This Row],[QUANTITES]]="","",Tableau134567891011121314[[#This Row],[QUANTITES]]*Tableau134567891011121314[[#This Row],[PRIX DE VENTE TTC]])</f>
        <v/>
      </c>
    </row>
    <row r="12" spans="1:10" ht="13">
      <c r="A12" s="56" t="s">
        <v>297</v>
      </c>
      <c r="B12" s="60" t="s">
        <v>298</v>
      </c>
      <c r="C12" s="57" t="s">
        <v>299</v>
      </c>
      <c r="D12" s="56"/>
      <c r="E12" s="58">
        <v>16.799999999999997</v>
      </c>
      <c r="F12" s="58">
        <f t="shared" si="0"/>
        <v>3.3599999999999994</v>
      </c>
      <c r="G12" s="58">
        <f t="shared" si="1"/>
        <v>20.159999999999997</v>
      </c>
      <c r="H12" s="72" t="str">
        <f>IF(Tableau134567891011121314[[#This Row],[QUANTITES]]="","",Tableau134567891011121314[[#This Row],[QUANTITES]]*Tableau134567891011121314[[#This Row],[PRIX VENTE HT]])</f>
        <v/>
      </c>
      <c r="I12" s="72" t="str">
        <f>IF(Tableau134567891011121314[[#This Row],[QUANTITES]]="","",Tableau134567891011121314[[#This Row],[QUANTITES]]*Tableau134567891011121314[[#This Row],[MONTANT TVA]])</f>
        <v/>
      </c>
      <c r="J12" s="72" t="str">
        <f>IF(Tableau134567891011121314[[#This Row],[QUANTITES]]="","",Tableau134567891011121314[[#This Row],[QUANTITES]]*Tableau134567891011121314[[#This Row],[PRIX DE VENTE TTC]])</f>
        <v/>
      </c>
    </row>
    <row r="13" spans="1:10" ht="13">
      <c r="A13" s="56" t="s">
        <v>300</v>
      </c>
      <c r="B13" s="60" t="s">
        <v>301</v>
      </c>
      <c r="C13" s="57" t="s">
        <v>302</v>
      </c>
      <c r="D13" s="56"/>
      <c r="E13" s="58">
        <v>20.594999999999999</v>
      </c>
      <c r="F13" s="58">
        <f t="shared" si="0"/>
        <v>4.1189999999999998</v>
      </c>
      <c r="G13" s="58">
        <f t="shared" si="1"/>
        <v>24.713999999999999</v>
      </c>
      <c r="H13" s="72" t="str">
        <f>IF(Tableau134567891011121314[[#This Row],[QUANTITES]]="","",Tableau134567891011121314[[#This Row],[QUANTITES]]*Tableau134567891011121314[[#This Row],[PRIX VENTE HT]])</f>
        <v/>
      </c>
      <c r="I13" s="72" t="str">
        <f>IF(Tableau134567891011121314[[#This Row],[QUANTITES]]="","",Tableau134567891011121314[[#This Row],[QUANTITES]]*Tableau134567891011121314[[#This Row],[MONTANT TVA]])</f>
        <v/>
      </c>
      <c r="J13" s="72" t="str">
        <f>IF(Tableau134567891011121314[[#This Row],[QUANTITES]]="","",Tableau134567891011121314[[#This Row],[QUANTITES]]*Tableau134567891011121314[[#This Row],[PRIX DE VENTE TTC]])</f>
        <v/>
      </c>
    </row>
    <row r="14" spans="1:10">
      <c r="A14" s="56" t="s">
        <v>303</v>
      </c>
      <c r="B14" s="56" t="s">
        <v>304</v>
      </c>
      <c r="C14" s="56" t="s">
        <v>305</v>
      </c>
      <c r="D14" s="56"/>
      <c r="E14" s="58">
        <v>24.119999999999997</v>
      </c>
      <c r="F14" s="58">
        <f t="shared" si="0"/>
        <v>4.8239999999999998</v>
      </c>
      <c r="G14" s="58">
        <f t="shared" si="1"/>
        <v>28.943999999999996</v>
      </c>
      <c r="H14" s="72" t="str">
        <f>IF(Tableau134567891011121314[[#This Row],[QUANTITES]]="","",Tableau134567891011121314[[#This Row],[QUANTITES]]*Tableau134567891011121314[[#This Row],[PRIX VENTE HT]])</f>
        <v/>
      </c>
      <c r="I14" s="72" t="str">
        <f>IF(Tableau134567891011121314[[#This Row],[QUANTITES]]="","",Tableau134567891011121314[[#This Row],[QUANTITES]]*Tableau134567891011121314[[#This Row],[MONTANT TVA]])</f>
        <v/>
      </c>
      <c r="J14" s="72" t="str">
        <f>IF(Tableau134567891011121314[[#This Row],[QUANTITES]]="","",Tableau134567891011121314[[#This Row],[QUANTITES]]*Tableau134567891011121314[[#This Row],[PRIX DE VENTE TTC]])</f>
        <v/>
      </c>
    </row>
    <row r="15" spans="1:10">
      <c r="A15" s="56" t="s">
        <v>306</v>
      </c>
      <c r="B15" s="56" t="s">
        <v>307</v>
      </c>
      <c r="C15" s="57" t="s">
        <v>308</v>
      </c>
      <c r="D15" s="56"/>
      <c r="E15" s="58">
        <v>9.120000000000001</v>
      </c>
      <c r="F15" s="58">
        <f t="shared" si="0"/>
        <v>1.8240000000000003</v>
      </c>
      <c r="G15" s="58">
        <f t="shared" si="1"/>
        <v>10.944000000000001</v>
      </c>
      <c r="H15" s="72" t="str">
        <f>IF(Tableau134567891011121314[[#This Row],[QUANTITES]]="","",Tableau134567891011121314[[#This Row],[QUANTITES]]*Tableau134567891011121314[[#This Row],[PRIX VENTE HT]])</f>
        <v/>
      </c>
      <c r="I15" s="72" t="str">
        <f>IF(Tableau134567891011121314[[#This Row],[QUANTITES]]="","",Tableau134567891011121314[[#This Row],[QUANTITES]]*Tableau134567891011121314[[#This Row],[MONTANT TVA]])</f>
        <v/>
      </c>
      <c r="J15" s="72" t="str">
        <f>IF(Tableau134567891011121314[[#This Row],[QUANTITES]]="","",Tableau134567891011121314[[#This Row],[QUANTITES]]*Tableau134567891011121314[[#This Row],[PRIX DE VENTE TTC]])</f>
        <v/>
      </c>
    </row>
    <row r="16" spans="1:10" ht="13">
      <c r="A16" s="56" t="s">
        <v>309</v>
      </c>
      <c r="B16" s="60" t="s">
        <v>310</v>
      </c>
      <c r="C16" s="56" t="s">
        <v>311</v>
      </c>
      <c r="D16" s="56"/>
      <c r="E16" s="58">
        <v>33.599999999999994</v>
      </c>
      <c r="F16" s="58">
        <f t="shared" si="0"/>
        <v>6.7199999999999989</v>
      </c>
      <c r="G16" s="58">
        <f t="shared" si="1"/>
        <v>40.319999999999993</v>
      </c>
      <c r="H16" s="72" t="str">
        <f>IF(Tableau134567891011121314[[#This Row],[QUANTITES]]="","",Tableau134567891011121314[[#This Row],[QUANTITES]]*Tableau134567891011121314[[#This Row],[PRIX VENTE HT]])</f>
        <v/>
      </c>
      <c r="I16" s="72" t="str">
        <f>IF(Tableau134567891011121314[[#This Row],[QUANTITES]]="","",Tableau134567891011121314[[#This Row],[QUANTITES]]*Tableau134567891011121314[[#This Row],[MONTANT TVA]])</f>
        <v/>
      </c>
      <c r="J16" s="72" t="str">
        <f>IF(Tableau134567891011121314[[#This Row],[QUANTITES]]="","",Tableau134567891011121314[[#This Row],[QUANTITES]]*Tableau134567891011121314[[#This Row],[PRIX DE VENTE TTC]])</f>
        <v/>
      </c>
    </row>
    <row r="17" spans="1:10" ht="13">
      <c r="A17" s="56" t="s">
        <v>312</v>
      </c>
      <c r="B17" s="60" t="s">
        <v>313</v>
      </c>
      <c r="C17" s="56" t="s">
        <v>311</v>
      </c>
      <c r="D17" s="56"/>
      <c r="E17" s="58">
        <v>14.25</v>
      </c>
      <c r="F17" s="58">
        <f t="shared" si="0"/>
        <v>2.85</v>
      </c>
      <c r="G17" s="58">
        <f t="shared" si="1"/>
        <v>17.100000000000001</v>
      </c>
      <c r="H17" s="72" t="str">
        <f>IF(Tableau134567891011121314[[#This Row],[QUANTITES]]="","",Tableau134567891011121314[[#This Row],[QUANTITES]]*Tableau134567891011121314[[#This Row],[PRIX VENTE HT]])</f>
        <v/>
      </c>
      <c r="I17" s="72" t="str">
        <f>IF(Tableau134567891011121314[[#This Row],[QUANTITES]]="","",Tableau134567891011121314[[#This Row],[QUANTITES]]*Tableau134567891011121314[[#This Row],[MONTANT TVA]])</f>
        <v/>
      </c>
      <c r="J17" s="72" t="str">
        <f>IF(Tableau134567891011121314[[#This Row],[QUANTITES]]="","",Tableau134567891011121314[[#This Row],[QUANTITES]]*Tableau134567891011121314[[#This Row],[PRIX DE VENTE TTC]])</f>
        <v/>
      </c>
    </row>
    <row r="18" spans="1:10" ht="13">
      <c r="A18" s="56" t="s">
        <v>314</v>
      </c>
      <c r="B18" s="60" t="s">
        <v>315</v>
      </c>
      <c r="C18" s="56" t="s">
        <v>311</v>
      </c>
      <c r="D18" s="56"/>
      <c r="E18" s="58">
        <v>15.75</v>
      </c>
      <c r="F18" s="58">
        <f t="shared" si="0"/>
        <v>3.1500000000000004</v>
      </c>
      <c r="G18" s="58">
        <f t="shared" si="1"/>
        <v>18.899999999999999</v>
      </c>
      <c r="H18" s="72" t="str">
        <f>IF(Tableau134567891011121314[[#This Row],[QUANTITES]]="","",Tableau134567891011121314[[#This Row],[QUANTITES]]*Tableau134567891011121314[[#This Row],[PRIX VENTE HT]])</f>
        <v/>
      </c>
      <c r="I18" s="72" t="str">
        <f>IF(Tableau134567891011121314[[#This Row],[QUANTITES]]="","",Tableau134567891011121314[[#This Row],[QUANTITES]]*Tableau134567891011121314[[#This Row],[MONTANT TVA]])</f>
        <v/>
      </c>
      <c r="J18" s="72" t="str">
        <f>IF(Tableau134567891011121314[[#This Row],[QUANTITES]]="","",Tableau134567891011121314[[#This Row],[QUANTITES]]*Tableau134567891011121314[[#This Row],[PRIX DE VENTE TTC]])</f>
        <v/>
      </c>
    </row>
    <row r="19" spans="1:10" ht="13">
      <c r="A19" s="56" t="s">
        <v>316</v>
      </c>
      <c r="B19" s="60" t="s">
        <v>317</v>
      </c>
      <c r="C19" s="56" t="s">
        <v>311</v>
      </c>
      <c r="D19" s="56"/>
      <c r="E19" s="58">
        <v>33</v>
      </c>
      <c r="F19" s="58">
        <f t="shared" si="0"/>
        <v>6.6000000000000005</v>
      </c>
      <c r="G19" s="58">
        <f t="shared" si="1"/>
        <v>39.6</v>
      </c>
      <c r="H19" s="72" t="str">
        <f>IF(Tableau134567891011121314[[#This Row],[QUANTITES]]="","",Tableau134567891011121314[[#This Row],[QUANTITES]]*Tableau134567891011121314[[#This Row],[PRIX VENTE HT]])</f>
        <v/>
      </c>
      <c r="I19" s="72" t="str">
        <f>IF(Tableau134567891011121314[[#This Row],[QUANTITES]]="","",Tableau134567891011121314[[#This Row],[QUANTITES]]*Tableau134567891011121314[[#This Row],[MONTANT TVA]])</f>
        <v/>
      </c>
      <c r="J19" s="72" t="str">
        <f>IF(Tableau134567891011121314[[#This Row],[QUANTITES]]="","",Tableau134567891011121314[[#This Row],[QUANTITES]]*Tableau134567891011121314[[#This Row],[PRIX DE VENTE TTC]])</f>
        <v/>
      </c>
    </row>
    <row r="20" spans="1:10" ht="13">
      <c r="A20" s="56" t="s">
        <v>318</v>
      </c>
      <c r="B20" s="60" t="s">
        <v>319</v>
      </c>
      <c r="C20" s="56" t="s">
        <v>320</v>
      </c>
      <c r="D20" s="56"/>
      <c r="E20" s="58">
        <v>12.069999999999999</v>
      </c>
      <c r="F20" s="58">
        <f t="shared" si="0"/>
        <v>2.4139999999999997</v>
      </c>
      <c r="G20" s="58">
        <f t="shared" si="1"/>
        <v>14.483999999999998</v>
      </c>
      <c r="H20" s="72" t="str">
        <f>IF(Tableau134567891011121314[[#This Row],[QUANTITES]]="","",Tableau134567891011121314[[#This Row],[QUANTITES]]*Tableau134567891011121314[[#This Row],[PRIX VENTE HT]])</f>
        <v/>
      </c>
      <c r="I20" s="72" t="str">
        <f>IF(Tableau134567891011121314[[#This Row],[QUANTITES]]="","",Tableau134567891011121314[[#This Row],[QUANTITES]]*Tableau134567891011121314[[#This Row],[MONTANT TVA]])</f>
        <v/>
      </c>
      <c r="J20" s="72" t="str">
        <f>IF(Tableau134567891011121314[[#This Row],[QUANTITES]]="","",Tableau134567891011121314[[#This Row],[QUANTITES]]*Tableau134567891011121314[[#This Row],[PRIX DE VENTE TTC]])</f>
        <v/>
      </c>
    </row>
    <row r="21" spans="1:10" ht="13">
      <c r="A21" s="56" t="s">
        <v>321</v>
      </c>
      <c r="B21" s="60" t="s">
        <v>322</v>
      </c>
      <c r="C21" s="56" t="s">
        <v>320</v>
      </c>
      <c r="D21" s="56"/>
      <c r="E21" s="58">
        <v>15.98</v>
      </c>
      <c r="F21" s="58">
        <f t="shared" si="0"/>
        <v>3.1960000000000002</v>
      </c>
      <c r="G21" s="58">
        <f t="shared" si="1"/>
        <v>19.176000000000002</v>
      </c>
      <c r="H21" s="72" t="str">
        <f>IF(Tableau134567891011121314[[#This Row],[QUANTITES]]="","",Tableau134567891011121314[[#This Row],[QUANTITES]]*Tableau134567891011121314[[#This Row],[PRIX VENTE HT]])</f>
        <v/>
      </c>
      <c r="I21" s="72" t="str">
        <f>IF(Tableau134567891011121314[[#This Row],[QUANTITES]]="","",Tableau134567891011121314[[#This Row],[QUANTITES]]*Tableau134567891011121314[[#This Row],[MONTANT TVA]])</f>
        <v/>
      </c>
      <c r="J21" s="72" t="str">
        <f>IF(Tableau134567891011121314[[#This Row],[QUANTITES]]="","",Tableau134567891011121314[[#This Row],[QUANTITES]]*Tableau134567891011121314[[#This Row],[PRIX DE VENTE TTC]])</f>
        <v/>
      </c>
    </row>
    <row r="22" spans="1:10">
      <c r="A22" s="56" t="s">
        <v>323</v>
      </c>
      <c r="B22" s="56" t="s">
        <v>324</v>
      </c>
      <c r="C22" s="56" t="s">
        <v>141</v>
      </c>
      <c r="D22" s="56"/>
      <c r="E22" s="58">
        <v>33.881</v>
      </c>
      <c r="F22" s="58">
        <f t="shared" si="0"/>
        <v>6.7762000000000002</v>
      </c>
      <c r="G22" s="58">
        <f t="shared" si="1"/>
        <v>40.657200000000003</v>
      </c>
      <c r="H22" s="72" t="str">
        <f>IF(Tableau134567891011121314[[#This Row],[QUANTITES]]="","",Tableau134567891011121314[[#This Row],[QUANTITES]]*Tableau134567891011121314[[#This Row],[PRIX VENTE HT]])</f>
        <v/>
      </c>
      <c r="I22" s="72" t="str">
        <f>IF(Tableau134567891011121314[[#This Row],[QUANTITES]]="","",Tableau134567891011121314[[#This Row],[QUANTITES]]*Tableau134567891011121314[[#This Row],[MONTANT TVA]])</f>
        <v/>
      </c>
      <c r="J22" s="72" t="str">
        <f>IF(Tableau134567891011121314[[#This Row],[QUANTITES]]="","",Tableau134567891011121314[[#This Row],[QUANTITES]]*Tableau134567891011121314[[#This Row],[PRIX DE VENTE TTC]])</f>
        <v/>
      </c>
    </row>
    <row r="23" spans="1:10">
      <c r="A23" s="56" t="s">
        <v>325</v>
      </c>
      <c r="B23" s="56" t="s">
        <v>326</v>
      </c>
      <c r="C23" s="56" t="s">
        <v>141</v>
      </c>
      <c r="D23" s="56"/>
      <c r="E23" s="58">
        <v>61.846000000000004</v>
      </c>
      <c r="F23" s="58">
        <f t="shared" si="0"/>
        <v>12.369200000000001</v>
      </c>
      <c r="G23" s="58">
        <f t="shared" si="1"/>
        <v>74.21520000000001</v>
      </c>
      <c r="H23" s="72" t="str">
        <f>IF(Tableau134567891011121314[[#This Row],[QUANTITES]]="","",Tableau134567891011121314[[#This Row],[QUANTITES]]*Tableau134567891011121314[[#This Row],[PRIX VENTE HT]])</f>
        <v/>
      </c>
      <c r="I23" s="72" t="str">
        <f>IF(Tableau134567891011121314[[#This Row],[QUANTITES]]="","",Tableau134567891011121314[[#This Row],[QUANTITES]]*Tableau134567891011121314[[#This Row],[MONTANT TVA]])</f>
        <v/>
      </c>
      <c r="J23" s="72" t="str">
        <f>IF(Tableau134567891011121314[[#This Row],[QUANTITES]]="","",Tableau134567891011121314[[#This Row],[QUANTITES]]*Tableau134567891011121314[[#This Row],[PRIX DE VENTE TTC]])</f>
        <v/>
      </c>
    </row>
    <row r="24" spans="1:10">
      <c r="A24" s="56" t="s">
        <v>327</v>
      </c>
      <c r="B24" s="56" t="s">
        <v>328</v>
      </c>
      <c r="C24" s="56" t="s">
        <v>329</v>
      </c>
      <c r="D24" s="56"/>
      <c r="E24" s="58">
        <v>8.36</v>
      </c>
      <c r="F24" s="58">
        <f t="shared" si="0"/>
        <v>1.6719999999999999</v>
      </c>
      <c r="G24" s="58">
        <f t="shared" si="1"/>
        <v>10.032</v>
      </c>
      <c r="H24" s="72" t="str">
        <f>IF(Tableau134567891011121314[[#This Row],[QUANTITES]]="","",Tableau134567891011121314[[#This Row],[QUANTITES]]*Tableau134567891011121314[[#This Row],[PRIX VENTE HT]])</f>
        <v/>
      </c>
      <c r="I24" s="72" t="str">
        <f>IF(Tableau134567891011121314[[#This Row],[QUANTITES]]="","",Tableau134567891011121314[[#This Row],[QUANTITES]]*Tableau134567891011121314[[#This Row],[MONTANT TVA]])</f>
        <v/>
      </c>
      <c r="J24" s="72" t="str">
        <f>IF(Tableau134567891011121314[[#This Row],[QUANTITES]]="","",Tableau134567891011121314[[#This Row],[QUANTITES]]*Tableau134567891011121314[[#This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ignoredErrors>
    <ignoredError sqref="H9:J24" calculatedColumn="1"/>
  </ignoredErrors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 enableFormatConditionsCalculation="0"/>
  <dimension ref="A6:J31"/>
  <sheetViews>
    <sheetView showGridLines="0" workbookViewId="0">
      <selection activeCell="D10" sqref="D9:D31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 ht="13">
      <c r="A9" s="56" t="s">
        <v>330</v>
      </c>
      <c r="B9" s="60" t="s">
        <v>331</v>
      </c>
      <c r="C9" s="56" t="s">
        <v>332</v>
      </c>
      <c r="D9" s="56"/>
      <c r="E9" s="58">
        <v>63.944999999999993</v>
      </c>
      <c r="F9" s="58">
        <f t="shared" ref="F9:F31" si="0">E9*$G$7</f>
        <v>12.789</v>
      </c>
      <c r="G9" s="58">
        <f t="shared" ref="G9:G31" si="1">E9+F9</f>
        <v>76.733999999999995</v>
      </c>
      <c r="H9" s="71" t="str">
        <f>IF(Tableau13456789101112131415[[#This Row],[QUANTITES]]="","",Tableau13456789101112131415[[#This Row],[QUANTITES]]*Tableau13456789101112131415[[#This Row],[PRIX VENTE HT]])</f>
        <v/>
      </c>
      <c r="I9" s="71" t="str">
        <f>IF(Tableau13456789101112131415[[#This Row],[QUANTITES]]="","",Tableau13456789101112131415[[#This Row],[QUANTITES]]*Tableau13456789101112131415[[#This Row],[MONTANT TVA]])</f>
        <v/>
      </c>
      <c r="J9" s="71" t="str">
        <f>IF(Tableau13456789101112131415[[#This Row],[QUANTITES]]="","",Tableau13456789101112131415[[#This Row],[QUANTITES]]*Tableau13456789101112131415[[#This Row],[PRIX DE VENTE TTC]])</f>
        <v/>
      </c>
    </row>
    <row r="10" spans="1:10">
      <c r="A10" s="56" t="s">
        <v>333</v>
      </c>
      <c r="B10" s="56" t="s">
        <v>334</v>
      </c>
      <c r="C10" s="56" t="s">
        <v>335</v>
      </c>
      <c r="D10" s="56"/>
      <c r="E10" s="58">
        <v>0</v>
      </c>
      <c r="F10" s="58">
        <f t="shared" si="0"/>
        <v>0</v>
      </c>
      <c r="G10" s="58">
        <f t="shared" si="1"/>
        <v>0</v>
      </c>
      <c r="H10" s="72" t="str">
        <f>IF(Tableau13456789101112131415[[#This Row],[QUANTITES]]="","",Tableau13456789101112131415[[#This Row],[QUANTITES]]*Tableau13456789101112131415[[#This Row],[PRIX VENTE HT]])</f>
        <v/>
      </c>
      <c r="I10" s="72" t="str">
        <f>IF(Tableau13456789101112131415[[#This Row],[QUANTITES]]="","",Tableau13456789101112131415[[#This Row],[QUANTITES]]*Tableau13456789101112131415[[#This Row],[MONTANT TVA]])</f>
        <v/>
      </c>
      <c r="J10" s="72" t="str">
        <f>IF(Tableau13456789101112131415[[#This Row],[QUANTITES]]="","",Tableau13456789101112131415[[#This Row],[QUANTITES]]*Tableau13456789101112131415[[#This Row],[PRIX DE VENTE TTC]])</f>
        <v/>
      </c>
    </row>
    <row r="11" spans="1:10">
      <c r="A11" s="56" t="s">
        <v>336</v>
      </c>
      <c r="B11" s="56" t="s">
        <v>337</v>
      </c>
      <c r="C11" s="56" t="s">
        <v>335</v>
      </c>
      <c r="D11" s="56"/>
      <c r="E11" s="58">
        <v>7.7099999999999991</v>
      </c>
      <c r="F11" s="58">
        <f t="shared" si="0"/>
        <v>1.5419999999999998</v>
      </c>
      <c r="G11" s="58">
        <f t="shared" si="1"/>
        <v>9.2519999999999989</v>
      </c>
      <c r="H11" s="72" t="str">
        <f>IF(Tableau13456789101112131415[[#This Row],[QUANTITES]]="","",Tableau13456789101112131415[[#This Row],[QUANTITES]]*Tableau13456789101112131415[[#This Row],[PRIX VENTE HT]])</f>
        <v/>
      </c>
      <c r="I11" s="72" t="str">
        <f>IF(Tableau13456789101112131415[[#This Row],[QUANTITES]]="","",Tableau13456789101112131415[[#This Row],[QUANTITES]]*Tableau13456789101112131415[[#This Row],[MONTANT TVA]])</f>
        <v/>
      </c>
      <c r="J11" s="72" t="str">
        <f>IF(Tableau13456789101112131415[[#This Row],[QUANTITES]]="","",Tableau13456789101112131415[[#This Row],[QUANTITES]]*Tableau13456789101112131415[[#This Row],[PRIX DE VENTE TTC]])</f>
        <v/>
      </c>
    </row>
    <row r="12" spans="1:10">
      <c r="A12" s="56" t="s">
        <v>338</v>
      </c>
      <c r="B12" s="56" t="s">
        <v>339</v>
      </c>
      <c r="C12" s="57" t="s">
        <v>340</v>
      </c>
      <c r="D12" s="56"/>
      <c r="E12" s="58">
        <v>17.774999999999999</v>
      </c>
      <c r="F12" s="58">
        <f t="shared" si="0"/>
        <v>3.5549999999999997</v>
      </c>
      <c r="G12" s="58">
        <f t="shared" si="1"/>
        <v>21.33</v>
      </c>
      <c r="H12" s="72" t="str">
        <f>IF(Tableau13456789101112131415[[#This Row],[QUANTITES]]="","",Tableau13456789101112131415[[#This Row],[QUANTITES]]*Tableau13456789101112131415[[#This Row],[PRIX VENTE HT]])</f>
        <v/>
      </c>
      <c r="I12" s="72" t="str">
        <f>IF(Tableau13456789101112131415[[#This Row],[QUANTITES]]="","",Tableau13456789101112131415[[#This Row],[QUANTITES]]*Tableau13456789101112131415[[#This Row],[MONTANT TVA]])</f>
        <v/>
      </c>
      <c r="J12" s="72" t="str">
        <f>IF(Tableau13456789101112131415[[#This Row],[QUANTITES]]="","",Tableau13456789101112131415[[#This Row],[QUANTITES]]*Tableau13456789101112131415[[#This Row],[PRIX DE VENTE TTC]])</f>
        <v/>
      </c>
    </row>
    <row r="13" spans="1:10">
      <c r="A13" s="56" t="s">
        <v>341</v>
      </c>
      <c r="B13" s="56" t="s">
        <v>342</v>
      </c>
      <c r="C13" s="57" t="s">
        <v>340</v>
      </c>
      <c r="D13" s="56"/>
      <c r="E13" s="58">
        <v>25.424999999999997</v>
      </c>
      <c r="F13" s="58">
        <f t="shared" si="0"/>
        <v>5.085</v>
      </c>
      <c r="G13" s="58">
        <f t="shared" si="1"/>
        <v>30.509999999999998</v>
      </c>
      <c r="H13" s="72" t="str">
        <f>IF(Tableau13456789101112131415[[#This Row],[QUANTITES]]="","",Tableau13456789101112131415[[#This Row],[QUANTITES]]*Tableau13456789101112131415[[#This Row],[PRIX VENTE HT]])</f>
        <v/>
      </c>
      <c r="I13" s="72" t="str">
        <f>IF(Tableau13456789101112131415[[#This Row],[QUANTITES]]="","",Tableau13456789101112131415[[#This Row],[QUANTITES]]*Tableau13456789101112131415[[#This Row],[MONTANT TVA]])</f>
        <v/>
      </c>
      <c r="J13" s="72" t="str">
        <f>IF(Tableau13456789101112131415[[#This Row],[QUANTITES]]="","",Tableau13456789101112131415[[#This Row],[QUANTITES]]*Tableau13456789101112131415[[#This Row],[PRIX DE VENTE TTC]])</f>
        <v/>
      </c>
    </row>
    <row r="14" spans="1:10">
      <c r="A14" s="56" t="s">
        <v>343</v>
      </c>
      <c r="B14" s="56" t="s">
        <v>344</v>
      </c>
      <c r="C14" s="56" t="s">
        <v>345</v>
      </c>
      <c r="D14" s="56"/>
      <c r="E14" s="58">
        <v>11.414</v>
      </c>
      <c r="F14" s="58">
        <f t="shared" si="0"/>
        <v>2.2827999999999999</v>
      </c>
      <c r="G14" s="58">
        <f t="shared" si="1"/>
        <v>13.6968</v>
      </c>
      <c r="H14" s="72" t="str">
        <f>IF(Tableau13456789101112131415[[#This Row],[QUANTITES]]="","",Tableau13456789101112131415[[#This Row],[QUANTITES]]*Tableau13456789101112131415[[#This Row],[PRIX VENTE HT]])</f>
        <v/>
      </c>
      <c r="I14" s="72" t="str">
        <f>IF(Tableau13456789101112131415[[#This Row],[QUANTITES]]="","",Tableau13456789101112131415[[#This Row],[QUANTITES]]*Tableau13456789101112131415[[#This Row],[MONTANT TVA]])</f>
        <v/>
      </c>
      <c r="J14" s="72" t="str">
        <f>IF(Tableau13456789101112131415[[#This Row],[QUANTITES]]="","",Tableau13456789101112131415[[#This Row],[QUANTITES]]*Tableau13456789101112131415[[#This Row],[PRIX DE VENTE TTC]])</f>
        <v/>
      </c>
    </row>
    <row r="15" spans="1:10">
      <c r="A15" s="56" t="s">
        <v>346</v>
      </c>
      <c r="B15" s="56" t="s">
        <v>347</v>
      </c>
      <c r="C15" s="56" t="s">
        <v>345</v>
      </c>
      <c r="D15" s="56"/>
      <c r="E15" s="58">
        <v>5.25</v>
      </c>
      <c r="F15" s="58">
        <f t="shared" si="0"/>
        <v>1.05</v>
      </c>
      <c r="G15" s="58">
        <f t="shared" si="1"/>
        <v>6.3</v>
      </c>
      <c r="H15" s="72" t="str">
        <f>IF(Tableau13456789101112131415[[#This Row],[QUANTITES]]="","",Tableau13456789101112131415[[#This Row],[QUANTITES]]*Tableau13456789101112131415[[#This Row],[PRIX VENTE HT]])</f>
        <v/>
      </c>
      <c r="I15" s="72" t="str">
        <f>IF(Tableau13456789101112131415[[#This Row],[QUANTITES]]="","",Tableau13456789101112131415[[#This Row],[QUANTITES]]*Tableau13456789101112131415[[#This Row],[MONTANT TVA]])</f>
        <v/>
      </c>
      <c r="J15" s="72" t="str">
        <f>IF(Tableau13456789101112131415[[#This Row],[QUANTITES]]="","",Tableau13456789101112131415[[#This Row],[QUANTITES]]*Tableau13456789101112131415[[#This Row],[PRIX DE VENTE TTC]])</f>
        <v/>
      </c>
    </row>
    <row r="16" spans="1:10">
      <c r="A16" s="56" t="s">
        <v>348</v>
      </c>
      <c r="B16" s="56" t="s">
        <v>349</v>
      </c>
      <c r="C16" s="56" t="s">
        <v>350</v>
      </c>
      <c r="D16" s="56"/>
      <c r="E16" s="58">
        <v>5.85</v>
      </c>
      <c r="F16" s="58">
        <f t="shared" si="0"/>
        <v>1.17</v>
      </c>
      <c r="G16" s="58">
        <f t="shared" si="1"/>
        <v>7.02</v>
      </c>
      <c r="H16" s="72" t="str">
        <f>IF(Tableau13456789101112131415[[#This Row],[QUANTITES]]="","",Tableau13456789101112131415[[#This Row],[QUANTITES]]*Tableau13456789101112131415[[#This Row],[PRIX VENTE HT]])</f>
        <v/>
      </c>
      <c r="I16" s="72" t="str">
        <f>IF(Tableau13456789101112131415[[#This Row],[QUANTITES]]="","",Tableau13456789101112131415[[#This Row],[QUANTITES]]*Tableau13456789101112131415[[#This Row],[MONTANT TVA]])</f>
        <v/>
      </c>
      <c r="J16" s="72" t="str">
        <f>IF(Tableau13456789101112131415[[#This Row],[QUANTITES]]="","",Tableau13456789101112131415[[#This Row],[QUANTITES]]*Tableau13456789101112131415[[#This Row],[PRIX DE VENTE TTC]])</f>
        <v/>
      </c>
    </row>
    <row r="17" spans="1:10">
      <c r="A17" s="56" t="s">
        <v>351</v>
      </c>
      <c r="B17" s="56" t="s">
        <v>352</v>
      </c>
      <c r="C17" s="56" t="s">
        <v>353</v>
      </c>
      <c r="D17" s="56"/>
      <c r="E17" s="58">
        <v>3.4499999999999997</v>
      </c>
      <c r="F17" s="58">
        <f t="shared" si="0"/>
        <v>0.69</v>
      </c>
      <c r="G17" s="58">
        <f t="shared" si="1"/>
        <v>4.1399999999999997</v>
      </c>
      <c r="H17" s="72" t="str">
        <f>IF(Tableau13456789101112131415[[#This Row],[QUANTITES]]="","",Tableau13456789101112131415[[#This Row],[QUANTITES]]*Tableau13456789101112131415[[#This Row],[PRIX VENTE HT]])</f>
        <v/>
      </c>
      <c r="I17" s="72" t="str">
        <f>IF(Tableau13456789101112131415[[#This Row],[QUANTITES]]="","",Tableau13456789101112131415[[#This Row],[QUANTITES]]*Tableau13456789101112131415[[#This Row],[MONTANT TVA]])</f>
        <v/>
      </c>
      <c r="J17" s="72" t="str">
        <f>IF(Tableau13456789101112131415[[#This Row],[QUANTITES]]="","",Tableau13456789101112131415[[#This Row],[QUANTITES]]*Tableau13456789101112131415[[#This Row],[PRIX DE VENTE TTC]])</f>
        <v/>
      </c>
    </row>
    <row r="18" spans="1:10">
      <c r="A18" s="56" t="s">
        <v>354</v>
      </c>
      <c r="B18" s="56" t="s">
        <v>355</v>
      </c>
      <c r="C18" s="56" t="s">
        <v>356</v>
      </c>
      <c r="D18" s="56"/>
      <c r="E18" s="58">
        <v>2.5499999999999998</v>
      </c>
      <c r="F18" s="58">
        <f t="shared" si="0"/>
        <v>0.51</v>
      </c>
      <c r="G18" s="58">
        <f t="shared" si="1"/>
        <v>3.0599999999999996</v>
      </c>
      <c r="H18" s="72" t="str">
        <f>IF(Tableau13456789101112131415[[#This Row],[QUANTITES]]="","",Tableau13456789101112131415[[#This Row],[QUANTITES]]*Tableau13456789101112131415[[#This Row],[PRIX VENTE HT]])</f>
        <v/>
      </c>
      <c r="I18" s="72" t="str">
        <f>IF(Tableau13456789101112131415[[#This Row],[QUANTITES]]="","",Tableau13456789101112131415[[#This Row],[QUANTITES]]*Tableau13456789101112131415[[#This Row],[MONTANT TVA]])</f>
        <v/>
      </c>
      <c r="J18" s="72" t="str">
        <f>IF(Tableau13456789101112131415[[#This Row],[QUANTITES]]="","",Tableau13456789101112131415[[#This Row],[QUANTITES]]*Tableau13456789101112131415[[#This Row],[PRIX DE VENTE TTC]])</f>
        <v/>
      </c>
    </row>
    <row r="19" spans="1:10">
      <c r="A19" s="56" t="s">
        <v>357</v>
      </c>
      <c r="B19" s="56" t="s">
        <v>358</v>
      </c>
      <c r="C19" s="56" t="s">
        <v>356</v>
      </c>
      <c r="D19" s="56"/>
      <c r="E19" s="58">
        <v>2.8499999999999996</v>
      </c>
      <c r="F19" s="58">
        <f t="shared" si="0"/>
        <v>0.56999999999999995</v>
      </c>
      <c r="G19" s="58">
        <f t="shared" si="1"/>
        <v>3.4199999999999995</v>
      </c>
      <c r="H19" s="72" t="str">
        <f>IF(Tableau13456789101112131415[[#This Row],[QUANTITES]]="","",Tableau13456789101112131415[[#This Row],[QUANTITES]]*Tableau13456789101112131415[[#This Row],[PRIX VENTE HT]])</f>
        <v/>
      </c>
      <c r="I19" s="72" t="str">
        <f>IF(Tableau13456789101112131415[[#This Row],[QUANTITES]]="","",Tableau13456789101112131415[[#This Row],[QUANTITES]]*Tableau13456789101112131415[[#This Row],[MONTANT TVA]])</f>
        <v/>
      </c>
      <c r="J19" s="72" t="str">
        <f>IF(Tableau13456789101112131415[[#This Row],[QUANTITES]]="","",Tableau13456789101112131415[[#This Row],[QUANTITES]]*Tableau13456789101112131415[[#This Row],[PRIX DE VENTE TTC]])</f>
        <v/>
      </c>
    </row>
    <row r="20" spans="1:10">
      <c r="A20" s="56" t="s">
        <v>359</v>
      </c>
      <c r="B20" s="56" t="s">
        <v>360</v>
      </c>
      <c r="C20" s="56" t="s">
        <v>361</v>
      </c>
      <c r="D20" s="56"/>
      <c r="E20" s="58">
        <v>4.8000000000000007</v>
      </c>
      <c r="F20" s="58">
        <f t="shared" si="0"/>
        <v>0.96000000000000019</v>
      </c>
      <c r="G20" s="58">
        <f t="shared" si="1"/>
        <v>5.7600000000000007</v>
      </c>
      <c r="H20" s="72" t="str">
        <f>IF(Tableau13456789101112131415[[#This Row],[QUANTITES]]="","",Tableau13456789101112131415[[#This Row],[QUANTITES]]*Tableau13456789101112131415[[#This Row],[PRIX VENTE HT]])</f>
        <v/>
      </c>
      <c r="I20" s="72" t="str">
        <f>IF(Tableau13456789101112131415[[#This Row],[QUANTITES]]="","",Tableau13456789101112131415[[#This Row],[QUANTITES]]*Tableau13456789101112131415[[#This Row],[MONTANT TVA]])</f>
        <v/>
      </c>
      <c r="J20" s="72" t="str">
        <f>IF(Tableau13456789101112131415[[#This Row],[QUANTITES]]="","",Tableau13456789101112131415[[#This Row],[QUANTITES]]*Tableau13456789101112131415[[#This Row],[PRIX DE VENTE TTC]])</f>
        <v/>
      </c>
    </row>
    <row r="21" spans="1:10">
      <c r="A21" s="56" t="s">
        <v>362</v>
      </c>
      <c r="B21" s="56" t="s">
        <v>363</v>
      </c>
      <c r="C21" s="56" t="s">
        <v>361</v>
      </c>
      <c r="D21" s="56"/>
      <c r="E21" s="58">
        <v>4.9499999999999993</v>
      </c>
      <c r="F21" s="58">
        <f t="shared" si="0"/>
        <v>0.98999999999999988</v>
      </c>
      <c r="G21" s="58">
        <f t="shared" si="1"/>
        <v>5.9399999999999995</v>
      </c>
      <c r="H21" s="72" t="str">
        <f>IF(Tableau13456789101112131415[[#This Row],[QUANTITES]]="","",Tableau13456789101112131415[[#This Row],[QUANTITES]]*Tableau13456789101112131415[[#This Row],[PRIX VENTE HT]])</f>
        <v/>
      </c>
      <c r="I21" s="72" t="str">
        <f>IF(Tableau13456789101112131415[[#This Row],[QUANTITES]]="","",Tableau13456789101112131415[[#This Row],[QUANTITES]]*Tableau13456789101112131415[[#This Row],[MONTANT TVA]])</f>
        <v/>
      </c>
      <c r="J21" s="72" t="str">
        <f>IF(Tableau13456789101112131415[[#This Row],[QUANTITES]]="","",Tableau13456789101112131415[[#This Row],[QUANTITES]]*Tableau13456789101112131415[[#This Row],[PRIX DE VENTE TTC]])</f>
        <v/>
      </c>
    </row>
    <row r="22" spans="1:10">
      <c r="A22" s="56" t="s">
        <v>364</v>
      </c>
      <c r="B22" s="56" t="s">
        <v>365</v>
      </c>
      <c r="C22" s="56" t="s">
        <v>366</v>
      </c>
      <c r="D22" s="56"/>
      <c r="E22" s="58">
        <v>7.92</v>
      </c>
      <c r="F22" s="58">
        <f t="shared" si="0"/>
        <v>1.5840000000000001</v>
      </c>
      <c r="G22" s="58">
        <f t="shared" si="1"/>
        <v>9.5039999999999996</v>
      </c>
      <c r="H22" s="72" t="str">
        <f>IF(Tableau13456789101112131415[[#This Row],[QUANTITES]]="","",Tableau13456789101112131415[[#This Row],[QUANTITES]]*Tableau13456789101112131415[[#This Row],[PRIX VENTE HT]])</f>
        <v/>
      </c>
      <c r="I22" s="72" t="str">
        <f>IF(Tableau13456789101112131415[[#This Row],[QUANTITES]]="","",Tableau13456789101112131415[[#This Row],[QUANTITES]]*Tableau13456789101112131415[[#This Row],[MONTANT TVA]])</f>
        <v/>
      </c>
      <c r="J22" s="72" t="str">
        <f>IF(Tableau13456789101112131415[[#This Row],[QUANTITES]]="","",Tableau13456789101112131415[[#This Row],[QUANTITES]]*Tableau13456789101112131415[[#This Row],[PRIX DE VENTE TTC]])</f>
        <v/>
      </c>
    </row>
    <row r="23" spans="1:10">
      <c r="A23" s="56" t="s">
        <v>367</v>
      </c>
      <c r="B23" s="56" t="s">
        <v>368</v>
      </c>
      <c r="C23" s="56" t="s">
        <v>369</v>
      </c>
      <c r="D23" s="56"/>
      <c r="E23" s="58">
        <v>17.28</v>
      </c>
      <c r="F23" s="58">
        <f t="shared" si="0"/>
        <v>3.4560000000000004</v>
      </c>
      <c r="G23" s="58">
        <f t="shared" si="1"/>
        <v>20.736000000000001</v>
      </c>
      <c r="H23" s="72" t="str">
        <f>IF(Tableau13456789101112131415[[#This Row],[QUANTITES]]="","",Tableau13456789101112131415[[#This Row],[QUANTITES]]*Tableau13456789101112131415[[#This Row],[PRIX VENTE HT]])</f>
        <v/>
      </c>
      <c r="I23" s="72" t="str">
        <f>IF(Tableau13456789101112131415[[#This Row],[QUANTITES]]="","",Tableau13456789101112131415[[#This Row],[QUANTITES]]*Tableau13456789101112131415[[#This Row],[MONTANT TVA]])</f>
        <v/>
      </c>
      <c r="J23" s="72" t="str">
        <f>IF(Tableau13456789101112131415[[#This Row],[QUANTITES]]="","",Tableau13456789101112131415[[#This Row],[QUANTITES]]*Tableau13456789101112131415[[#This Row],[PRIX DE VENTE TTC]])</f>
        <v/>
      </c>
    </row>
    <row r="24" spans="1:10">
      <c r="A24" s="56" t="s">
        <v>370</v>
      </c>
      <c r="B24" s="56" t="s">
        <v>371</v>
      </c>
      <c r="C24" s="56" t="s">
        <v>372</v>
      </c>
      <c r="D24" s="56"/>
      <c r="E24" s="58">
        <v>7.8000000000000007</v>
      </c>
      <c r="F24" s="58">
        <f t="shared" si="0"/>
        <v>1.5600000000000003</v>
      </c>
      <c r="G24" s="58">
        <f t="shared" si="1"/>
        <v>9.3600000000000012</v>
      </c>
      <c r="H24" s="72" t="str">
        <f>IF(Tableau13456789101112131415[[#This Row],[QUANTITES]]="","",Tableau13456789101112131415[[#This Row],[QUANTITES]]*Tableau13456789101112131415[[#This Row],[PRIX VENTE HT]])</f>
        <v/>
      </c>
      <c r="I24" s="72" t="str">
        <f>IF(Tableau13456789101112131415[[#This Row],[QUANTITES]]="","",Tableau13456789101112131415[[#This Row],[QUANTITES]]*Tableau13456789101112131415[[#This Row],[MONTANT TVA]])</f>
        <v/>
      </c>
      <c r="J24" s="72" t="str">
        <f>IF(Tableau13456789101112131415[[#This Row],[QUANTITES]]="","",Tableau13456789101112131415[[#This Row],[QUANTITES]]*Tableau13456789101112131415[[#This Row],[PRIX DE VENTE TTC]])</f>
        <v/>
      </c>
    </row>
    <row r="25" spans="1:10">
      <c r="A25" s="56" t="s">
        <v>373</v>
      </c>
      <c r="B25" s="56" t="s">
        <v>374</v>
      </c>
      <c r="C25" s="56" t="s">
        <v>375</v>
      </c>
      <c r="D25" s="56"/>
      <c r="E25" s="58">
        <v>6.75</v>
      </c>
      <c r="F25" s="58">
        <f t="shared" si="0"/>
        <v>1.35</v>
      </c>
      <c r="G25" s="58">
        <f t="shared" si="1"/>
        <v>8.1</v>
      </c>
      <c r="H25" s="72" t="str">
        <f>IF(Tableau13456789101112131415[[#This Row],[QUANTITES]]="","",Tableau13456789101112131415[[#This Row],[QUANTITES]]*Tableau13456789101112131415[[#This Row],[PRIX VENTE HT]])</f>
        <v/>
      </c>
      <c r="I25" s="72" t="str">
        <f>IF(Tableau13456789101112131415[[#This Row],[QUANTITES]]="","",Tableau13456789101112131415[[#This Row],[QUANTITES]]*Tableau13456789101112131415[[#This Row],[MONTANT TVA]])</f>
        <v/>
      </c>
      <c r="J25" s="72" t="str">
        <f>IF(Tableau13456789101112131415[[#This Row],[QUANTITES]]="","",Tableau13456789101112131415[[#This Row],[QUANTITES]]*Tableau13456789101112131415[[#This Row],[PRIX DE VENTE TTC]])</f>
        <v/>
      </c>
    </row>
    <row r="26" spans="1:10">
      <c r="A26" s="56" t="s">
        <v>376</v>
      </c>
      <c r="B26" s="56" t="s">
        <v>377</v>
      </c>
      <c r="C26" s="56" t="s">
        <v>378</v>
      </c>
      <c r="D26" s="56"/>
      <c r="E26" s="58">
        <v>20.309999999999999</v>
      </c>
      <c r="F26" s="58">
        <f t="shared" si="0"/>
        <v>4.0620000000000003</v>
      </c>
      <c r="G26" s="58">
        <f t="shared" si="1"/>
        <v>24.372</v>
      </c>
      <c r="H26" s="72" t="str">
        <f>IF(Tableau13456789101112131415[[#This Row],[QUANTITES]]="","",Tableau13456789101112131415[[#This Row],[QUANTITES]]*Tableau13456789101112131415[[#This Row],[PRIX VENTE HT]])</f>
        <v/>
      </c>
      <c r="I26" s="72" t="str">
        <f>IF(Tableau13456789101112131415[[#This Row],[QUANTITES]]="","",Tableau13456789101112131415[[#This Row],[QUANTITES]]*Tableau13456789101112131415[[#This Row],[MONTANT TVA]])</f>
        <v/>
      </c>
      <c r="J26" s="72" t="str">
        <f>IF(Tableau13456789101112131415[[#This Row],[QUANTITES]]="","",Tableau13456789101112131415[[#This Row],[QUANTITES]]*Tableau13456789101112131415[[#This Row],[PRIX DE VENTE TTC]])</f>
        <v/>
      </c>
    </row>
    <row r="27" spans="1:10">
      <c r="A27" s="56" t="s">
        <v>379</v>
      </c>
      <c r="B27" s="56" t="s">
        <v>377</v>
      </c>
      <c r="C27" s="56" t="s">
        <v>380</v>
      </c>
      <c r="D27" s="56"/>
      <c r="E27" s="58">
        <v>36.54</v>
      </c>
      <c r="F27" s="58">
        <f t="shared" si="0"/>
        <v>7.3079999999999998</v>
      </c>
      <c r="G27" s="58">
        <f t="shared" si="1"/>
        <v>43.847999999999999</v>
      </c>
      <c r="H27" s="72" t="str">
        <f>IF(Tableau13456789101112131415[[#This Row],[QUANTITES]]="","",Tableau13456789101112131415[[#This Row],[QUANTITES]]*Tableau13456789101112131415[[#This Row],[PRIX VENTE HT]])</f>
        <v/>
      </c>
      <c r="I27" s="72" t="str">
        <f>IF(Tableau13456789101112131415[[#This Row],[QUANTITES]]="","",Tableau13456789101112131415[[#This Row],[QUANTITES]]*Tableau13456789101112131415[[#This Row],[MONTANT TVA]])</f>
        <v/>
      </c>
      <c r="J27" s="72" t="str">
        <f>IF(Tableau13456789101112131415[[#This Row],[QUANTITES]]="","",Tableau13456789101112131415[[#This Row],[QUANTITES]]*Tableau13456789101112131415[[#This Row],[PRIX DE VENTE TTC]])</f>
        <v/>
      </c>
    </row>
    <row r="28" spans="1:10">
      <c r="A28" s="56" t="s">
        <v>381</v>
      </c>
      <c r="B28" s="56" t="s">
        <v>382</v>
      </c>
      <c r="C28" s="56" t="s">
        <v>383</v>
      </c>
      <c r="D28" s="56"/>
      <c r="E28" s="58">
        <v>15.75</v>
      </c>
      <c r="F28" s="58">
        <f t="shared" si="0"/>
        <v>3.1500000000000004</v>
      </c>
      <c r="G28" s="58">
        <f t="shared" si="1"/>
        <v>18.899999999999999</v>
      </c>
      <c r="H28" s="72" t="str">
        <f>IF(Tableau13456789101112131415[[#This Row],[QUANTITES]]="","",Tableau13456789101112131415[[#This Row],[QUANTITES]]*Tableau13456789101112131415[[#This Row],[PRIX VENTE HT]])</f>
        <v/>
      </c>
      <c r="I28" s="72" t="str">
        <f>IF(Tableau13456789101112131415[[#This Row],[QUANTITES]]="","",Tableau13456789101112131415[[#This Row],[QUANTITES]]*Tableau13456789101112131415[[#This Row],[MONTANT TVA]])</f>
        <v/>
      </c>
      <c r="J28" s="72" t="str">
        <f>IF(Tableau13456789101112131415[[#This Row],[QUANTITES]]="","",Tableau13456789101112131415[[#This Row],[QUANTITES]]*Tableau13456789101112131415[[#This Row],[PRIX DE VENTE TTC]])</f>
        <v/>
      </c>
    </row>
    <row r="29" spans="1:10">
      <c r="A29" s="56" t="s">
        <v>384</v>
      </c>
      <c r="B29" s="56" t="s">
        <v>385</v>
      </c>
      <c r="C29" s="56" t="s">
        <v>386</v>
      </c>
      <c r="D29" s="56"/>
      <c r="E29" s="58">
        <v>5.3999999999999992E-2</v>
      </c>
      <c r="F29" s="58">
        <f t="shared" si="0"/>
        <v>1.0799999999999999E-2</v>
      </c>
      <c r="G29" s="58">
        <f t="shared" si="1"/>
        <v>6.4799999999999996E-2</v>
      </c>
      <c r="H29" s="72" t="str">
        <f>IF(Tableau13456789101112131415[[#This Row],[QUANTITES]]="","",Tableau13456789101112131415[[#This Row],[QUANTITES]]*Tableau13456789101112131415[[#This Row],[PRIX VENTE HT]])</f>
        <v/>
      </c>
      <c r="I29" s="72" t="str">
        <f>IF(Tableau13456789101112131415[[#This Row],[QUANTITES]]="","",Tableau13456789101112131415[[#This Row],[QUANTITES]]*Tableau13456789101112131415[[#This Row],[MONTANT TVA]])</f>
        <v/>
      </c>
      <c r="J29" s="72" t="str">
        <f>IF(Tableau13456789101112131415[[#This Row],[QUANTITES]]="","",Tableau13456789101112131415[[#This Row],[QUANTITES]]*Tableau13456789101112131415[[#This Row],[PRIX DE VENTE TTC]])</f>
        <v/>
      </c>
    </row>
    <row r="30" spans="1:10">
      <c r="A30" s="56" t="s">
        <v>387</v>
      </c>
      <c r="B30" s="56" t="s">
        <v>388</v>
      </c>
      <c r="C30" s="56" t="s">
        <v>386</v>
      </c>
      <c r="D30" s="56"/>
      <c r="E30" s="58">
        <v>2.6999999999999996E-2</v>
      </c>
      <c r="F30" s="58">
        <f t="shared" si="0"/>
        <v>5.3999999999999994E-3</v>
      </c>
      <c r="G30" s="58">
        <f t="shared" si="1"/>
        <v>3.2399999999999998E-2</v>
      </c>
      <c r="H30" s="72" t="str">
        <f>IF(Tableau13456789101112131415[[#This Row],[QUANTITES]]="","",Tableau13456789101112131415[[#This Row],[QUANTITES]]*Tableau13456789101112131415[[#This Row],[PRIX VENTE HT]])</f>
        <v/>
      </c>
      <c r="I30" s="72" t="str">
        <f>IF(Tableau13456789101112131415[[#This Row],[QUANTITES]]="","",Tableau13456789101112131415[[#This Row],[QUANTITES]]*Tableau13456789101112131415[[#This Row],[MONTANT TVA]])</f>
        <v/>
      </c>
      <c r="J30" s="72" t="str">
        <f>IF(Tableau13456789101112131415[[#This Row],[QUANTITES]]="","",Tableau13456789101112131415[[#This Row],[QUANTITES]]*Tableau13456789101112131415[[#This Row],[PRIX DE VENTE TTC]])</f>
        <v/>
      </c>
    </row>
    <row r="31" spans="1:10">
      <c r="A31" s="56" t="s">
        <v>389</v>
      </c>
      <c r="B31" s="56" t="s">
        <v>390</v>
      </c>
      <c r="C31" s="56" t="s">
        <v>391</v>
      </c>
      <c r="D31" s="56"/>
      <c r="E31" s="58">
        <v>29.700000000000003</v>
      </c>
      <c r="F31" s="58">
        <f t="shared" si="0"/>
        <v>5.9400000000000013</v>
      </c>
      <c r="G31" s="58">
        <f t="shared" si="1"/>
        <v>35.64</v>
      </c>
      <c r="H31" s="72" t="str">
        <f>IF(Tableau13456789101112131415[[#This Row],[QUANTITES]]="","",Tableau13456789101112131415[[#This Row],[QUANTITES]]*Tableau13456789101112131415[[#This Row],[PRIX VENTE HT]])</f>
        <v/>
      </c>
      <c r="I31" s="72" t="str">
        <f>IF(Tableau13456789101112131415[[#This Row],[QUANTITES]]="","",Tableau13456789101112131415[[#This Row],[QUANTITES]]*Tableau13456789101112131415[[#This Row],[MONTANT TVA]])</f>
        <v/>
      </c>
      <c r="J31" s="72" t="str">
        <f>IF(Tableau13456789101112131415[[#This Row],[QUANTITES]]="","",Tableau13456789101112131415[[#This Row],[QUANTITES]]*Tableau13456789101112131415[[#This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ignoredErrors>
    <ignoredError sqref="H9:J31" calculatedColumn="1"/>
  </ignoredErrors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 enableFormatConditionsCalculation="0"/>
  <dimension ref="A6:J13"/>
  <sheetViews>
    <sheetView showGridLines="0" workbookViewId="0">
      <selection activeCell="D10" sqref="D9:D13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 ht="13">
      <c r="A9" s="56" t="s">
        <v>392</v>
      </c>
      <c r="B9" s="60" t="s">
        <v>393</v>
      </c>
      <c r="C9" s="56" t="s">
        <v>394</v>
      </c>
      <c r="D9" s="56"/>
      <c r="E9" s="58">
        <v>64.050000000000011</v>
      </c>
      <c r="F9" s="58">
        <f>E9*$G$7</f>
        <v>12.810000000000002</v>
      </c>
      <c r="G9" s="58">
        <f>E9+F9</f>
        <v>76.860000000000014</v>
      </c>
      <c r="H9" s="71" t="str">
        <f>IF(Tableau1345678910111213141516[[#This Row],[QUANTITES]]="","",Tableau1345678910111213141516[[#This Row],[QUANTITES]]*Tableau1345678910111213141516[[#This Row],[PRIX VENTE HT]])</f>
        <v/>
      </c>
      <c r="I9" s="71" t="str">
        <f>IF(Tableau1345678910111213141516[[#This Row],[QUANTITES]]="","",Tableau1345678910111213141516[[#This Row],[QUANTITES]]*Tableau1345678910111213141516[[#This Row],[MONTANT TVA]])</f>
        <v/>
      </c>
      <c r="J9" s="71" t="str">
        <f>IF(Tableau1345678910111213141516[[#This Row],[QUANTITES]]="","",Tableau1345678910111213141516[[#This Row],[QUANTITES]]*Tableau1345678910111213141516[[#This Row],[PRIX DE VENTE TTC]])</f>
        <v/>
      </c>
    </row>
    <row r="10" spans="1:10">
      <c r="A10" s="56" t="s">
        <v>395</v>
      </c>
      <c r="B10" s="56" t="s">
        <v>396</v>
      </c>
      <c r="C10" s="56" t="s">
        <v>397</v>
      </c>
      <c r="D10" s="56"/>
      <c r="E10" s="58">
        <v>31</v>
      </c>
      <c r="F10" s="58">
        <f>E10*$G$7</f>
        <v>6.2</v>
      </c>
      <c r="G10" s="58">
        <f>E10+F10</f>
        <v>37.200000000000003</v>
      </c>
      <c r="H10" s="72" t="str">
        <f>IF(Tableau1345678910111213141516[[#This Row],[QUANTITES]]="","",Tableau1345678910111213141516[[#This Row],[QUANTITES]]*Tableau1345678910111213141516[[#This Row],[PRIX VENTE HT]])</f>
        <v/>
      </c>
      <c r="I10" s="72" t="str">
        <f>IF(Tableau1345678910111213141516[[#This Row],[QUANTITES]]="","",Tableau1345678910111213141516[[#This Row],[QUANTITES]]*Tableau1345678910111213141516[[#This Row],[MONTANT TVA]])</f>
        <v/>
      </c>
      <c r="J10" s="72" t="str">
        <f>IF(Tableau1345678910111213141516[[#This Row],[QUANTITES]]="","",Tableau1345678910111213141516[[#This Row],[QUANTITES]]*Tableau1345678910111213141516[[#This Row],[PRIX DE VENTE TTC]])</f>
        <v/>
      </c>
    </row>
    <row r="11" spans="1:10">
      <c r="A11" s="56" t="s">
        <v>398</v>
      </c>
      <c r="B11" s="56" t="s">
        <v>399</v>
      </c>
      <c r="C11" s="56" t="s">
        <v>361</v>
      </c>
      <c r="D11" s="56"/>
      <c r="E11" s="58">
        <v>0</v>
      </c>
      <c r="F11" s="58">
        <f>E11*$G$7</f>
        <v>0</v>
      </c>
      <c r="G11" s="58">
        <f>E11+F11</f>
        <v>0</v>
      </c>
      <c r="H11" s="72" t="str">
        <f>IF(Tableau1345678910111213141516[[#This Row],[QUANTITES]]="","",Tableau1345678910111213141516[[#This Row],[QUANTITES]]*Tableau1345678910111213141516[[#This Row],[PRIX VENTE HT]])</f>
        <v/>
      </c>
      <c r="I11" s="72" t="str">
        <f>IF(Tableau1345678910111213141516[[#This Row],[QUANTITES]]="","",Tableau1345678910111213141516[[#This Row],[QUANTITES]]*Tableau1345678910111213141516[[#This Row],[MONTANT TVA]])</f>
        <v/>
      </c>
      <c r="J11" s="72" t="str">
        <f>IF(Tableau1345678910111213141516[[#This Row],[QUANTITES]]="","",Tableau1345678910111213141516[[#This Row],[QUANTITES]]*Tableau1345678910111213141516[[#This Row],[PRIX DE VENTE TTC]])</f>
        <v/>
      </c>
    </row>
    <row r="12" spans="1:10">
      <c r="A12" s="56" t="s">
        <v>400</v>
      </c>
      <c r="B12" s="56" t="s">
        <v>401</v>
      </c>
      <c r="C12" s="56" t="s">
        <v>361</v>
      </c>
      <c r="D12" s="56"/>
      <c r="E12" s="58">
        <v>2.5499999999999998</v>
      </c>
      <c r="F12" s="58">
        <f>E12*$G$7</f>
        <v>0.51</v>
      </c>
      <c r="G12" s="58">
        <f>E12+F12</f>
        <v>3.0599999999999996</v>
      </c>
      <c r="H12" s="72" t="str">
        <f>IF(Tableau1345678910111213141516[[#This Row],[QUANTITES]]="","",Tableau1345678910111213141516[[#This Row],[QUANTITES]]*Tableau1345678910111213141516[[#This Row],[PRIX VENTE HT]])</f>
        <v/>
      </c>
      <c r="I12" s="72" t="str">
        <f>IF(Tableau1345678910111213141516[[#This Row],[QUANTITES]]="","",Tableau1345678910111213141516[[#This Row],[QUANTITES]]*Tableau1345678910111213141516[[#This Row],[MONTANT TVA]])</f>
        <v/>
      </c>
      <c r="J12" s="72" t="str">
        <f>IF(Tableau1345678910111213141516[[#This Row],[QUANTITES]]="","",Tableau1345678910111213141516[[#This Row],[QUANTITES]]*Tableau1345678910111213141516[[#This Row],[PRIX DE VENTE TTC]])</f>
        <v/>
      </c>
    </row>
    <row r="13" spans="1:10">
      <c r="A13" s="56" t="s">
        <v>402</v>
      </c>
      <c r="B13" s="56" t="s">
        <v>403</v>
      </c>
      <c r="C13" s="56" t="s">
        <v>404</v>
      </c>
      <c r="D13" s="56"/>
      <c r="E13" s="58">
        <v>15.809999999999999</v>
      </c>
      <c r="F13" s="58">
        <f>E13*$G$7</f>
        <v>3.1619999999999999</v>
      </c>
      <c r="G13" s="58">
        <f>E13+F13</f>
        <v>18.971999999999998</v>
      </c>
      <c r="H13" s="72" t="str">
        <f>IF(Tableau1345678910111213141516[[#This Row],[QUANTITES]]="","",Tableau1345678910111213141516[[#This Row],[QUANTITES]]*Tableau1345678910111213141516[[#This Row],[PRIX VENTE HT]])</f>
        <v/>
      </c>
      <c r="I13" s="72" t="str">
        <f>IF(Tableau1345678910111213141516[[#This Row],[QUANTITES]]="","",Tableau1345678910111213141516[[#This Row],[QUANTITES]]*Tableau1345678910111213141516[[#This Row],[MONTANT TVA]])</f>
        <v/>
      </c>
      <c r="J13" s="72" t="str">
        <f>IF(Tableau1345678910111213141516[[#This Row],[QUANTITES]]="","",Tableau1345678910111213141516[[#This Row],[QUANTITES]]*Tableau1345678910111213141516[[#This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ignoredErrors>
    <ignoredError sqref="H9:J13" calculatedColumn="1"/>
  </ignoredErrors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 enableFormatConditionsCalculation="0"/>
  <dimension ref="A6:J19"/>
  <sheetViews>
    <sheetView showGridLines="0" workbookViewId="0">
      <selection activeCell="B28" sqref="B28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>
      <c r="A9" s="56" t="s">
        <v>405</v>
      </c>
      <c r="B9" s="56" t="s">
        <v>406</v>
      </c>
      <c r="C9" s="57" t="s">
        <v>407</v>
      </c>
      <c r="D9" s="57"/>
      <c r="E9" s="58">
        <v>399.48</v>
      </c>
      <c r="F9" s="58">
        <f t="shared" ref="F9:F18" si="0">E9*$G$7</f>
        <v>79.896000000000015</v>
      </c>
      <c r="G9" s="58">
        <f t="shared" ref="G9:G18" si="1">E9+F9</f>
        <v>479.37600000000003</v>
      </c>
      <c r="H9" s="71" t="str">
        <f>IF(Tableau134567891011121314151617[[#This Row],[QUANTITES]]="","",Tableau134567891011121314151617[[#This Row],[QUANTITES]]*Tableau134567891011121314151617[[#This Row],[PRIX VENTE HT]])</f>
        <v/>
      </c>
      <c r="I9" s="71" t="str">
        <f>IF(Tableau134567891011121314151617[[#This Row],[QUANTITES]]="","",Tableau134567891011121314151617[[#This Row],[QUANTITES]]*Tableau134567891011121314151617[[#This Row],[MONTANT TVA]])</f>
        <v/>
      </c>
      <c r="J9" s="71" t="str">
        <f>IF(Tableau134567891011121314151617[[#This Row],[QUANTITES]]="","",Tableau134567891011121314151617[[#This Row],[QUANTITES]]*Tableau134567891011121314151617[[#This Row],[PRIX DE VENTE TTC]])</f>
        <v/>
      </c>
    </row>
    <row r="10" spans="1:10" ht="13">
      <c r="A10" s="56" t="s">
        <v>408</v>
      </c>
      <c r="B10" s="60" t="s">
        <v>409</v>
      </c>
      <c r="C10" s="56" t="s">
        <v>410</v>
      </c>
      <c r="D10" s="57"/>
      <c r="E10" s="58">
        <v>119.02500000000001</v>
      </c>
      <c r="F10" s="58">
        <f t="shared" si="0"/>
        <v>23.805000000000003</v>
      </c>
      <c r="G10" s="58">
        <f t="shared" si="1"/>
        <v>142.83000000000001</v>
      </c>
      <c r="H10" s="72" t="str">
        <f>IF(Tableau134567891011121314151617[[#This Row],[QUANTITES]]="","",Tableau134567891011121314151617[[#This Row],[QUANTITES]]*Tableau134567891011121314151617[[#This Row],[PRIX VENTE HT]])</f>
        <v/>
      </c>
      <c r="I10" s="72" t="str">
        <f>IF(Tableau134567891011121314151617[[#This Row],[QUANTITES]]="","",Tableau134567891011121314151617[[#This Row],[QUANTITES]]*Tableau134567891011121314151617[[#This Row],[MONTANT TVA]])</f>
        <v/>
      </c>
      <c r="J10" s="72" t="str">
        <f>IF(Tableau134567891011121314151617[[#This Row],[QUANTITES]]="","",Tableau134567891011121314151617[[#This Row],[QUANTITES]]*Tableau134567891011121314151617[[#This Row],[PRIX DE VENTE TTC]])</f>
        <v/>
      </c>
    </row>
    <row r="11" spans="1:10" ht="13">
      <c r="A11" s="56" t="s">
        <v>411</v>
      </c>
      <c r="B11" s="60" t="s">
        <v>412</v>
      </c>
      <c r="C11" s="56" t="s">
        <v>410</v>
      </c>
      <c r="D11" s="57"/>
      <c r="E11" s="58">
        <v>64.260000000000005</v>
      </c>
      <c r="F11" s="58">
        <f t="shared" si="0"/>
        <v>12.852000000000002</v>
      </c>
      <c r="G11" s="58">
        <f t="shared" si="1"/>
        <v>77.112000000000009</v>
      </c>
      <c r="H11" s="72" t="str">
        <f>IF(Tableau134567891011121314151617[[#This Row],[QUANTITES]]="","",Tableau134567891011121314151617[[#This Row],[QUANTITES]]*Tableau134567891011121314151617[[#This Row],[PRIX VENTE HT]])</f>
        <v/>
      </c>
      <c r="I11" s="72" t="str">
        <f>IF(Tableau134567891011121314151617[[#This Row],[QUANTITES]]="","",Tableau134567891011121314151617[[#This Row],[QUANTITES]]*Tableau134567891011121314151617[[#This Row],[MONTANT TVA]])</f>
        <v/>
      </c>
      <c r="J11" s="72" t="str">
        <f>IF(Tableau134567891011121314151617[[#This Row],[QUANTITES]]="","",Tableau134567891011121314151617[[#This Row],[QUANTITES]]*Tableau134567891011121314151617[[#This Row],[PRIX DE VENTE TTC]])</f>
        <v/>
      </c>
    </row>
    <row r="12" spans="1:10" ht="13">
      <c r="A12" s="56" t="s">
        <v>413</v>
      </c>
      <c r="B12" s="60" t="s">
        <v>414</v>
      </c>
      <c r="C12" s="56" t="s">
        <v>415</v>
      </c>
      <c r="D12" s="57"/>
      <c r="E12" s="58">
        <v>26.8</v>
      </c>
      <c r="F12" s="58">
        <f t="shared" si="0"/>
        <v>5.36</v>
      </c>
      <c r="G12" s="58">
        <f t="shared" si="1"/>
        <v>32.160000000000004</v>
      </c>
      <c r="H12" s="72" t="str">
        <f>IF(Tableau134567891011121314151617[[#This Row],[QUANTITES]]="","",Tableau134567891011121314151617[[#This Row],[QUANTITES]]*Tableau134567891011121314151617[[#This Row],[PRIX VENTE HT]])</f>
        <v/>
      </c>
      <c r="I12" s="72" t="str">
        <f>IF(Tableau134567891011121314151617[[#This Row],[QUANTITES]]="","",Tableau134567891011121314151617[[#This Row],[QUANTITES]]*Tableau134567891011121314151617[[#This Row],[MONTANT TVA]])</f>
        <v/>
      </c>
      <c r="J12" s="72" t="str">
        <f>IF(Tableau134567891011121314151617[[#This Row],[QUANTITES]]="","",Tableau134567891011121314151617[[#This Row],[QUANTITES]]*Tableau134567891011121314151617[[#This Row],[PRIX DE VENTE TTC]])</f>
        <v/>
      </c>
    </row>
    <row r="13" spans="1:10" ht="13">
      <c r="A13" s="56" t="s">
        <v>416</v>
      </c>
      <c r="B13" s="60" t="s">
        <v>417</v>
      </c>
      <c r="C13" s="56" t="s">
        <v>418</v>
      </c>
      <c r="D13" s="57"/>
      <c r="E13" s="58">
        <v>16.649999999999999</v>
      </c>
      <c r="F13" s="58">
        <f t="shared" si="0"/>
        <v>3.33</v>
      </c>
      <c r="G13" s="58">
        <f t="shared" si="1"/>
        <v>19.979999999999997</v>
      </c>
      <c r="H13" s="72" t="str">
        <f>IF(Tableau134567891011121314151617[[#This Row],[QUANTITES]]="","",Tableau134567891011121314151617[[#This Row],[QUANTITES]]*Tableau134567891011121314151617[[#This Row],[PRIX VENTE HT]])</f>
        <v/>
      </c>
      <c r="I13" s="72" t="str">
        <f>IF(Tableau134567891011121314151617[[#This Row],[QUANTITES]]="","",Tableau134567891011121314151617[[#This Row],[QUANTITES]]*Tableau134567891011121314151617[[#This Row],[MONTANT TVA]])</f>
        <v/>
      </c>
      <c r="J13" s="72" t="str">
        <f>IF(Tableau134567891011121314151617[[#This Row],[QUANTITES]]="","",Tableau134567891011121314151617[[#This Row],[QUANTITES]]*Tableau134567891011121314151617[[#This Row],[PRIX DE VENTE TTC]])</f>
        <v/>
      </c>
    </row>
    <row r="14" spans="1:10">
      <c r="A14" s="56" t="s">
        <v>419</v>
      </c>
      <c r="B14" s="56" t="s">
        <v>420</v>
      </c>
      <c r="C14" s="57" t="s">
        <v>421</v>
      </c>
      <c r="D14" s="57"/>
      <c r="E14" s="58">
        <v>22.5</v>
      </c>
      <c r="F14" s="58">
        <f t="shared" si="0"/>
        <v>4.5</v>
      </c>
      <c r="G14" s="58">
        <f t="shared" si="1"/>
        <v>27</v>
      </c>
      <c r="H14" s="72" t="str">
        <f>IF(Tableau134567891011121314151617[[#This Row],[QUANTITES]]="","",Tableau134567891011121314151617[[#This Row],[QUANTITES]]*Tableau134567891011121314151617[[#This Row],[PRIX VENTE HT]])</f>
        <v/>
      </c>
      <c r="I14" s="72" t="str">
        <f>IF(Tableau134567891011121314151617[[#This Row],[QUANTITES]]="","",Tableau134567891011121314151617[[#This Row],[QUANTITES]]*Tableau134567891011121314151617[[#This Row],[MONTANT TVA]])</f>
        <v/>
      </c>
      <c r="J14" s="72" t="str">
        <f>IF(Tableau134567891011121314151617[[#This Row],[QUANTITES]]="","",Tableau134567891011121314151617[[#This Row],[QUANTITES]]*Tableau134567891011121314151617[[#This Row],[PRIX DE VENTE TTC]])</f>
        <v/>
      </c>
    </row>
    <row r="15" spans="1:10" ht="13">
      <c r="A15" s="56" t="s">
        <v>422</v>
      </c>
      <c r="B15" s="60" t="s">
        <v>423</v>
      </c>
      <c r="C15" s="56" t="s">
        <v>424</v>
      </c>
      <c r="D15" s="57"/>
      <c r="E15" s="58">
        <v>23.145</v>
      </c>
      <c r="F15" s="58">
        <f t="shared" si="0"/>
        <v>4.6290000000000004</v>
      </c>
      <c r="G15" s="58">
        <f t="shared" si="1"/>
        <v>27.774000000000001</v>
      </c>
      <c r="H15" s="72" t="str">
        <f>IF(Tableau134567891011121314151617[[#This Row],[QUANTITES]]="","",Tableau134567891011121314151617[[#This Row],[QUANTITES]]*Tableau134567891011121314151617[[#This Row],[PRIX VENTE HT]])</f>
        <v/>
      </c>
      <c r="I15" s="72" t="str">
        <f>IF(Tableau134567891011121314151617[[#This Row],[QUANTITES]]="","",Tableau134567891011121314151617[[#This Row],[QUANTITES]]*Tableau134567891011121314151617[[#This Row],[MONTANT TVA]])</f>
        <v/>
      </c>
      <c r="J15" s="72" t="str">
        <f>IF(Tableau134567891011121314151617[[#This Row],[QUANTITES]]="","",Tableau134567891011121314151617[[#This Row],[QUANTITES]]*Tableau134567891011121314151617[[#This Row],[PRIX DE VENTE TTC]])</f>
        <v/>
      </c>
    </row>
    <row r="16" spans="1:10" ht="13">
      <c r="A16" s="56" t="s">
        <v>425</v>
      </c>
      <c r="B16" s="60" t="s">
        <v>426</v>
      </c>
      <c r="C16" s="56" t="s">
        <v>427</v>
      </c>
      <c r="D16" s="57"/>
      <c r="E16" s="58">
        <v>19.875</v>
      </c>
      <c r="F16" s="58">
        <f t="shared" si="0"/>
        <v>3.9750000000000001</v>
      </c>
      <c r="G16" s="58">
        <f t="shared" si="1"/>
        <v>23.85</v>
      </c>
      <c r="H16" s="72" t="str">
        <f>IF(Tableau134567891011121314151617[[#This Row],[QUANTITES]]="","",Tableau134567891011121314151617[[#This Row],[QUANTITES]]*Tableau134567891011121314151617[[#This Row],[PRIX VENTE HT]])</f>
        <v/>
      </c>
      <c r="I16" s="72" t="str">
        <f>IF(Tableau134567891011121314151617[[#This Row],[QUANTITES]]="","",Tableau134567891011121314151617[[#This Row],[QUANTITES]]*Tableau134567891011121314151617[[#This Row],[MONTANT TVA]])</f>
        <v/>
      </c>
      <c r="J16" s="72" t="str">
        <f>IF(Tableau134567891011121314151617[[#This Row],[QUANTITES]]="","",Tableau134567891011121314151617[[#This Row],[QUANTITES]]*Tableau134567891011121314151617[[#This Row],[PRIX DE VENTE TTC]])</f>
        <v/>
      </c>
    </row>
    <row r="17" spans="1:10" ht="13">
      <c r="A17" s="56" t="s">
        <v>428</v>
      </c>
      <c r="B17" s="60" t="s">
        <v>429</v>
      </c>
      <c r="C17" s="56" t="s">
        <v>430</v>
      </c>
      <c r="D17" s="57"/>
      <c r="E17" s="58">
        <v>7.5</v>
      </c>
      <c r="F17" s="58">
        <f t="shared" si="0"/>
        <v>1.5</v>
      </c>
      <c r="G17" s="58">
        <f t="shared" si="1"/>
        <v>9</v>
      </c>
      <c r="H17" s="72" t="str">
        <f>IF(Tableau134567891011121314151617[[#This Row],[QUANTITES]]="","",Tableau134567891011121314151617[[#This Row],[QUANTITES]]*Tableau134567891011121314151617[[#This Row],[PRIX VENTE HT]])</f>
        <v/>
      </c>
      <c r="I17" s="72" t="str">
        <f>IF(Tableau134567891011121314151617[[#This Row],[QUANTITES]]="","",Tableau134567891011121314151617[[#This Row],[QUANTITES]]*Tableau134567891011121314151617[[#This Row],[MONTANT TVA]])</f>
        <v/>
      </c>
      <c r="J17" s="72" t="str">
        <f>IF(Tableau134567891011121314151617[[#This Row],[QUANTITES]]="","",Tableau134567891011121314151617[[#This Row],[QUANTITES]]*Tableau134567891011121314151617[[#This Row],[PRIX DE VENTE TTC]])</f>
        <v/>
      </c>
    </row>
    <row r="18" spans="1:10" ht="13">
      <c r="A18" s="56" t="s">
        <v>431</v>
      </c>
      <c r="B18" s="60" t="s">
        <v>432</v>
      </c>
      <c r="C18" s="56" t="s">
        <v>433</v>
      </c>
      <c r="D18" s="57"/>
      <c r="E18" s="58">
        <v>28.253999999999994</v>
      </c>
      <c r="F18" s="58">
        <f t="shared" si="0"/>
        <v>5.6507999999999994</v>
      </c>
      <c r="G18" s="58">
        <f t="shared" si="1"/>
        <v>33.904799999999994</v>
      </c>
      <c r="H18" s="72" t="str">
        <f>IF(Tableau134567891011121314151617[[#This Row],[QUANTITES]]="","",Tableau134567891011121314151617[[#This Row],[QUANTITES]]*Tableau134567891011121314151617[[#This Row],[PRIX VENTE HT]])</f>
        <v/>
      </c>
      <c r="I18" s="72" t="str">
        <f>IF(Tableau134567891011121314151617[[#This Row],[QUANTITES]]="","",Tableau134567891011121314151617[[#This Row],[QUANTITES]]*Tableau134567891011121314151617[[#This Row],[MONTANT TVA]])</f>
        <v/>
      </c>
      <c r="J18" s="72" t="str">
        <f>IF(Tableau134567891011121314151617[[#This Row],[QUANTITES]]="","",Tableau134567891011121314151617[[#This Row],[QUANTITES]]*Tableau134567891011121314151617[[#This Row],[PRIX DE VENTE TTC]])</f>
        <v/>
      </c>
    </row>
    <row r="19" spans="1:10">
      <c r="A19" s="76"/>
      <c r="B19" s="76"/>
      <c r="C19" s="76"/>
      <c r="D19" s="57"/>
      <c r="E19" s="72"/>
      <c r="F19" s="72">
        <f>E19*$G$7</f>
        <v>0</v>
      </c>
      <c r="G19" s="72">
        <f>E19+F19</f>
        <v>0</v>
      </c>
      <c r="H19" s="72" t="str">
        <f>IF(Tableau13[[#This Row],[QUANTITES]]="","",Tableau13[[#This Row],[QUANTITES]]*Tableau13[[#This Row],[PRIX VENTE HT]])</f>
        <v/>
      </c>
      <c r="I19" s="72" t="str">
        <f>IF(Tableau13[[#This Row],[QUANTITES]]="","",Tableau13[[#This Row],[QUANTITES]]*Tableau13[[#This Row],[MONTANT TVA]])</f>
        <v/>
      </c>
      <c r="J19" s="72" t="str">
        <f>IF(Tableau13[[#This Row],[QUANTITES]]="","",Tableau13[[#This Row],[QUANTITES]]*Tableau13[[#This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ignoredErrors>
    <ignoredError sqref="H9:J18" calculatedColumn="1"/>
  </ignoredErrors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 enableFormatConditionsCalculation="0"/>
  <dimension ref="A6:J11"/>
  <sheetViews>
    <sheetView showGridLines="0" workbookViewId="0">
      <selection activeCell="D10" sqref="D10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>
      <c r="A9" s="56" t="s">
        <v>434</v>
      </c>
      <c r="B9" s="56" t="s">
        <v>435</v>
      </c>
      <c r="C9" s="56" t="s">
        <v>106</v>
      </c>
      <c r="D9" s="56"/>
      <c r="E9" s="58">
        <v>1.8</v>
      </c>
      <c r="F9" s="58">
        <f>E9*$G$7</f>
        <v>0.36000000000000004</v>
      </c>
      <c r="G9" s="58">
        <f>E9+F9</f>
        <v>2.16</v>
      </c>
      <c r="H9" s="71" t="str">
        <f>IF(Tableau13456789101112131415161718[[#This Row],[QUANTITES]]="","",Tableau13456789101112131415161718[[#This Row],[QUANTITES]]*Tableau13456789101112131415161718[[#This Row],[PRIX VENTE HT]])</f>
        <v/>
      </c>
      <c r="I9" s="71" t="str">
        <f>IF(Tableau13456789101112131415161718[[#This Row],[QUANTITES]]="","",Tableau13456789101112131415161718[[#This Row],[QUANTITES]]*Tableau13456789101112131415161718[[#This Row],[MONTANT TVA]])</f>
        <v/>
      </c>
      <c r="J9" s="71" t="str">
        <f>IF(Tableau13456789101112131415161718[[#This Row],[QUANTITES]]="","",Tableau13456789101112131415161718[[#This Row],[QUANTITES]]*Tableau13456789101112131415161718[[#This Row],[PRIX DE VENTE TTC]])</f>
        <v/>
      </c>
    </row>
    <row r="10" spans="1:10">
      <c r="A10" s="56" t="s">
        <v>436</v>
      </c>
      <c r="B10" s="56" t="s">
        <v>437</v>
      </c>
      <c r="C10" s="56" t="s">
        <v>106</v>
      </c>
      <c r="D10" s="56"/>
      <c r="E10" s="58">
        <v>2.4</v>
      </c>
      <c r="F10" s="58">
        <f>E10*$G$7</f>
        <v>0.48</v>
      </c>
      <c r="G10" s="58">
        <f>E10+F10</f>
        <v>2.88</v>
      </c>
      <c r="H10" s="72" t="str">
        <f>IF(Tableau13456789101112131415161718[[#This Row],[QUANTITES]]="","",Tableau13456789101112131415161718[[#This Row],[QUANTITES]]*Tableau13456789101112131415161718[[#This Row],[PRIX VENTE HT]])</f>
        <v/>
      </c>
      <c r="I10" s="72" t="str">
        <f>IF(Tableau13456789101112131415161718[[#This Row],[QUANTITES]]="","",Tableau13456789101112131415161718[[#This Row],[QUANTITES]]*Tableau13456789101112131415161718[[#This Row],[MONTANT TVA]])</f>
        <v/>
      </c>
      <c r="J10" s="72" t="str">
        <f>IF(Tableau13456789101112131415161718[[#This Row],[QUANTITES]]="","",Tableau13456789101112131415161718[[#This Row],[QUANTITES]]*Tableau13456789101112131415161718[[#This Row],[PRIX DE VENTE TTC]])</f>
        <v/>
      </c>
    </row>
    <row r="11" spans="1:10">
      <c r="A11" s="56" t="s">
        <v>438</v>
      </c>
      <c r="B11" s="56" t="s">
        <v>439</v>
      </c>
      <c r="C11" s="56" t="s">
        <v>141</v>
      </c>
      <c r="D11" s="56"/>
      <c r="E11" s="58">
        <v>5.4909999999999997</v>
      </c>
      <c r="F11" s="58">
        <f>E11*$G$7</f>
        <v>1.0982000000000001</v>
      </c>
      <c r="G11" s="58">
        <f>E11+F11</f>
        <v>6.5891999999999999</v>
      </c>
      <c r="H11" s="72" t="str">
        <f>IF(Tableau13456789101112131415161718[[#This Row],[QUANTITES]]="","",Tableau13456789101112131415161718[[#This Row],[QUANTITES]]*Tableau13456789101112131415161718[[#This Row],[PRIX VENTE HT]])</f>
        <v/>
      </c>
      <c r="I11" s="72" t="str">
        <f>IF(Tableau13456789101112131415161718[[#This Row],[QUANTITES]]="","",Tableau13456789101112131415161718[[#This Row],[QUANTITES]]*Tableau13456789101112131415161718[[#This Row],[MONTANT TVA]])</f>
        <v/>
      </c>
      <c r="J11" s="72" t="str">
        <f>IF(Tableau13456789101112131415161718[[#This Row],[QUANTITES]]="","",Tableau13456789101112131415161718[[#This Row],[QUANTITES]]*Tableau13456789101112131415161718[[#This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ignoredErrors>
    <ignoredError sqref="H9:J11" calculatedColumn="1"/>
  </ignoredErrors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DEVIS FR</vt:lpstr>
      <vt:lpstr>A</vt:lpstr>
      <vt:lpstr>B</vt:lpstr>
      <vt:lpstr>C</vt:lpstr>
      <vt:lpstr>D</vt:lpstr>
      <vt:lpstr>E</vt:lpstr>
      <vt:lpstr>F</vt:lpstr>
      <vt:lpstr>G</vt:lpstr>
      <vt:lpstr>H</vt:lpstr>
      <vt:lpstr>J</vt:lpstr>
      <vt:lpstr>L</vt:lpstr>
      <vt:lpstr>M - O</vt:lpstr>
      <vt:lpstr>P</vt:lpstr>
      <vt:lpstr>R</vt:lpstr>
      <vt:lpstr>S</vt:lpstr>
      <vt:lpstr>T</vt:lpstr>
      <vt:lpstr>V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Djn</cp:lastModifiedBy>
  <cp:lastPrinted>2016-11-21T15:49:54Z</cp:lastPrinted>
  <dcterms:created xsi:type="dcterms:W3CDTF">2016-03-10T12:33:51Z</dcterms:created>
  <dcterms:modified xsi:type="dcterms:W3CDTF">2016-11-22T17:17:17Z</dcterms:modified>
  <cp:category/>
</cp:coreProperties>
</file>