
<file path=[Content_Types].xml><?xml version="1.0" encoding="utf-8"?>
<Types xmlns="http://schemas.openxmlformats.org/package/2006/content-types">
  <Default Extension="xml" ContentType="application/xml"/>
  <Default Extension="data" ContentType="application/vnd.openxmlformats-officedocument.model+data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 codeName="{7A2D7E96-6E34-419A-AE5F-296B3A7E7977}"/>
  <workbookPr codeName="ThisWorkbook" hidePivotFieldList="1" autoCompressPictures="0"/>
  <bookViews>
    <workbookView xWindow="2480" yWindow="740" windowWidth="33940" windowHeight="19200" tabRatio="765" activeTab="4"/>
  </bookViews>
  <sheets>
    <sheet name="Liste des medecins" sheetId="4" r:id="rId1"/>
    <sheet name="Encodage des gardes" sheetId="3" r:id="rId2"/>
    <sheet name="Historique des gardes" sheetId="1" r:id="rId3"/>
    <sheet name="Paiement des médecins" sheetId="2" r:id="rId4"/>
    <sheet name="Montants à verser aux médecins" sheetId="5" r:id="rId5"/>
  </sheets>
  <externalReferences>
    <externalReference r:id="rId6"/>
  </externalReferences>
  <definedNames>
    <definedName name="_xlnm._FilterDatabase" localSheetId="2" hidden="1">'Historique des gardes'!$A$5:$U$83</definedName>
    <definedName name="_xlnm._FilterDatabase" localSheetId="3" hidden="1">'Paiement des médecins'!$A$4:$C$77</definedName>
    <definedName name="_xlcn.WorksheetConnection_ConceptionSurbri.xlsmtabMEDECINS1" hidden="1">tabMEDECINS[]</definedName>
    <definedName name="_xlcn.WorksheetConnection_ConceptionSurbri.xlsmTabtotal1" hidden="1">Tabtotal[]</definedName>
    <definedName name="_xlnm.Criteria" localSheetId="2">'Historique des gardes'!$Y$1:$AA$4</definedName>
    <definedName name="typesactes">'Encodage des gardes'!$T$25:$T$42</definedName>
    <definedName name="typesdactes">'[1]Encodage des gardes'!$S$31:$S$48</definedName>
  </definedNames>
  <calcPr calcId="140001" concurrentCalc="0"/>
  <pivotCaches>
    <pivotCache cacheId="2" r:id="rId7"/>
    <pivotCache cacheId="3" r:id="rId8"/>
  </pivotCaches>
  <extLst>
    <ext xmlns:mx="http://schemas.microsoft.com/office/mac/excel/2008/main" uri="{7523E5D3-25F3-A5E0-1632-64F254C22452}">
      <mx:ArchID Flags="2"/>
    </ext>
    <ext xmlns:x15="http://schemas.microsoft.com/office/spreadsheetml/2010/11/main" uri="{FCE2AD5D-F65C-4FA6-A056-5C36A1767C68}">
      <x15:dataModel>
        <x15:modelTables>
          <x15:modelTable id="tabMEDECINS-c89b679c-39fc-48d1-a685-56881a31e155" name="tabMEDECINS" connection="WorksheetConnection_Conception - Surbri.xlsm!tabMEDECINS"/>
          <x15:modelTable id="Tabtotal-46d6ea7a-1d7e-4182-aa18-303770441b33" name="Tabtotal" connection="WorksheetConnection_Conception - Surbri.xlsm!Tabtotal"/>
        </x15:modelTables>
        <x15:modelRelationships>
          <x15:modelRelationship fromTable="tabMEDECINS" fromColumn="Nom &amp; Prénom" toTable="Tabtotal" toColumn="Médecins"/>
        </x15:modelRelationships>
      </x15:dataModel>
    </ext>
  </extLst>
</workbook>
</file>

<file path=xl/calcChain.xml><?xml version="1.0" encoding="utf-8"?>
<calcChain xmlns="http://schemas.openxmlformats.org/spreadsheetml/2006/main">
  <c r="K14" i="5" l="1"/>
  <c r="K9" i="5"/>
  <c r="S80" i="1"/>
  <c r="S81" i="1"/>
  <c r="S82" i="1"/>
  <c r="S83" i="1"/>
  <c r="S79" i="1"/>
  <c r="K10" i="5"/>
  <c r="K12" i="5"/>
  <c r="K8" i="5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K13" i="5"/>
  <c r="K11" i="5"/>
  <c r="AA4" i="1"/>
  <c r="Z3" i="1"/>
  <c r="Y2" i="1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J57" i="3"/>
  <c r="P57" i="3"/>
  <c r="Q57" i="3"/>
  <c r="J56" i="3"/>
  <c r="P56" i="3"/>
  <c r="Q56" i="3"/>
  <c r="J55" i="3"/>
  <c r="P55" i="3"/>
  <c r="Q55" i="3"/>
  <c r="J54" i="3"/>
  <c r="P54" i="3"/>
  <c r="Q54" i="3"/>
  <c r="J53" i="3"/>
  <c r="P53" i="3"/>
  <c r="Q53" i="3"/>
  <c r="J52" i="3"/>
  <c r="P52" i="3"/>
  <c r="Q52" i="3"/>
  <c r="J51" i="3"/>
  <c r="P51" i="3"/>
  <c r="Q51" i="3"/>
  <c r="J50" i="3"/>
  <c r="P50" i="3"/>
  <c r="Q50" i="3"/>
  <c r="J49" i="3"/>
  <c r="P49" i="3"/>
  <c r="Q49" i="3"/>
  <c r="W42" i="3"/>
  <c r="J48" i="3"/>
  <c r="P48" i="3"/>
  <c r="Q48" i="3"/>
  <c r="W41" i="3"/>
  <c r="J47" i="3"/>
  <c r="P47" i="3"/>
  <c r="Q47" i="3"/>
  <c r="W40" i="3"/>
  <c r="J46" i="3"/>
  <c r="P46" i="3"/>
  <c r="Q46" i="3"/>
  <c r="W39" i="3"/>
  <c r="J45" i="3"/>
  <c r="P45" i="3"/>
  <c r="Q45" i="3"/>
  <c r="W38" i="3"/>
  <c r="J44" i="3"/>
  <c r="P44" i="3"/>
  <c r="Q44" i="3"/>
  <c r="W37" i="3"/>
  <c r="J43" i="3"/>
  <c r="P43" i="3"/>
  <c r="Q43" i="3"/>
  <c r="W36" i="3"/>
  <c r="J42" i="3"/>
  <c r="P42" i="3"/>
  <c r="Q42" i="3"/>
  <c r="W35" i="3"/>
  <c r="J41" i="3"/>
  <c r="P41" i="3"/>
  <c r="Q41" i="3"/>
  <c r="W34" i="3"/>
  <c r="J40" i="3"/>
  <c r="P40" i="3"/>
  <c r="Q40" i="3"/>
  <c r="W33" i="3"/>
  <c r="J39" i="3"/>
  <c r="P39" i="3"/>
  <c r="Q39" i="3"/>
  <c r="W32" i="3"/>
  <c r="J38" i="3"/>
  <c r="P38" i="3"/>
  <c r="Q38" i="3"/>
  <c r="W31" i="3"/>
  <c r="J37" i="3"/>
  <c r="P37" i="3"/>
  <c r="Q37" i="3"/>
  <c r="W30" i="3"/>
  <c r="J36" i="3"/>
  <c r="P36" i="3"/>
  <c r="Q36" i="3"/>
  <c r="W29" i="3"/>
  <c r="J35" i="3"/>
  <c r="P35" i="3"/>
  <c r="Q35" i="3"/>
  <c r="W28" i="3"/>
  <c r="J34" i="3"/>
  <c r="P34" i="3"/>
  <c r="Q34" i="3"/>
  <c r="W27" i="3"/>
  <c r="J33" i="3"/>
  <c r="P33" i="3"/>
  <c r="Q33" i="3"/>
  <c r="W26" i="3"/>
  <c r="J32" i="3"/>
  <c r="P32" i="3"/>
  <c r="Q32" i="3"/>
  <c r="W25" i="3"/>
  <c r="J31" i="3"/>
  <c r="P31" i="3"/>
  <c r="Q31" i="3"/>
  <c r="J30" i="3"/>
  <c r="P30" i="3"/>
  <c r="Q30" i="3"/>
  <c r="J29" i="3"/>
  <c r="P29" i="3"/>
  <c r="Q29" i="3"/>
  <c r="J28" i="3"/>
  <c r="P28" i="3"/>
  <c r="Q28" i="3"/>
  <c r="J27" i="3"/>
  <c r="P27" i="3"/>
  <c r="Q27" i="3"/>
  <c r="J26" i="3"/>
  <c r="P26" i="3"/>
  <c r="Q26" i="3"/>
  <c r="J25" i="3"/>
  <c r="P25" i="3"/>
  <c r="Q25" i="3"/>
  <c r="J24" i="3"/>
  <c r="P24" i="3"/>
  <c r="Q24" i="3"/>
  <c r="J23" i="3"/>
  <c r="P23" i="3"/>
  <c r="Q23" i="3"/>
  <c r="J22" i="3"/>
  <c r="P22" i="3"/>
  <c r="Q22" i="3"/>
  <c r="J21" i="3"/>
  <c r="P21" i="3"/>
  <c r="Q21" i="3"/>
  <c r="W20" i="3"/>
  <c r="U20" i="3"/>
  <c r="J20" i="3"/>
  <c r="P20" i="3"/>
  <c r="Q20" i="3"/>
  <c r="W19" i="3"/>
  <c r="U19" i="3"/>
  <c r="J19" i="3"/>
  <c r="P19" i="3"/>
  <c r="Q19" i="3"/>
  <c r="W18" i="3"/>
  <c r="U18" i="3"/>
  <c r="J18" i="3"/>
  <c r="P18" i="3"/>
  <c r="Q18" i="3"/>
  <c r="W17" i="3"/>
  <c r="J17" i="3"/>
  <c r="P17" i="3"/>
  <c r="Q17" i="3"/>
  <c r="W16" i="3"/>
  <c r="J16" i="3"/>
  <c r="P16" i="3"/>
  <c r="Q16" i="3"/>
  <c r="J15" i="3"/>
  <c r="P15" i="3"/>
  <c r="Q15" i="3"/>
  <c r="J14" i="3"/>
  <c r="P14" i="3"/>
  <c r="Q14" i="3"/>
  <c r="J13" i="3"/>
  <c r="P13" i="3"/>
  <c r="Q13" i="3"/>
  <c r="J12" i="3"/>
  <c r="P12" i="3"/>
  <c r="Q12" i="3"/>
  <c r="J11" i="3"/>
  <c r="P11" i="3"/>
  <c r="Q11" i="3"/>
  <c r="J10" i="3"/>
  <c r="P10" i="3"/>
  <c r="Q10" i="3"/>
  <c r="U16" i="3"/>
  <c r="U21" i="3"/>
  <c r="U17" i="3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 serverFill="0" serverNumberFormat="0" serverFont="0" serverFontColor="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Conception - Surbri.xlsm!tabMEDECINS" type="102" refreshedVersion="5" minRefreshableVersion="5">
    <extLst>
      <ext xmlns:x15="http://schemas.microsoft.com/office/spreadsheetml/2010/11/main" uri="{DE250136-89BD-433C-8126-D09CA5730AF9}">
        <x15:connection id="tabMEDECINS-c89b679c-39fc-48d1-a685-56881a31e155">
          <x15:rangePr sourceName="_xlcn.WorksheetConnection_ConceptionSurbri.xlsmtabMEDECINS1"/>
        </x15:connection>
      </ext>
    </extLst>
  </connection>
  <connection id="3" name="WorksheetConnection_Conception - Surbri.xlsm!Tabtotal" type="102" refreshedVersion="5" minRefreshableVersion="5">
    <extLst>
      <ext xmlns:x15="http://schemas.microsoft.com/office/spreadsheetml/2010/11/main" uri="{DE250136-89BD-433C-8126-D09CA5730AF9}">
        <x15:connection id="Tabtotal-46d6ea7a-1d7e-4182-aa18-303770441b33">
          <x15:rangePr sourceName="_xlcn.WorksheetConnection_ConceptionSurbri.xlsmTabtotal1"/>
        </x15:connection>
      </ext>
    </extLst>
  </connection>
</connections>
</file>

<file path=xl/sharedStrings.xml><?xml version="1.0" encoding="utf-8"?>
<sst xmlns="http://schemas.openxmlformats.org/spreadsheetml/2006/main" count="728" uniqueCount="194">
  <si>
    <t>HISTORIQUE DES GARDES</t>
  </si>
  <si>
    <t>Recherche :</t>
  </si>
  <si>
    <t>Date</t>
  </si>
  <si>
    <t>Code Garde</t>
  </si>
  <si>
    <t>Médecin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</si>
  <si>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</si>
  <si>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</si>
  <si>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</si>
  <si>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</si>
  <si>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</si>
  <si>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</si>
  <si>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</si>
  <si>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Ticket modérateur</t>
  </si>
  <si>
    <t>Date de paiement TM</t>
  </si>
  <si>
    <t>Montant mutuelle</t>
  </si>
  <si>
    <t>Date de paiement MM</t>
  </si>
  <si>
    <t>Honoraires complet</t>
  </si>
  <si>
    <t>Date de paiement Hon.</t>
  </si>
  <si>
    <t>Date du dernier paiement</t>
  </si>
  <si>
    <t>Total reçu</t>
  </si>
  <si>
    <t>Statut</t>
  </si>
  <si>
    <t>Remarques</t>
  </si>
  <si>
    <t>Bartin Claire</t>
  </si>
  <si>
    <t>Defoy Thomas</t>
  </si>
  <si>
    <t>PAIEMENTS</t>
  </si>
  <si>
    <t>Solde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</si>
  <si>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</si>
  <si>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</si>
  <si>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</si>
  <si>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</si>
  <si>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</si>
  <si>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</si>
  <si>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</si>
  <si>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</si>
  <si>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</si>
  <si>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</si>
  <si>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</si>
  <si>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</si>
  <si>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</si>
  <si>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</si>
  <si>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</si>
  <si>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Commentaires éventuels</t>
  </si>
  <si>
    <t>Vend et veille JF - JOUR - Visite 3 bénéficiaires</t>
  </si>
  <si>
    <t>Vend et veille JF - JOUR - Consultation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</si>
  <si>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</si>
  <si>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</si>
  <si>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</si>
  <si>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</si>
  <si>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</si>
  <si>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</si>
  <si>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</si>
  <si>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</si>
  <si>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</si>
  <si>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</si>
  <si>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</si>
  <si>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</si>
  <si>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</si>
  <si>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</si>
  <si>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</si>
  <si>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</si>
  <si>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</si>
  <si>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</si>
  <si>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</si>
  <si>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</si>
  <si>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</si>
  <si>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</si>
  <si>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</si>
  <si>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</si>
  <si>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</si>
  <si>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</si>
  <si>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</si>
  <si>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</si>
  <si>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Adresse</t>
  </si>
  <si>
    <t>Localité</t>
  </si>
  <si>
    <t>CP</t>
  </si>
  <si>
    <t>Alvarez Léa</t>
  </si>
  <si>
    <t>Rue de l'Ecole 6</t>
  </si>
  <si>
    <t xml:space="preserve">Liège </t>
  </si>
  <si>
    <t>Rue des Corbeilles 15</t>
  </si>
  <si>
    <t>Rue des Tropiques 2</t>
  </si>
  <si>
    <t>Rocourt</t>
  </si>
  <si>
    <t>Acte</t>
  </si>
  <si>
    <t>Code</t>
  </si>
  <si>
    <t>Somme de Solde</t>
  </si>
  <si>
    <t>Dederix Bertrand</t>
  </si>
  <si>
    <t>Ivanov Alex</t>
  </si>
  <si>
    <t>1a</t>
  </si>
  <si>
    <t>Bancontact</t>
  </si>
  <si>
    <t>Mawet Alexis</t>
  </si>
  <si>
    <t>Piron Camille</t>
  </si>
  <si>
    <t>MC</t>
  </si>
  <si>
    <t>Mutualia neutre</t>
  </si>
  <si>
    <t>Disponible</t>
  </si>
  <si>
    <t>Différé</t>
  </si>
  <si>
    <t>⅓ payant C</t>
  </si>
  <si>
    <t>Minocci Christelle</t>
  </si>
  <si>
    <t>Solidaris</t>
  </si>
  <si>
    <t>Destexhe Thomas</t>
  </si>
  <si>
    <t>Gavage Guy</t>
  </si>
  <si>
    <t>Genevieve Denis</t>
  </si>
  <si>
    <t>Noirfalise Francoise</t>
  </si>
  <si>
    <t>Delaide Raymond</t>
  </si>
  <si>
    <t>Non disponible</t>
  </si>
  <si>
    <t>Cash</t>
  </si>
  <si>
    <t>Lanuit Guy</t>
  </si>
  <si>
    <t>Trigalet Stephan</t>
  </si>
  <si>
    <t>Meuleuysen Maureen</t>
  </si>
  <si>
    <t>Alienor Thomas</t>
  </si>
  <si>
    <t>Euromut</t>
  </si>
  <si>
    <t xml:space="preserve">Cottin Alexandre </t>
  </si>
  <si>
    <t>Weny Laurence</t>
  </si>
  <si>
    <t>Remacle Luc</t>
  </si>
  <si>
    <t>Jean Antoine</t>
  </si>
  <si>
    <t>Grouille Jessy</t>
  </si>
  <si>
    <t>Lampe Albert</t>
  </si>
  <si>
    <t>Roi Philippe</t>
  </si>
  <si>
    <t>Malice Fred</t>
  </si>
  <si>
    <t>Cloturé</t>
  </si>
  <si>
    <t>TM envoi 1</t>
  </si>
  <si>
    <t>MR</t>
  </si>
  <si>
    <t>Admin. De biens</t>
  </si>
  <si>
    <t>Paul Thomas</t>
  </si>
  <si>
    <t>Jean Dujardin</t>
  </si>
  <si>
    <t>Loic Chambre</t>
  </si>
  <si>
    <t>Dechambre Cédric</t>
  </si>
  <si>
    <t>Tom Delampe</t>
  </si>
  <si>
    <t>Delamboux Jean</t>
  </si>
  <si>
    <t>Dan Lapile</t>
  </si>
  <si>
    <t>1b</t>
  </si>
  <si>
    <t>CPAS</t>
  </si>
  <si>
    <t>⅓ payant BC</t>
  </si>
  <si>
    <t>Jean Louis</t>
  </si>
  <si>
    <t>Tom Findus</t>
  </si>
  <si>
    <t>Loic Nottet</t>
  </si>
  <si>
    <t>Jean Philippe</t>
  </si>
  <si>
    <t>Jean Dujardine</t>
  </si>
  <si>
    <t>Valérie Clerbois</t>
  </si>
  <si>
    <t>Clerfays Jeanne</t>
  </si>
  <si>
    <t>Jean Delarue</t>
  </si>
  <si>
    <t>Phil Lame</t>
  </si>
  <si>
    <t>Marco Verratti</t>
  </si>
  <si>
    <t>Zlatan Ibrahimovic</t>
  </si>
  <si>
    <t>Jeanne Dark</t>
  </si>
  <si>
    <t>Jean Dix</t>
  </si>
  <si>
    <t>Dix Neuf</t>
  </si>
  <si>
    <t>Sept Anthemille</t>
  </si>
  <si>
    <t>Quatre Vingt</t>
  </si>
  <si>
    <t>Mutalia neutre</t>
  </si>
  <si>
    <t>Oui</t>
  </si>
  <si>
    <t>Non</t>
  </si>
  <si>
    <t>Encore Lui</t>
  </si>
  <si>
    <t>Encore Moi</t>
  </si>
  <si>
    <t>Encore Eux</t>
  </si>
  <si>
    <t>Cest Lui</t>
  </si>
  <si>
    <t>Cest Moi</t>
  </si>
  <si>
    <t>Cest Pasmoi</t>
  </si>
  <si>
    <t>Cest Paslui</t>
  </si>
  <si>
    <t>Mutualia</t>
  </si>
  <si>
    <t>⅓ payant NP</t>
  </si>
  <si>
    <t>MM</t>
  </si>
  <si>
    <t>Mut recouvrement</t>
  </si>
  <si>
    <t>TM recouvrement</t>
  </si>
  <si>
    <t>Jean Thomas</t>
  </si>
  <si>
    <t>Jean Albert</t>
  </si>
  <si>
    <t>Jean Beatrice</t>
  </si>
  <si>
    <t>Gilles Tom</t>
  </si>
  <si>
    <t>Gilles Albert</t>
  </si>
  <si>
    <t>Gilles Beatrice</t>
  </si>
  <si>
    <t>Beatrice Golberg</t>
  </si>
  <si>
    <t>Jam Lasaucisse</t>
  </si>
  <si>
    <t xml:space="preserve">Solidaris </t>
  </si>
  <si>
    <t>Réquisition</t>
  </si>
  <si>
    <t>Virement</t>
  </si>
  <si>
    <t>Paul Johnson</t>
  </si>
  <si>
    <t>James Rodriguez</t>
  </si>
  <si>
    <t>Cristiano Ronaldo</t>
  </si>
  <si>
    <t>Philippe Lahm</t>
  </si>
  <si>
    <t>Mario Gotze</t>
  </si>
  <si>
    <t>Mario Gomez</t>
  </si>
  <si>
    <t>Lance Lancelot</t>
  </si>
  <si>
    <t xml:space="preserve">Paul </t>
  </si>
  <si>
    <t>Tom</t>
  </si>
  <si>
    <t>2b</t>
  </si>
  <si>
    <t>Médecins</t>
  </si>
  <si>
    <t>2a</t>
  </si>
  <si>
    <t>Total général</t>
  </si>
  <si>
    <t>Somme de Ticket modérateur</t>
  </si>
  <si>
    <t>Somme de Montant mutuelle</t>
  </si>
  <si>
    <t>Somme de Honoraires complet</t>
  </si>
  <si>
    <t>Recherche par date de paiement</t>
  </si>
  <si>
    <t>Date de paiement:</t>
  </si>
  <si>
    <t>TOTAL</t>
  </si>
  <si>
    <t>Tom Lande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</si>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</sst>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[$-80C]dddd\ d\ mmmm\ yyyy;@"/>
    <numFmt numFmtId="166" formatCode="&quot;€&quot;\ #,##0.00"/>
    <numFmt numFmtId="167" formatCode="dd/mm/yy"/>
  </numFmts>
  <fonts count="16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</fills>
  <borders count="56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/>
      <top/>
      <bottom/>
      <diagonal/>
    </border>
    <border>
      <left/>
      <right/>
      <top style="thin">
        <color theme="7"/>
      </top>
      <bottom/>
      <diagonal/>
    </border>
    <border>
      <left/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/>
      <diagonal/>
    </border>
    <border>
      <left/>
      <right/>
      <top/>
      <bottom style="medium">
        <color theme="9"/>
      </bottom>
      <diagonal/>
    </border>
    <border>
      <left style="thin">
        <color theme="9"/>
      </left>
      <right/>
      <top/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 style="medium">
        <color theme="9"/>
      </bottom>
      <diagonal/>
    </border>
    <border>
      <left/>
      <right/>
      <top style="medium">
        <color theme="9"/>
      </top>
      <bottom style="medium">
        <color theme="9"/>
      </bottom>
      <diagonal/>
    </border>
    <border>
      <left style="thin">
        <color theme="9"/>
      </left>
      <right/>
      <top style="medium">
        <color theme="9"/>
      </top>
      <bottom style="medium">
        <color theme="9"/>
      </bottom>
      <diagonal/>
    </border>
    <border>
      <left style="thin">
        <color theme="9"/>
      </left>
      <right style="thin">
        <color theme="9"/>
      </right>
      <top style="medium">
        <color theme="9"/>
      </top>
      <bottom style="medium">
        <color theme="9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52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7" fillId="6" borderId="4" xfId="0" applyFont="1" applyFill="1" applyBorder="1" applyAlignment="1">
      <alignment horizontal="left" vertical="center" indent="1"/>
    </xf>
    <xf numFmtId="0" fontId="7" fillId="0" borderId="5" xfId="0" applyFont="1" applyFill="1" applyBorder="1" applyAlignment="1">
      <alignment horizontal="right" vertical="center"/>
    </xf>
    <xf numFmtId="165" fontId="7" fillId="0" borderId="6" xfId="0" applyNumberFormat="1" applyFont="1" applyBorder="1" applyAlignment="1" applyProtection="1">
      <alignment horizontal="right" vertical="center"/>
      <protection locked="0"/>
    </xf>
    <xf numFmtId="0" fontId="7" fillId="0" borderId="6" xfId="0" applyFont="1" applyBorder="1" applyAlignment="1" applyProtection="1">
      <alignment horizontal="right" vertical="center"/>
      <protection locked="0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10" xfId="0" applyFont="1" applyFill="1" applyBorder="1" applyAlignment="1">
      <alignment horizontal="center" vertical="center"/>
    </xf>
    <xf numFmtId="0" fontId="9" fillId="0" borderId="10" xfId="0" applyFont="1" applyBorder="1" applyAlignment="1" applyProtection="1">
      <alignment horizontal="right" vertical="center" indent="1"/>
      <protection locked="0"/>
    </xf>
    <xf numFmtId="0" fontId="9" fillId="0" borderId="11" xfId="0" applyFont="1" applyBorder="1" applyAlignment="1" applyProtection="1">
      <alignment horizontal="left" vertical="center" indent="1"/>
      <protection locked="0"/>
    </xf>
    <xf numFmtId="0" fontId="9" fillId="0" borderId="12" xfId="0" applyFont="1" applyBorder="1"/>
    <xf numFmtId="0" fontId="9" fillId="0" borderId="11" xfId="0" applyFont="1" applyBorder="1"/>
    <xf numFmtId="4" fontId="9" fillId="7" borderId="11" xfId="0" applyNumberFormat="1" applyFont="1" applyFill="1" applyBorder="1" applyAlignment="1">
      <alignment horizontal="right" vertical="center" indent="1"/>
    </xf>
    <xf numFmtId="4" fontId="9" fillId="0" borderId="11" xfId="0" applyNumberFormat="1" applyFont="1" applyFill="1" applyBorder="1" applyAlignment="1" applyProtection="1">
      <alignment horizontal="right" vertical="center" indent="1"/>
      <protection locked="0"/>
    </xf>
    <xf numFmtId="4" fontId="9" fillId="0" borderId="11" xfId="0" applyNumberFormat="1" applyFont="1" applyBorder="1" applyAlignment="1" applyProtection="1">
      <alignment horizontal="right" vertical="center" indent="1"/>
      <protection locked="0"/>
    </xf>
    <xf numFmtId="0" fontId="9" fillId="0" borderId="13" xfId="0" applyFont="1" applyBorder="1" applyAlignment="1" applyProtection="1">
      <alignment horizontal="left" vertical="center" indent="1"/>
      <protection locked="0"/>
    </xf>
    <xf numFmtId="2" fontId="9" fillId="7" borderId="11" xfId="0" applyNumberFormat="1" applyFont="1" applyFill="1" applyBorder="1" applyAlignment="1" applyProtection="1">
      <alignment horizontal="right" vertical="center" indent="1"/>
    </xf>
    <xf numFmtId="0" fontId="9" fillId="6" borderId="14" xfId="0" applyFont="1" applyFill="1" applyBorder="1" applyAlignment="1">
      <alignment horizontal="center" vertical="center"/>
    </xf>
    <xf numFmtId="0" fontId="9" fillId="0" borderId="14" xfId="0" applyFont="1" applyBorder="1" applyAlignment="1" applyProtection="1">
      <alignment horizontal="right" vertical="center" indent="1"/>
      <protection locked="0"/>
    </xf>
    <xf numFmtId="0" fontId="9" fillId="0" borderId="15" xfId="0" applyFont="1" applyBorder="1"/>
    <xf numFmtId="4" fontId="9" fillId="0" borderId="15" xfId="0" applyNumberFormat="1" applyFont="1" applyFill="1" applyBorder="1" applyAlignment="1" applyProtection="1">
      <alignment horizontal="right" vertical="center" indent="1"/>
      <protection locked="0"/>
    </xf>
    <xf numFmtId="4" fontId="9" fillId="0" borderId="15" xfId="0" applyNumberFormat="1" applyFont="1" applyBorder="1" applyAlignment="1" applyProtection="1">
      <alignment horizontal="right" vertical="center" indent="1"/>
      <protection locked="0"/>
    </xf>
    <xf numFmtId="0" fontId="9" fillId="0" borderId="16" xfId="0" applyFont="1" applyBorder="1" applyAlignment="1" applyProtection="1">
      <alignment horizontal="left" vertical="center" indent="1"/>
      <protection locked="0"/>
    </xf>
    <xf numFmtId="0" fontId="9" fillId="0" borderId="0" xfId="0" applyFont="1" applyFill="1"/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7" fillId="6" borderId="21" xfId="0" applyNumberFormat="1" applyFont="1" applyFill="1" applyBorder="1" applyAlignment="1">
      <alignment horizontal="left" vertical="center" indent="1"/>
    </xf>
    <xf numFmtId="164" fontId="4" fillId="7" borderId="5" xfId="0" applyNumberFormat="1" applyFont="1" applyFill="1" applyBorder="1" applyAlignment="1">
      <alignment horizontal="right" vertical="center" indent="1"/>
    </xf>
    <xf numFmtId="0" fontId="4" fillId="7" borderId="5" xfId="0" applyNumberFormat="1" applyFont="1" applyFill="1" applyBorder="1" applyAlignment="1">
      <alignment horizontal="right" vertical="center" indent="3"/>
    </xf>
    <xf numFmtId="164" fontId="7" fillId="6" borderId="22" xfId="0" applyNumberFormat="1" applyFont="1" applyFill="1" applyBorder="1" applyAlignment="1">
      <alignment horizontal="left" vertical="center" indent="1"/>
    </xf>
    <xf numFmtId="164" fontId="4" fillId="7" borderId="23" xfId="0" applyNumberFormat="1" applyFont="1" applyFill="1" applyBorder="1" applyAlignment="1">
      <alignment horizontal="right" vertical="center" indent="1"/>
    </xf>
    <xf numFmtId="0" fontId="4" fillId="7" borderId="23" xfId="0" applyNumberFormat="1" applyFont="1" applyFill="1" applyBorder="1" applyAlignment="1">
      <alignment horizontal="right" vertical="center" indent="3"/>
    </xf>
    <xf numFmtId="0" fontId="11" fillId="0" borderId="0" xfId="0" applyFont="1"/>
    <xf numFmtId="164" fontId="7" fillId="6" borderId="3" xfId="0" applyNumberFormat="1" applyFont="1" applyFill="1" applyBorder="1" applyAlignment="1">
      <alignment horizontal="left" vertical="center" indent="1"/>
    </xf>
    <xf numFmtId="164" fontId="4" fillId="7" borderId="24" xfId="0" applyNumberFormat="1" applyFont="1" applyFill="1" applyBorder="1" applyAlignment="1">
      <alignment horizontal="right" vertical="center" indent="1"/>
    </xf>
    <xf numFmtId="0" fontId="4" fillId="7" borderId="24" xfId="0" applyNumberFormat="1" applyFont="1" applyFill="1" applyBorder="1" applyAlignment="1">
      <alignment horizontal="right" vertical="center" indent="3"/>
    </xf>
    <xf numFmtId="164" fontId="7" fillId="6" borderId="25" xfId="0" applyNumberFormat="1" applyFont="1" applyFill="1" applyBorder="1" applyAlignment="1">
      <alignment horizontal="left" vertical="center" indent="1"/>
    </xf>
    <xf numFmtId="164" fontId="4" fillId="7" borderId="25" xfId="0" applyNumberFormat="1" applyFont="1" applyFill="1" applyBorder="1" applyAlignment="1">
      <alignment horizontal="right" vertical="center" indent="1"/>
    </xf>
    <xf numFmtId="0" fontId="4" fillId="7" borderId="25" xfId="0" applyFont="1" applyFill="1" applyBorder="1" applyAlignment="1">
      <alignment horizontal="right" indent="3"/>
    </xf>
    <xf numFmtId="164" fontId="7" fillId="6" borderId="4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right" indent="3"/>
    </xf>
    <xf numFmtId="0" fontId="12" fillId="8" borderId="26" xfId="0" applyFont="1" applyFill="1" applyBorder="1" applyAlignment="1" applyProtection="1">
      <alignment horizontal="left" vertical="center" indent="1"/>
      <protection locked="0"/>
    </xf>
    <xf numFmtId="164" fontId="4" fillId="0" borderId="27" xfId="0" applyNumberFormat="1" applyFont="1" applyBorder="1" applyAlignment="1" applyProtection="1">
      <alignment horizontal="center" vertical="center"/>
      <protection locked="0"/>
    </xf>
    <xf numFmtId="0" fontId="4" fillId="7" borderId="28" xfId="0" applyFont="1" applyFill="1" applyBorder="1" applyAlignment="1">
      <alignment horizontal="right" indent="3"/>
    </xf>
    <xf numFmtId="0" fontId="12" fillId="8" borderId="29" xfId="0" applyFont="1" applyFill="1" applyBorder="1" applyAlignment="1" applyProtection="1">
      <alignment horizontal="left" vertical="center" indent="1"/>
      <protection locked="0"/>
    </xf>
    <xf numFmtId="164" fontId="4" fillId="0" borderId="30" xfId="0" applyNumberFormat="1" applyFont="1" applyBorder="1" applyAlignment="1" applyProtection="1">
      <alignment horizontal="center" vertical="center"/>
      <protection locked="0"/>
    </xf>
    <xf numFmtId="0" fontId="4" fillId="7" borderId="31" xfId="0" applyFont="1" applyFill="1" applyBorder="1" applyAlignment="1">
      <alignment horizontal="right" indent="3"/>
    </xf>
    <xf numFmtId="164" fontId="4" fillId="0" borderId="32" xfId="0" applyNumberFormat="1" applyFont="1" applyBorder="1" applyAlignment="1" applyProtection="1">
      <alignment horizontal="center" vertical="center"/>
      <protection locked="0"/>
    </xf>
    <xf numFmtId="0" fontId="12" fillId="8" borderId="33" xfId="0" applyFont="1" applyFill="1" applyBorder="1" applyAlignment="1" applyProtection="1">
      <alignment horizontal="left" vertical="center" indent="1"/>
      <protection locked="0"/>
    </xf>
    <xf numFmtId="164" fontId="4" fillId="0" borderId="34" xfId="0" applyNumberFormat="1" applyFont="1" applyBorder="1" applyAlignment="1" applyProtection="1">
      <alignment horizontal="center" vertical="center"/>
      <protection locked="0"/>
    </xf>
    <xf numFmtId="0" fontId="4" fillId="7" borderId="35" xfId="0" applyFont="1" applyFill="1" applyBorder="1" applyAlignment="1">
      <alignment horizontal="right" indent="3"/>
    </xf>
    <xf numFmtId="0" fontId="12" fillId="8" borderId="36" xfId="0" applyFont="1" applyFill="1" applyBorder="1" applyAlignment="1" applyProtection="1">
      <alignment horizontal="left" vertical="center" indent="1"/>
      <protection locked="0"/>
    </xf>
    <xf numFmtId="0" fontId="12" fillId="8" borderId="37" xfId="0" applyFont="1" applyFill="1" applyBorder="1" applyAlignment="1" applyProtection="1">
      <alignment horizontal="left" vertical="center" indent="1"/>
      <protection locked="0"/>
    </xf>
    <xf numFmtId="0" fontId="12" fillId="8" borderId="38" xfId="0" applyFont="1" applyFill="1" applyBorder="1" applyAlignment="1" applyProtection="1">
      <alignment horizontal="left" vertical="center" indent="1"/>
      <protection locked="0"/>
    </xf>
    <xf numFmtId="0" fontId="9" fillId="6" borderId="39" xfId="0" applyFont="1" applyFill="1" applyBorder="1" applyAlignment="1">
      <alignment horizontal="center" vertical="center"/>
    </xf>
    <xf numFmtId="0" fontId="9" fillId="0" borderId="39" xfId="0" applyFont="1" applyBorder="1" applyAlignment="1" applyProtection="1">
      <alignment horizontal="right" vertical="center" indent="1"/>
      <protection locked="0"/>
    </xf>
    <xf numFmtId="0" fontId="9" fillId="0" borderId="40" xfId="0" applyFont="1" applyBorder="1" applyAlignment="1" applyProtection="1">
      <alignment horizontal="left" vertical="center" indent="1"/>
      <protection locked="0"/>
    </xf>
    <xf numFmtId="0" fontId="9" fillId="0" borderId="40" xfId="0" applyFont="1" applyBorder="1"/>
    <xf numFmtId="4" fontId="9" fillId="0" borderId="40" xfId="0" applyNumberFormat="1" applyFont="1" applyFill="1" applyBorder="1" applyAlignment="1" applyProtection="1">
      <alignment horizontal="right" vertical="center" indent="1"/>
      <protection locked="0"/>
    </xf>
    <xf numFmtId="4" fontId="9" fillId="0" borderId="40" xfId="0" applyNumberFormat="1" applyFont="1" applyBorder="1" applyAlignment="1" applyProtection="1">
      <alignment horizontal="right" vertical="center" indent="1"/>
      <protection locked="0"/>
    </xf>
    <xf numFmtId="2" fontId="9" fillId="7" borderId="40" xfId="0" applyNumberFormat="1" applyFont="1" applyFill="1" applyBorder="1" applyAlignment="1" applyProtection="1">
      <alignment horizontal="right" vertical="center" indent="1"/>
    </xf>
    <xf numFmtId="4" fontId="9" fillId="7" borderId="40" xfId="0" applyNumberFormat="1" applyFont="1" applyFill="1" applyBorder="1" applyAlignment="1">
      <alignment horizontal="right" vertical="center" indent="1"/>
    </xf>
    <xf numFmtId="0" fontId="9" fillId="0" borderId="41" xfId="0" applyFont="1" applyBorder="1" applyAlignment="1" applyProtection="1">
      <alignment horizontal="left" vertical="center" indent="1"/>
      <protection locked="0"/>
    </xf>
    <xf numFmtId="166" fontId="0" fillId="0" borderId="0" xfId="0" applyNumberFormat="1"/>
    <xf numFmtId="0" fontId="0" fillId="3" borderId="42" xfId="0" applyFont="1" applyFill="1" applyBorder="1"/>
    <xf numFmtId="164" fontId="0" fillId="3" borderId="42" xfId="0" applyNumberFormat="1" applyFont="1" applyFill="1" applyBorder="1"/>
    <xf numFmtId="0" fontId="0" fillId="3" borderId="43" xfId="0" applyFont="1" applyFill="1" applyBorder="1"/>
    <xf numFmtId="0" fontId="0" fillId="3" borderId="43" xfId="0" applyFont="1" applyFill="1" applyBorder="1" applyAlignment="1">
      <alignment horizontal="center"/>
    </xf>
    <xf numFmtId="14" fontId="0" fillId="0" borderId="44" xfId="0" applyNumberFormat="1" applyFont="1" applyBorder="1"/>
    <xf numFmtId="0" fontId="3" fillId="4" borderId="0" xfId="0" applyFont="1" applyFill="1" applyAlignment="1">
      <alignment vertical="center"/>
    </xf>
    <xf numFmtId="0" fontId="0" fillId="4" borderId="0" xfId="0" applyFill="1"/>
    <xf numFmtId="0" fontId="3" fillId="2" borderId="0" xfId="0" applyFont="1" applyFill="1" applyAlignment="1">
      <alignment vertical="center"/>
    </xf>
    <xf numFmtId="164" fontId="0" fillId="11" borderId="42" xfId="0" applyNumberFormat="1" applyFont="1" applyFill="1" applyBorder="1"/>
    <xf numFmtId="0" fontId="4" fillId="0" borderId="0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4" fontId="0" fillId="0" borderId="44" xfId="0" applyNumberFormat="1" applyFont="1" applyBorder="1" applyAlignment="1">
      <alignment horizontal="left"/>
    </xf>
    <xf numFmtId="164" fontId="0" fillId="0" borderId="44" xfId="0" applyNumberFormat="1" applyFont="1" applyBorder="1"/>
    <xf numFmtId="0" fontId="13" fillId="10" borderId="0" xfId="0" applyFont="1" applyFill="1" applyBorder="1"/>
    <xf numFmtId="164" fontId="0" fillId="0" borderId="0" xfId="0" applyNumberFormat="1" applyFont="1" applyBorder="1"/>
    <xf numFmtId="14" fontId="0" fillId="3" borderId="42" xfId="0" applyNumberFormat="1" applyFont="1" applyFill="1" applyBorder="1"/>
    <xf numFmtId="0" fontId="0" fillId="5" borderId="0" xfId="0" applyFill="1" applyBorder="1" applyAlignment="1">
      <alignment horizontal="center"/>
    </xf>
    <xf numFmtId="14" fontId="0" fillId="0" borderId="44" xfId="0" applyNumberFormat="1" applyFont="1" applyBorder="1" applyAlignment="1">
      <alignment horizontal="left"/>
    </xf>
    <xf numFmtId="14" fontId="0" fillId="0" borderId="0" xfId="0" applyNumberFormat="1" applyFont="1" applyBorder="1" applyAlignment="1">
      <alignment horizontal="left"/>
    </xf>
    <xf numFmtId="14" fontId="0" fillId="0" borderId="44" xfId="0" applyNumberFormat="1" applyFont="1" applyBorder="1"/>
    <xf numFmtId="14" fontId="0" fillId="0" borderId="0" xfId="0" applyNumberFormat="1" applyFont="1" applyBorder="1"/>
    <xf numFmtId="0" fontId="0" fillId="0" borderId="0" xfId="0" pivotButton="1"/>
    <xf numFmtId="14" fontId="0" fillId="3" borderId="45" xfId="0" applyNumberFormat="1" applyFont="1" applyFill="1" applyBorder="1"/>
    <xf numFmtId="0" fontId="0" fillId="0" borderId="0" xfId="0" applyNumberFormat="1"/>
    <xf numFmtId="14" fontId="0" fillId="3" borderId="0" xfId="0" applyNumberFormat="1" applyFont="1" applyFill="1"/>
    <xf numFmtId="164" fontId="0" fillId="3" borderId="43" xfId="0" applyNumberFormat="1" applyFont="1" applyFill="1" applyBorder="1"/>
    <xf numFmtId="164" fontId="0" fillId="11" borderId="43" xfId="0" applyNumberFormat="1" applyFont="1" applyFill="1" applyBorder="1"/>
    <xf numFmtId="14" fontId="0" fillId="3" borderId="43" xfId="0" applyNumberFormat="1" applyFont="1" applyFill="1" applyBorder="1"/>
    <xf numFmtId="14" fontId="0" fillId="3" borderId="48" xfId="0" applyNumberFormat="1" applyFont="1" applyFill="1" applyBorder="1"/>
    <xf numFmtId="0" fontId="0" fillId="3" borderId="49" xfId="0" applyFont="1" applyFill="1" applyBorder="1" applyAlignment="1">
      <alignment horizontal="center"/>
    </xf>
    <xf numFmtId="0" fontId="0" fillId="3" borderId="49" xfId="0" applyFont="1" applyFill="1" applyBorder="1"/>
    <xf numFmtId="164" fontId="0" fillId="3" borderId="49" xfId="0" applyNumberFormat="1" applyFont="1" applyFill="1" applyBorder="1"/>
    <xf numFmtId="164" fontId="0" fillId="11" borderId="49" xfId="0" applyNumberFormat="1" applyFont="1" applyFill="1" applyBorder="1"/>
    <xf numFmtId="14" fontId="0" fillId="3" borderId="49" xfId="0" applyNumberFormat="1" applyFont="1" applyFill="1" applyBorder="1"/>
    <xf numFmtId="14" fontId="0" fillId="3" borderId="46" xfId="0" applyNumberFormat="1" applyFont="1" applyFill="1" applyBorder="1"/>
    <xf numFmtId="164" fontId="0" fillId="6" borderId="42" xfId="0" applyNumberFormat="1" applyFont="1" applyFill="1" applyBorder="1"/>
    <xf numFmtId="164" fontId="0" fillId="6" borderId="43" xfId="0" applyNumberFormat="1" applyFont="1" applyFill="1" applyBorder="1"/>
    <xf numFmtId="164" fontId="0" fillId="6" borderId="49" xfId="0" applyNumberFormat="1" applyFont="1" applyFill="1" applyBorder="1"/>
    <xf numFmtId="14" fontId="0" fillId="3" borderId="50" xfId="0" applyNumberFormat="1" applyFont="1" applyFill="1" applyBorder="1"/>
    <xf numFmtId="0" fontId="0" fillId="3" borderId="47" xfId="0" applyFont="1" applyFill="1" applyBorder="1"/>
    <xf numFmtId="164" fontId="0" fillId="6" borderId="51" xfId="0" applyNumberFormat="1" applyFont="1" applyFill="1" applyBorder="1"/>
    <xf numFmtId="0" fontId="0" fillId="3" borderId="52" xfId="0" applyFont="1" applyFill="1" applyBorder="1"/>
    <xf numFmtId="14" fontId="0" fillId="0" borderId="0" xfId="0" applyNumberFormat="1" applyAlignment="1">
      <alignment horizontal="left"/>
    </xf>
    <xf numFmtId="14" fontId="0" fillId="3" borderId="0" xfId="0" applyNumberFormat="1" applyFont="1" applyFill="1" applyBorder="1"/>
    <xf numFmtId="14" fontId="0" fillId="3" borderId="0" xfId="0" applyNumberFormat="1" applyFont="1" applyFill="1"/>
    <xf numFmtId="14" fontId="0" fillId="3" borderId="48" xfId="0" applyNumberFormat="1" applyFont="1" applyFill="1" applyBorder="1"/>
    <xf numFmtId="0" fontId="0" fillId="0" borderId="0" xfId="0" applyAlignment="1">
      <alignment horizontal="left"/>
    </xf>
    <xf numFmtId="0" fontId="0" fillId="5" borderId="3" xfId="0" applyFill="1" applyBorder="1" applyAlignment="1"/>
    <xf numFmtId="0" fontId="0" fillId="5" borderId="0" xfId="0" applyFill="1" applyAlignment="1"/>
    <xf numFmtId="0" fontId="0" fillId="5" borderId="0" xfId="0" applyFill="1" applyBorder="1" applyAlignment="1"/>
    <xf numFmtId="14" fontId="0" fillId="0" borderId="0" xfId="0" applyNumberFormat="1"/>
    <xf numFmtId="0" fontId="0" fillId="3" borderId="50" xfId="0" applyFont="1" applyFill="1" applyBorder="1"/>
    <xf numFmtId="0" fontId="14" fillId="0" borderId="0" xfId="1"/>
    <xf numFmtId="14" fontId="14" fillId="0" borderId="0" xfId="1" applyNumberFormat="1"/>
    <xf numFmtId="14" fontId="15" fillId="0" borderId="0" xfId="0" applyNumberFormat="1" applyFont="1" applyFill="1" applyAlignment="1">
      <alignment vertical="center"/>
    </xf>
    <xf numFmtId="14" fontId="2" fillId="2" borderId="0" xfId="0" applyNumberFormat="1" applyFont="1" applyFill="1" applyAlignment="1">
      <alignment vertical="center"/>
    </xf>
    <xf numFmtId="166" fontId="0" fillId="0" borderId="0" xfId="0" applyNumberFormat="1" applyFont="1"/>
    <xf numFmtId="167" fontId="0" fillId="3" borderId="0" xfId="0" applyNumberFormat="1" applyFont="1" applyFill="1"/>
    <xf numFmtId="0" fontId="0" fillId="3" borderId="0" xfId="0" applyFont="1" applyFill="1" applyBorder="1" applyAlignment="1">
      <alignment horizontal="center"/>
    </xf>
    <xf numFmtId="0" fontId="0" fillId="3" borderId="0" xfId="0" applyFont="1" applyFill="1" applyBorder="1"/>
    <xf numFmtId="164" fontId="0" fillId="3" borderId="0" xfId="0" applyNumberFormat="1" applyFont="1" applyFill="1" applyBorder="1"/>
    <xf numFmtId="164" fontId="0" fillId="11" borderId="0" xfId="0" applyNumberFormat="1" applyFont="1" applyFill="1" applyBorder="1"/>
    <xf numFmtId="164" fontId="0" fillId="6" borderId="0" xfId="0" applyNumberFormat="1" applyFont="1" applyFill="1" applyBorder="1"/>
    <xf numFmtId="167" fontId="0" fillId="3" borderId="53" xfId="0" applyNumberFormat="1" applyFont="1" applyFill="1" applyBorder="1"/>
    <xf numFmtId="0" fontId="0" fillId="3" borderId="54" xfId="0" applyFont="1" applyFill="1" applyBorder="1" applyAlignment="1">
      <alignment horizontal="center"/>
    </xf>
    <xf numFmtId="0" fontId="0" fillId="3" borderId="54" xfId="0" applyFont="1" applyFill="1" applyBorder="1"/>
    <xf numFmtId="164" fontId="0" fillId="3" borderId="54" xfId="0" applyNumberFormat="1" applyFont="1" applyFill="1" applyBorder="1"/>
    <xf numFmtId="164" fontId="0" fillId="11" borderId="54" xfId="0" applyNumberFormat="1" applyFont="1" applyFill="1" applyBorder="1"/>
    <xf numFmtId="14" fontId="0" fillId="3" borderId="55" xfId="0" applyNumberFormat="1" applyFont="1" applyFill="1" applyBorder="1"/>
    <xf numFmtId="164" fontId="0" fillId="6" borderId="54" xfId="0" applyNumberFormat="1" applyFont="1" applyFill="1" applyBorder="1"/>
    <xf numFmtId="0" fontId="0" fillId="3" borderId="53" xfId="0" applyFont="1" applyFill="1" applyBorder="1"/>
    <xf numFmtId="167" fontId="0" fillId="3" borderId="48" xfId="0" applyNumberFormat="1" applyFont="1" applyFill="1" applyBorder="1"/>
    <xf numFmtId="0" fontId="3" fillId="9" borderId="0" xfId="0" applyFont="1" applyFill="1" applyAlignment="1">
      <alignment horizontal="left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12" borderId="0" xfId="0" applyFont="1" applyFill="1" applyAlignment="1">
      <alignment horizontal="center" vertical="center"/>
    </xf>
  </cellXfs>
  <cellStyles count="2">
    <cellStyle name="Normal" xfId="0" builtinId="0"/>
    <cellStyle name="Texte explicatif" xfId="1" builtinId="53"/>
  </cellStyles>
  <dxfs count="62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€&quot;\ #,##0.00"/>
    </dxf>
    <dxf>
      <numFmt numFmtId="166" formatCode="&quot;€&quot;\ #,##0.00"/>
    </dxf>
    <dxf>
      <numFmt numFmtId="166" formatCode="&quot;€&quot;\ #,##0.00"/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d/mm/yyyy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d/mm/yyyy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7"/>
        </top>
        <bottom/>
        <vertical/>
        <horizontal/>
      </border>
    </dxf>
    <dxf>
      <border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9"/>
        </left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9" formatCode="d/mm/yyyy"/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"/>
      <fill>
        <patternFill patternType="solid">
          <fgColor indexed="64"/>
          <bgColor indexed="9"/>
        </patternFill>
      </fill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4" Type="http://schemas.openxmlformats.org/officeDocument/2006/relationships/customXml" Target="../customXml/item1.xml"/><Relationship Id="rId15" Type="http://schemas.microsoft.com/office/2006/relationships/vbaProject" Target="vbaProject.bin"/><Relationship Id="rId16" Type="http://schemas.openxmlformats.org/officeDocument/2006/relationships/powerPivotData" Target="model/item.data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externalLink" Target="externalLinks/externalLink1.xml"/><Relationship Id="rId7" Type="http://schemas.openxmlformats.org/officeDocument/2006/relationships/pivotCacheDefinition" Target="pivotCache/pivotCacheDefinition1.xml"/><Relationship Id="rId8" Type="http://schemas.openxmlformats.org/officeDocument/2006/relationships/pivotCacheDefinition" Target="pivotCache/pivotCacheDefinition2.xml"/><Relationship Id="rId9" Type="http://schemas.openxmlformats.org/officeDocument/2006/relationships/theme" Target="theme/theme1.xml"/><Relationship Id="rId10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</xdr:colOff>
          <xdr:row>3</xdr:row>
          <xdr:rowOff>0</xdr:rowOff>
        </xdr:from>
        <xdr:to>
          <xdr:col>9</xdr:col>
          <xdr:colOff>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12700</xdr:colOff>
      <xdr:row>2</xdr:row>
      <xdr:rowOff>63500</xdr:rowOff>
    </xdr:from>
    <xdr:to>
      <xdr:col>7</xdr:col>
      <xdr:colOff>330200</xdr:colOff>
      <xdr:row>2</xdr:row>
      <xdr:rowOff>304800</xdr:rowOff>
    </xdr:to>
    <xdr:sp macro="" textlink="">
      <xdr:nvSpPr>
        <xdr:cNvPr id="2049" name="TextBox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6</xdr:col>
      <xdr:colOff>12700</xdr:colOff>
      <xdr:row>2</xdr:row>
      <xdr:rowOff>63500</xdr:rowOff>
    </xdr:from>
    <xdr:to>
      <xdr:col>7</xdr:col>
      <xdr:colOff>330200</xdr:colOff>
      <xdr:row>2</xdr:row>
      <xdr:rowOff>304800</xdr:rowOff>
    </xdr:to>
    <xdr:pic>
      <xdr:nvPicPr>
        <xdr:cNvPr id="2" name="TextBox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36000" y="444500"/>
          <a:ext cx="1574800" cy="241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171450</xdr:rowOff>
    </xdr:from>
    <xdr:to>
      <xdr:col>2</xdr:col>
      <xdr:colOff>571500</xdr:colOff>
      <xdr:row>2</xdr:row>
      <xdr:rowOff>20954</xdr:rowOff>
    </xdr:to>
    <xdr:sp macro="[0]!MiseAjou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1704975" y="171450"/>
          <a:ext cx="1057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673100</xdr:colOff>
          <xdr:row>1</xdr:row>
          <xdr:rowOff>25400</xdr:rowOff>
        </xdr:from>
        <xdr:to>
          <xdr:col>3</xdr:col>
          <xdr:colOff>50800</xdr:colOff>
          <xdr:row>2</xdr:row>
          <xdr:rowOff>12700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609599</xdr:colOff>
      <xdr:row>0</xdr:row>
      <xdr:rowOff>114300</xdr:rowOff>
    </xdr:from>
    <xdr:to>
      <xdr:col>4</xdr:col>
      <xdr:colOff>1457324</xdr:colOff>
      <xdr:row>2</xdr:row>
      <xdr:rowOff>104775</xdr:rowOff>
    </xdr:to>
    <xdr:sp macro="[0]!actualiser_tcd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3733799" y="114300"/>
          <a:ext cx="1457325" cy="4000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 à jour TCD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0</xdr:row>
      <xdr:rowOff>104775</xdr:rowOff>
    </xdr:from>
    <xdr:to>
      <xdr:col>10</xdr:col>
      <xdr:colOff>142875</xdr:colOff>
      <xdr:row>2</xdr:row>
      <xdr:rowOff>38100</xdr:rowOff>
    </xdr:to>
    <xdr:sp macro="[0]!actuTCDTOTAL" textlink="">
      <xdr:nvSpPr>
        <xdr:cNvPr id="2" name="Rectangle 1"/>
        <xdr:cNvSpPr/>
      </xdr:nvSpPr>
      <xdr:spPr>
        <a:xfrm>
          <a:off x="12049125" y="104775"/>
          <a:ext cx="1352550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Actualiser TCD</a:t>
          </a:r>
        </a:p>
      </xdr:txBody>
    </xdr:sp>
    <xdr:clientData/>
  </xdr:twoCellAnchor>
  <xdr:twoCellAnchor>
    <xdr:from>
      <xdr:col>8</xdr:col>
      <xdr:colOff>752475</xdr:colOff>
      <xdr:row>2</xdr:row>
      <xdr:rowOff>171450</xdr:rowOff>
    </xdr:from>
    <xdr:to>
      <xdr:col>10</xdr:col>
      <xdr:colOff>142875</xdr:colOff>
      <xdr:row>4</xdr:row>
      <xdr:rowOff>85725</xdr:rowOff>
    </xdr:to>
    <xdr:sp macro="[0]!majtotaldesmedecins" textlink="">
      <xdr:nvSpPr>
        <xdr:cNvPr id="3" name="Rectangle 2"/>
        <xdr:cNvSpPr/>
      </xdr:nvSpPr>
      <xdr:spPr>
        <a:xfrm>
          <a:off x="12049125" y="552450"/>
          <a:ext cx="13525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MAJ du</a:t>
          </a:r>
          <a:r>
            <a:rPr lang="fr-BE" sz="1100" baseline="0"/>
            <a:t> total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ception%20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sheetDataSet>
      <sheetData sheetId="0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06.483359606478" createdVersion="5" refreshedVersion="6" minRefreshableVersion="3" recordCount="73">
  <cacheSource type="worksheet">
    <worksheetSource name="tabpaie"/>
  </cacheSource>
  <cacheFields count="3">
    <cacheField name="Date" numFmtId="14">
      <sharedItems containsNonDate="0" containsDate="1" containsString="0" containsBlank="1" minDate="2016-01-10T00:00:00" maxDate="2017-02-18T00:00:00" count="16">
        <d v="2016-11-29T00:00:00"/>
        <d v="2016-12-15T00:00:00"/>
        <d v="2016-11-30T00:00:00"/>
        <m/>
        <d v="2016-12-10T00:00:00"/>
        <d v="2016-12-12T00:00:00"/>
        <d v="2016-12-14T00:00:00"/>
        <d v="2016-12-20T00:00:00"/>
        <d v="2016-12-26T00:00:00"/>
        <d v="2016-12-16T00:00:00"/>
        <d v="2016-12-30T00:00:00"/>
        <d v="2017-01-16T00:00:00" u="1"/>
        <d v="2017-01-02T00:00:00" u="1"/>
        <d v="2017-02-17T00:00:00" u="1"/>
        <d v="2016-01-10T00:00:00" u="1"/>
        <d v="2017-01-03T00:00:00" u="1"/>
      </sharedItems>
    </cacheField>
    <cacheField name="Médecin" numFmtId="14">
      <sharedItems containsBlank="1" count="6">
        <s v="Dederix Bertrand"/>
        <s v="Ivanov Alex"/>
        <s v="Bartin Claire"/>
        <s v="Alvarez Léa"/>
        <m u="1"/>
        <s v="Defoy Thomas" u="1"/>
      </sharedItems>
    </cacheField>
    <cacheField name="Solde" numFmtId="164">
      <sharedItems containsString="0" containsBlank="1" containsNumber="1" minValue="0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tilisateur" refreshedDate="42709.381485069447" createdVersion="5" refreshedVersion="5" minRefreshableVersion="3" recordCount="78">
  <cacheSource type="worksheet">
    <worksheetSource name="tabhisto"/>
  </cacheSource>
  <cacheFields count="22">
    <cacheField name="Date" numFmtId="0">
      <sharedItems containsSemiMixedTypes="0" containsNonDate="0" containsDate="1" containsString="0" minDate="2016-01-01T00:00:00" maxDate="2016-12-14T00:00:00" count="12">
        <d v="2016-11-05T00:00:00"/>
        <d v="2016-11-12T00:00:00"/>
        <d v="2016-11-10T00:00:00"/>
        <d v="2016-11-17T00:00:00"/>
        <d v="2016-11-24T00:00:00"/>
        <d v="2016-11-30T00:00:00"/>
        <d v="2016-02-06T00:00:00"/>
        <d v="2016-12-13T00:00:00"/>
        <d v="2016-01-01T00:00:00"/>
        <d v="2016-01-02T00:00:00"/>
        <d v="2016-11-01T00:00:00"/>
        <d v="2016-02-01T00:00:00"/>
      </sharedItems>
      <fieldGroup par="21" base="0">
        <rangePr groupBy="days" startDate="2016-01-01T00:00:00" endDate="2016-12-14T00:00:00"/>
        <groupItems count="368">
          <s v="&lt;1/01/2016"/>
          <s v="1-janv"/>
          <s v="2-janv"/>
          <s v="3-janv"/>
          <s v="4-janv"/>
          <s v="5-janv"/>
          <s v="6-janv"/>
          <s v="7-janv"/>
          <s v="8-janv"/>
          <s v="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1-févr"/>
          <s v="2-févr"/>
          <s v="3-févr"/>
          <s v="4-févr"/>
          <s v="5-févr"/>
          <s v="6-févr"/>
          <s v="7-févr"/>
          <s v="8-févr"/>
          <s v="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1-mars"/>
          <s v="2-mars"/>
          <s v="3-mars"/>
          <s v="4-mars"/>
          <s v="5-mars"/>
          <s v="6-mars"/>
          <s v="7-mars"/>
          <s v="8-mars"/>
          <s v="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1-avr"/>
          <s v="2-avr"/>
          <s v="3-avr"/>
          <s v="4-avr"/>
          <s v="5-avr"/>
          <s v="6-avr"/>
          <s v="7-avr"/>
          <s v="8-avr"/>
          <s v="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1-mai"/>
          <s v="2-mai"/>
          <s v="3-mai"/>
          <s v="4-mai"/>
          <s v="5-mai"/>
          <s v="6-mai"/>
          <s v="7-mai"/>
          <s v="8-mai"/>
          <s v="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1-juin"/>
          <s v="2-juin"/>
          <s v="3-juin"/>
          <s v="4-juin"/>
          <s v="5-juin"/>
          <s v="6-juin"/>
          <s v="7-juin"/>
          <s v="8-juin"/>
          <s v="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1-juil"/>
          <s v="2-juil"/>
          <s v="3-juil"/>
          <s v="4-juil"/>
          <s v="5-juil"/>
          <s v="6-juil"/>
          <s v="7-juil"/>
          <s v="8-juil"/>
          <s v="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1-août"/>
          <s v="2-août"/>
          <s v="3-août"/>
          <s v="4-août"/>
          <s v="5-août"/>
          <s v="6-août"/>
          <s v="7-août"/>
          <s v="8-août"/>
          <s v="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1-sept"/>
          <s v="2-sept"/>
          <s v="3-sept"/>
          <s v="4-sept"/>
          <s v="5-sept"/>
          <s v="6-sept"/>
          <s v="7-sept"/>
          <s v="8-sept"/>
          <s v="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1-oct"/>
          <s v="2-oct"/>
          <s v="3-oct"/>
          <s v="4-oct"/>
          <s v="5-oct"/>
          <s v="6-oct"/>
          <s v="7-oct"/>
          <s v="8-oct"/>
          <s v="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1-nov"/>
          <s v="2-nov"/>
          <s v="3-nov"/>
          <s v="4-nov"/>
          <s v="5-nov"/>
          <s v="6-nov"/>
          <s v="7-nov"/>
          <s v="8-nov"/>
          <s v="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1-déc"/>
          <s v="2-déc"/>
          <s v="3-déc"/>
          <s v="4-déc"/>
          <s v="5-déc"/>
          <s v="6-déc"/>
          <s v="7-déc"/>
          <s v="8-déc"/>
          <s v="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/12/2016"/>
        </groupItems>
      </fieldGroup>
    </cacheField>
    <cacheField name="Code Garde" numFmtId="0">
      <sharedItems containsMixedTypes="1" containsNumber="1" containsInteger="1" minValue="3" maxValue="5"/>
    </cacheField>
    <cacheField name="Médecin" numFmtId="0">
      <sharedItems count="5">
        <s v="Dederix Bertrand"/>
        <s v="Ivanov Alex"/>
        <s v="Bartin Claire"/>
        <s v="Alvarez Léa"/>
        <s v="Tom Lande"/>
      </sharedItems>
    </cacheField>
    <cacheField name="Acte" numFmtId="0">
      <sharedItems/>
    </cacheField>
    <cacheField name="Montant de base" numFmtId="164">
      <sharedItems containsSemiMixedTypes="0" containsString="0" containsNumber="1" containsInteger="1" minValue="25" maxValue="55"/>
    </cacheField>
    <cacheField name="Patient" numFmtId="0">
      <sharedItems containsBlank="1"/>
    </cacheField>
    <cacheField name="Coordonnées Institution" numFmtId="0">
      <sharedItems containsBlank="1"/>
    </cacheField>
    <cacheField name="Type de paiement" numFmtId="0">
      <sharedItems containsBlank="1"/>
    </cacheField>
    <cacheField name="Type de différé" numFmtId="0">
      <sharedItems containsBlank="1"/>
    </cacheField>
    <cacheField name="Attestation récupérée" numFmtId="0">
      <sharedItems containsBlank="1"/>
    </cacheField>
    <cacheField name="Montant disponible à la fin de la garde" numFmtId="164">
      <sharedItems containsSemiMixedTypes="0" containsString="0" containsNumber="1" minValue="0" maxValue="55"/>
    </cacheField>
    <cacheField name="Ticket modérateur" numFmtId="164">
      <sharedItems containsString="0" containsBlank="1" containsNumber="1" minValue="1" maxValue="2"/>
    </cacheField>
    <cacheField name="Date de paiement TM" numFmtId="0">
      <sharedItems containsNonDate="0" containsDate="1" containsString="0" containsBlank="1" minDate="2016-11-27T00:00:00" maxDate="2016-12-29T00:00:00" count="10">
        <m/>
        <d v="2016-11-27T00:00:00"/>
        <d v="2016-12-09T00:00:00"/>
        <d v="2016-12-11T00:00:00"/>
        <d v="2016-12-13T00:00:00"/>
        <d v="2016-12-18T00:00:00"/>
        <d v="2016-12-22T00:00:00"/>
        <d v="2016-12-12T00:00:00"/>
        <d v="2016-12-28T00:00:00"/>
        <d v="2016-12-05T00:00:00"/>
      </sharedItems>
    </cacheField>
    <cacheField name="Montant mutuelle" numFmtId="164">
      <sharedItems containsString="0" containsBlank="1" containsNumber="1" containsInteger="1" minValue="35" maxValue="42"/>
    </cacheField>
    <cacheField name="Date de paiement MM" numFmtId="0">
      <sharedItems containsNonDate="0" containsDate="1" containsString="0" containsBlank="1" minDate="2016-11-27T00:00:00" maxDate="2016-12-31T00:00:00" count="9">
        <m/>
        <d v="2016-12-15T00:00:00"/>
        <d v="2016-11-27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Honoraires complet" numFmtId="164">
      <sharedItems containsString="0" containsBlank="1" containsNumber="1" containsInteger="1" minValue="25" maxValue="55"/>
    </cacheField>
    <cacheField name="Date de paiement Hon." numFmtId="0">
      <sharedItems containsNonDate="0" containsDate="1" containsString="0" containsBlank="1" minDate="2016-11-29T00:00:00" maxDate="2016-12-31T00:00:00" count="10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30T00:00:00"/>
        <d v="2016-12-05T00:00:00"/>
      </sharedItems>
    </cacheField>
    <cacheField name="Date du dernier paiement" numFmtId="14">
      <sharedItems containsNonDate="0" containsDate="1" containsString="0" containsBlank="1" minDate="2016-11-29T00:00:00" maxDate="2016-12-31T00:00:00"/>
    </cacheField>
    <cacheField name="Total reçu" numFmtId="164">
      <sharedItems containsMixedTypes="1" containsNumber="1" minValue="0" maxValue="55"/>
    </cacheField>
    <cacheField name="Statut" numFmtId="0">
      <sharedItems containsBlank="1"/>
    </cacheField>
    <cacheField name="Remarques" numFmtId="0">
      <sharedItems containsNonDate="0" containsString="0" containsBlank="1"/>
    </cacheField>
    <cacheField name="Mois" numFmtId="0" databaseField="0">
      <fieldGroup base="0">
        <rangePr groupBy="months" startDate="2016-01-01T00:00:00" endDate="2016-12-14T00:00:00"/>
        <groupItems count="14">
          <s v="&lt;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x v="0"/>
    <x v="0"/>
    <n v="37"/>
  </r>
  <r>
    <x v="1"/>
    <x v="0"/>
    <n v="37"/>
  </r>
  <r>
    <x v="0"/>
    <x v="0"/>
    <n v="49"/>
  </r>
  <r>
    <x v="0"/>
    <x v="0"/>
    <n v="49"/>
  </r>
  <r>
    <x v="0"/>
    <x v="0"/>
    <n v="49"/>
  </r>
  <r>
    <x v="0"/>
    <x v="0"/>
    <n v="49"/>
  </r>
  <r>
    <x v="0"/>
    <x v="0"/>
    <n v="49"/>
  </r>
  <r>
    <x v="2"/>
    <x v="1"/>
    <n v="55"/>
  </r>
  <r>
    <x v="2"/>
    <x v="1"/>
    <n v="37"/>
  </r>
  <r>
    <x v="3"/>
    <x v="1"/>
    <n v="2"/>
  </r>
  <r>
    <x v="3"/>
    <x v="1"/>
    <n v="2"/>
  </r>
  <r>
    <x v="3"/>
    <x v="1"/>
    <n v="37"/>
  </r>
  <r>
    <x v="2"/>
    <x v="1"/>
    <n v="37"/>
  </r>
  <r>
    <x v="2"/>
    <x v="1"/>
    <n v="37"/>
  </r>
  <r>
    <x v="2"/>
    <x v="1"/>
    <n v="37"/>
  </r>
  <r>
    <x v="2"/>
    <x v="2"/>
    <n v="37"/>
  </r>
  <r>
    <x v="2"/>
    <x v="2"/>
    <n v="37"/>
  </r>
  <r>
    <x v="2"/>
    <x v="2"/>
    <n v="37"/>
  </r>
  <r>
    <x v="3"/>
    <x v="2"/>
    <n v="0"/>
  </r>
  <r>
    <x v="2"/>
    <x v="2"/>
    <n v="37"/>
  </r>
  <r>
    <x v="4"/>
    <x v="0"/>
    <n v="50"/>
  </r>
  <r>
    <x v="4"/>
    <x v="0"/>
    <n v="39"/>
  </r>
  <r>
    <x v="4"/>
    <x v="0"/>
    <n v="38.5"/>
  </r>
  <r>
    <x v="4"/>
    <x v="0"/>
    <n v="29"/>
  </r>
  <r>
    <x v="4"/>
    <x v="0"/>
    <n v="29"/>
  </r>
  <r>
    <x v="4"/>
    <x v="0"/>
    <n v="38.5"/>
  </r>
  <r>
    <x v="4"/>
    <x v="0"/>
    <n v="29"/>
  </r>
  <r>
    <x v="5"/>
    <x v="0"/>
    <n v="29"/>
  </r>
  <r>
    <x v="5"/>
    <x v="0"/>
    <n v="29"/>
  </r>
  <r>
    <x v="5"/>
    <x v="0"/>
    <n v="29"/>
  </r>
  <r>
    <x v="5"/>
    <x v="0"/>
    <n v="38.5"/>
  </r>
  <r>
    <x v="5"/>
    <x v="0"/>
    <n v="38.5"/>
  </r>
  <r>
    <x v="5"/>
    <x v="0"/>
    <n v="42"/>
  </r>
  <r>
    <x v="5"/>
    <x v="0"/>
    <n v="29"/>
  </r>
  <r>
    <x v="5"/>
    <x v="0"/>
    <n v="42"/>
  </r>
  <r>
    <x v="6"/>
    <x v="0"/>
    <n v="29"/>
  </r>
  <r>
    <x v="6"/>
    <x v="0"/>
    <n v="29"/>
  </r>
  <r>
    <x v="3"/>
    <x v="0"/>
    <n v="2"/>
  </r>
  <r>
    <x v="6"/>
    <x v="0"/>
    <n v="44"/>
  </r>
  <r>
    <x v="6"/>
    <x v="0"/>
    <n v="44"/>
  </r>
  <r>
    <x v="6"/>
    <x v="0"/>
    <n v="29"/>
  </r>
  <r>
    <x v="3"/>
    <x v="0"/>
    <n v="2"/>
  </r>
  <r>
    <x v="6"/>
    <x v="0"/>
    <n v="29"/>
  </r>
  <r>
    <x v="7"/>
    <x v="0"/>
    <n v="42"/>
  </r>
  <r>
    <x v="3"/>
    <x v="0"/>
    <n v="0"/>
  </r>
  <r>
    <x v="7"/>
    <x v="0"/>
    <n v="38"/>
  </r>
  <r>
    <x v="3"/>
    <x v="0"/>
    <n v="0"/>
  </r>
  <r>
    <x v="7"/>
    <x v="0"/>
    <n v="29"/>
  </r>
  <r>
    <x v="7"/>
    <x v="0"/>
    <n v="29"/>
  </r>
  <r>
    <x v="7"/>
    <x v="0"/>
    <n v="29"/>
  </r>
  <r>
    <x v="7"/>
    <x v="0"/>
    <n v="29"/>
  </r>
  <r>
    <x v="3"/>
    <x v="2"/>
    <n v="2"/>
  </r>
  <r>
    <x v="3"/>
    <x v="2"/>
    <n v="0"/>
  </r>
  <r>
    <x v="3"/>
    <x v="2"/>
    <n v="2"/>
  </r>
  <r>
    <x v="8"/>
    <x v="2"/>
    <n v="41.5"/>
  </r>
  <r>
    <x v="8"/>
    <x v="2"/>
    <n v="41.5"/>
  </r>
  <r>
    <x v="9"/>
    <x v="2"/>
    <n v="25"/>
  </r>
  <r>
    <x v="8"/>
    <x v="2"/>
    <n v="25"/>
  </r>
  <r>
    <x v="8"/>
    <x v="2"/>
    <n v="25"/>
  </r>
  <r>
    <x v="10"/>
    <x v="1"/>
    <n v="29"/>
  </r>
  <r>
    <x v="10"/>
    <x v="1"/>
    <n v="29"/>
  </r>
  <r>
    <x v="10"/>
    <x v="1"/>
    <n v="29"/>
  </r>
  <r>
    <x v="10"/>
    <x v="1"/>
    <n v="29"/>
  </r>
  <r>
    <x v="10"/>
    <x v="1"/>
    <n v="25"/>
  </r>
  <r>
    <x v="10"/>
    <x v="1"/>
    <n v="39"/>
  </r>
  <r>
    <x v="3"/>
    <x v="1"/>
    <n v="1.5"/>
  </r>
  <r>
    <x v="3"/>
    <x v="1"/>
    <n v="0"/>
  </r>
  <r>
    <x v="3"/>
    <x v="0"/>
    <n v="2"/>
  </r>
  <r>
    <x v="3"/>
    <x v="0"/>
    <n v="0"/>
  </r>
  <r>
    <x v="3"/>
    <x v="2"/>
    <n v="2"/>
  </r>
  <r>
    <x v="3"/>
    <x v="2"/>
    <n v="0"/>
  </r>
  <r>
    <x v="3"/>
    <x v="3"/>
    <m/>
  </r>
  <r>
    <x v="3"/>
    <x v="3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8">
  <r>
    <x v="0"/>
    <s v="1a"/>
    <x v="0"/>
    <s v="Sam, dim et JF - JOUR - Consultation"/>
    <n v="37"/>
    <s v="Mawet Alexis"/>
    <s v="MC"/>
    <s v="Bancontact"/>
    <m/>
    <s v="Non disponible"/>
    <n v="37"/>
    <m/>
    <x v="0"/>
    <m/>
    <x v="0"/>
    <n v="37"/>
    <x v="0"/>
    <d v="2016-11-29T00:00:00"/>
    <n v="37"/>
    <s v="Cloturé"/>
    <m/>
  </r>
  <r>
    <x v="0"/>
    <s v="1a"/>
    <x v="0"/>
    <s v="Sam, dim et JF - JOUR - Consultation"/>
    <n v="37"/>
    <s v="Piron Camille"/>
    <s v="Mutualia neutre"/>
    <s v="Différé"/>
    <s v="⅓ payant C"/>
    <s v="Disponible"/>
    <n v="2"/>
    <n v="2"/>
    <x v="1"/>
    <n v="35"/>
    <x v="1"/>
    <m/>
    <x v="1"/>
    <d v="2016-12-15T00:00:00"/>
    <n v="37"/>
    <s v="Cloturé"/>
    <m/>
  </r>
  <r>
    <x v="0"/>
    <s v="1a"/>
    <x v="0"/>
    <s v="Sam, dim et JF - NUIT - Consultation"/>
    <n v="49"/>
    <s v="Minocci Christelle"/>
    <s v="Solidaris"/>
    <s v="Bancontact"/>
    <m/>
    <s v="Disponible"/>
    <n v="49"/>
    <m/>
    <x v="0"/>
    <m/>
    <x v="0"/>
    <n v="49"/>
    <x v="0"/>
    <d v="2016-11-29T00:00:00"/>
    <n v="49"/>
    <s v="Cloturé"/>
    <m/>
  </r>
  <r>
    <x v="0"/>
    <s v="1a"/>
    <x v="0"/>
    <s v="Sam, dim et JF - NUIT - Consultation"/>
    <n v="49"/>
    <s v="Destexhe Thomas"/>
    <s v="Mutualia neutre"/>
    <s v="Bancontact"/>
    <m/>
    <s v="Disponible"/>
    <n v="49"/>
    <m/>
    <x v="0"/>
    <m/>
    <x v="0"/>
    <n v="49"/>
    <x v="0"/>
    <d v="2016-11-29T00:00:00"/>
    <n v="49"/>
    <s v="Cloturé"/>
    <m/>
  </r>
  <r>
    <x v="0"/>
    <s v="1a"/>
    <x v="0"/>
    <s v="Sam, dim et JF - NUIT - Consultation"/>
    <n v="49"/>
    <s v="Gavage Guy"/>
    <s v="MC"/>
    <s v="Bancontact"/>
    <m/>
    <s v="Disponible"/>
    <n v="49"/>
    <m/>
    <x v="0"/>
    <m/>
    <x v="0"/>
    <n v="49"/>
    <x v="0"/>
    <d v="2016-11-29T00:00:00"/>
    <n v="49"/>
    <s v="Cloturé"/>
    <m/>
  </r>
  <r>
    <x v="0"/>
    <s v="1a"/>
    <x v="0"/>
    <s v="Sam, dim et JF - NUIT - Consultation"/>
    <n v="49"/>
    <s v="Genevieve Denis"/>
    <s v="Solidaris"/>
    <s v="Bancontact"/>
    <m/>
    <s v="Disponible"/>
    <n v="49"/>
    <m/>
    <x v="0"/>
    <m/>
    <x v="0"/>
    <n v="49"/>
    <x v="0"/>
    <d v="2016-11-29T00:00:00"/>
    <n v="49"/>
    <s v="Cloturé"/>
    <m/>
  </r>
  <r>
    <x v="0"/>
    <s v="1a"/>
    <x v="0"/>
    <s v="Sam, dim et JF - NUIT - Consultation"/>
    <n v="49"/>
    <s v="Noirfalise Francoise"/>
    <s v="Mutualia neutre"/>
    <s v="Bancontact"/>
    <m/>
    <s v="Disponible"/>
    <n v="49"/>
    <m/>
    <x v="0"/>
    <m/>
    <x v="0"/>
    <n v="49"/>
    <x v="0"/>
    <d v="2016-11-29T00:00:00"/>
    <n v="49"/>
    <s v="Cloturé"/>
    <m/>
  </r>
  <r>
    <x v="0"/>
    <n v="5"/>
    <x v="1"/>
    <s v="Sam, dim et JF - JOUR - Visite 1 bénéficiaire"/>
    <n v="55"/>
    <s v="Delaide Raymond"/>
    <m/>
    <s v="Cash"/>
    <m/>
    <s v="Non disponible"/>
    <n v="55"/>
    <m/>
    <x v="0"/>
    <m/>
    <x v="0"/>
    <n v="55"/>
    <x v="2"/>
    <d v="2016-11-30T00:00:00"/>
    <n v="55"/>
    <s v="Cloturé"/>
    <m/>
  </r>
  <r>
    <x v="0"/>
    <n v="5"/>
    <x v="1"/>
    <s v="Sam, dim et JF - JOUR - Consultation"/>
    <n v="37"/>
    <s v="Lanuit Guy"/>
    <s v="MC"/>
    <s v="Bancontact"/>
    <m/>
    <s v="Disponible"/>
    <n v="37"/>
    <m/>
    <x v="0"/>
    <m/>
    <x v="0"/>
    <n v="37"/>
    <x v="2"/>
    <d v="2016-11-30T00:00:00"/>
    <n v="37"/>
    <s v="Cloturé"/>
    <m/>
  </r>
  <r>
    <x v="0"/>
    <n v="5"/>
    <x v="1"/>
    <s v="Sam, dim et JF - JOUR - Consultation"/>
    <n v="37"/>
    <s v="Trigalet Stephan"/>
    <s v="MC"/>
    <s v="Différé"/>
    <s v="⅓ payant C"/>
    <s v="Non disponible"/>
    <n v="0"/>
    <n v="2"/>
    <x v="1"/>
    <m/>
    <x v="0"/>
    <m/>
    <x v="1"/>
    <m/>
    <n v="2"/>
    <s v="Mut recouvrement"/>
    <m/>
  </r>
  <r>
    <x v="0"/>
    <n v="5"/>
    <x v="1"/>
    <s v="Sam, dim et JF - JOUR - Consultation"/>
    <n v="37"/>
    <s v="Meuleuysen Maureen"/>
    <m/>
    <s v="Différé"/>
    <s v="⅓ payant C"/>
    <s v="Non disponible"/>
    <n v="0"/>
    <n v="2"/>
    <x v="1"/>
    <m/>
    <x v="0"/>
    <m/>
    <x v="1"/>
    <m/>
    <n v="2"/>
    <s v="Mut recouvrement"/>
    <m/>
  </r>
  <r>
    <x v="0"/>
    <n v="5"/>
    <x v="1"/>
    <s v="Sam, dim et JF - JOUR - Consultation"/>
    <n v="37"/>
    <s v="Alienor Thomas"/>
    <s v="Euromut"/>
    <s v="Différé"/>
    <s v="⅓ payant C"/>
    <s v="Non disponible"/>
    <n v="0"/>
    <n v="2"/>
    <x v="1"/>
    <n v="35"/>
    <x v="2"/>
    <m/>
    <x v="1"/>
    <m/>
    <n v="37"/>
    <s v="Cloturé"/>
    <m/>
  </r>
  <r>
    <x v="0"/>
    <n v="5"/>
    <x v="1"/>
    <s v="Sam, dim et JF - JOUR - Consultation"/>
    <n v="37"/>
    <s v="Cottin Alexandre "/>
    <s v="Euromut"/>
    <s v="Bancontact"/>
    <m/>
    <s v="Disponible"/>
    <n v="37"/>
    <m/>
    <x v="0"/>
    <m/>
    <x v="0"/>
    <n v="37"/>
    <x v="2"/>
    <d v="2016-11-30T00:00:00"/>
    <n v="37"/>
    <s v="Cloturé"/>
    <m/>
  </r>
  <r>
    <x v="0"/>
    <n v="5"/>
    <x v="1"/>
    <s v="Sam, dim et JF - JOUR - Consultation"/>
    <n v="37"/>
    <s v="Weny Laurence"/>
    <m/>
    <s v="Bancontact"/>
    <m/>
    <s v="Non disponible"/>
    <n v="37"/>
    <m/>
    <x v="0"/>
    <m/>
    <x v="0"/>
    <n v="37"/>
    <x v="2"/>
    <d v="2016-11-30T00:00:00"/>
    <n v="37"/>
    <s v="Cloturé"/>
    <m/>
  </r>
  <r>
    <x v="0"/>
    <n v="5"/>
    <x v="1"/>
    <s v="Sam, dim et JF - JOUR - Consultation"/>
    <n v="37"/>
    <s v="Remacle Luc"/>
    <m/>
    <s v="Bancontact"/>
    <m/>
    <s v="Non disponible"/>
    <n v="37"/>
    <m/>
    <x v="0"/>
    <m/>
    <x v="0"/>
    <n v="37"/>
    <x v="2"/>
    <d v="2016-11-30T00:00:00"/>
    <n v="37"/>
    <s v="Cloturé"/>
    <m/>
  </r>
  <r>
    <x v="1"/>
    <n v="3"/>
    <x v="2"/>
    <s v="Sam, dim et JF - JOUR - Consultation"/>
    <n v="37"/>
    <s v="Jean Antoine"/>
    <s v="MC"/>
    <s v="Bancontact"/>
    <m/>
    <s v="Disponible"/>
    <n v="37"/>
    <m/>
    <x v="0"/>
    <m/>
    <x v="0"/>
    <n v="37"/>
    <x v="2"/>
    <d v="2016-11-30T00:00:00"/>
    <n v="37"/>
    <s v="Cloturé"/>
    <m/>
  </r>
  <r>
    <x v="1"/>
    <n v="3"/>
    <x v="2"/>
    <s v="Sam, dim et JF - JOUR - Consultation"/>
    <n v="37"/>
    <s v="Grouille Jessy"/>
    <s v="MC"/>
    <s v="Bancontact"/>
    <m/>
    <s v="Disponible"/>
    <n v="37"/>
    <m/>
    <x v="0"/>
    <m/>
    <x v="0"/>
    <n v="37"/>
    <x v="2"/>
    <d v="2016-11-30T00:00:00"/>
    <n v="37"/>
    <s v="Cloturé"/>
    <m/>
  </r>
  <r>
    <x v="1"/>
    <n v="3"/>
    <x v="2"/>
    <s v="Sam, dim et JF - JOUR - Consultation"/>
    <n v="37"/>
    <s v="Lampe Albert"/>
    <s v="Solidaris"/>
    <s v="Bancontact"/>
    <m/>
    <s v="Disponible"/>
    <n v="37"/>
    <m/>
    <x v="0"/>
    <m/>
    <x v="0"/>
    <n v="37"/>
    <x v="2"/>
    <d v="2016-11-30T00:00:00"/>
    <n v="37"/>
    <s v="Cloturé"/>
    <m/>
  </r>
  <r>
    <x v="1"/>
    <n v="3"/>
    <x v="2"/>
    <s v="Sam, dim et JF - JOUR - Visite 1 bénéficiaire"/>
    <n v="55"/>
    <s v="Roi Philippe"/>
    <m/>
    <s v="Différé"/>
    <s v="⅓ payant C"/>
    <s v="Non disponible"/>
    <n v="0"/>
    <m/>
    <x v="0"/>
    <m/>
    <x v="0"/>
    <m/>
    <x v="1"/>
    <m/>
    <n v="0"/>
    <s v="TM envoi 1"/>
    <m/>
  </r>
  <r>
    <x v="1"/>
    <n v="3"/>
    <x v="2"/>
    <s v="Sam, dim et JF - JOUR - Consultation"/>
    <n v="37"/>
    <s v="Malice Fred"/>
    <m/>
    <s v="Cash"/>
    <m/>
    <s v="Non disponible"/>
    <n v="37"/>
    <m/>
    <x v="0"/>
    <m/>
    <x v="0"/>
    <n v="37"/>
    <x v="2"/>
    <d v="2016-11-30T00:00:00"/>
    <n v="37"/>
    <s v="Cloturé"/>
    <m/>
  </r>
  <r>
    <x v="2"/>
    <s v="1b"/>
    <x v="0"/>
    <s v="Vend et veille JF - JOUR - Consultation"/>
    <n v="29"/>
    <s v="Paul Thomas"/>
    <s v="MC"/>
    <s v="Bancontact"/>
    <m/>
    <m/>
    <n v="50"/>
    <m/>
    <x v="0"/>
    <m/>
    <x v="0"/>
    <n v="50"/>
    <x v="3"/>
    <d v="2016-12-10T00:00:00"/>
    <n v="50"/>
    <s v="Cloturé"/>
    <m/>
  </r>
  <r>
    <x v="2"/>
    <s v="1b"/>
    <x v="0"/>
    <s v="Vend et veille JF - JOUR - Consultation NA"/>
    <n v="25"/>
    <s v="Jean Dujardin"/>
    <s v="Mutualia neutre"/>
    <s v="Différé"/>
    <s v="⅓ payant C"/>
    <s v="Oui"/>
    <n v="0"/>
    <n v="2"/>
    <x v="2"/>
    <n v="37"/>
    <x v="3"/>
    <m/>
    <x v="1"/>
    <d v="2016-12-10T00:00:00"/>
    <n v="39"/>
    <s v="Cloturé"/>
    <m/>
  </r>
  <r>
    <x v="2"/>
    <s v="1b"/>
    <x v="0"/>
    <s v="Vend et veille JF - JOUR - Consultation"/>
    <n v="29"/>
    <s v="Loic Chambre"/>
    <m/>
    <s v="Différé"/>
    <s v="MR"/>
    <s v="Non"/>
    <n v="0"/>
    <n v="1.5"/>
    <x v="2"/>
    <n v="37"/>
    <x v="3"/>
    <m/>
    <x v="1"/>
    <d v="2016-12-10T00:00:00"/>
    <n v="38.5"/>
    <s v="Cloturé"/>
    <m/>
  </r>
  <r>
    <x v="2"/>
    <s v="1b"/>
    <x v="0"/>
    <s v="Vend et veille JF - JOUR - Consultation"/>
    <n v="29"/>
    <s v="Dechambre Cédric"/>
    <s v="MC"/>
    <s v="Cash"/>
    <m/>
    <m/>
    <n v="29"/>
    <m/>
    <x v="0"/>
    <m/>
    <x v="0"/>
    <n v="29"/>
    <x v="3"/>
    <d v="2016-12-10T00:00:00"/>
    <n v="29"/>
    <s v="Cloturé"/>
    <m/>
  </r>
  <r>
    <x v="2"/>
    <s v="1b"/>
    <x v="0"/>
    <s v="Vend et veille JF - JOUR - Consultation"/>
    <n v="29"/>
    <s v="Tom Delampe"/>
    <s v="Solidaris"/>
    <s v="Bancontact"/>
    <m/>
    <m/>
    <n v="29"/>
    <m/>
    <x v="0"/>
    <m/>
    <x v="0"/>
    <n v="29"/>
    <x v="3"/>
    <d v="2016-12-10T00:00:00"/>
    <n v="29"/>
    <s v="Cloturé"/>
    <m/>
  </r>
  <r>
    <x v="2"/>
    <s v="1b"/>
    <x v="0"/>
    <s v="Vend et veille JF - JOUR - Consultation"/>
    <n v="29"/>
    <s v="Delamboux Jean"/>
    <m/>
    <s v="Différé"/>
    <s v="Admin. De biens"/>
    <s v="Non"/>
    <n v="0"/>
    <n v="1.5"/>
    <x v="2"/>
    <n v="37"/>
    <x v="3"/>
    <m/>
    <x v="1"/>
    <d v="2016-12-10T00:00:00"/>
    <n v="38.5"/>
    <s v="Cloturé"/>
    <m/>
  </r>
  <r>
    <x v="2"/>
    <s v="1b"/>
    <x v="0"/>
    <s v="Vend et veille JF - JOUR - Consultation"/>
    <n v="29"/>
    <s v="Dan Lapile"/>
    <s v="Solidaris"/>
    <s v="Bancontact"/>
    <m/>
    <m/>
    <n v="29"/>
    <m/>
    <x v="0"/>
    <m/>
    <x v="0"/>
    <n v="29"/>
    <x v="3"/>
    <d v="2016-12-10T00:00:00"/>
    <n v="29"/>
    <s v="Cloturé"/>
    <m/>
  </r>
  <r>
    <x v="3"/>
    <n v="5"/>
    <x v="0"/>
    <s v="Vend et veille JF - JOUR - Consultation"/>
    <n v="29"/>
    <s v="Jean Louis"/>
    <s v="MC"/>
    <s v="Bancontact"/>
    <m/>
    <m/>
    <n v="29"/>
    <m/>
    <x v="0"/>
    <m/>
    <x v="0"/>
    <n v="29"/>
    <x v="4"/>
    <d v="2016-12-12T00:00:00"/>
    <n v="29"/>
    <s v="Cloturé"/>
    <m/>
  </r>
  <r>
    <x v="3"/>
    <n v="5"/>
    <x v="0"/>
    <s v="Vend et veille JF - JOUR - Consultation"/>
    <n v="29"/>
    <s v="Tom Findus"/>
    <s v="MC"/>
    <s v="Bancontact"/>
    <m/>
    <m/>
    <n v="29"/>
    <m/>
    <x v="0"/>
    <m/>
    <x v="0"/>
    <n v="29"/>
    <x v="4"/>
    <d v="2016-12-12T00:00:00"/>
    <n v="29"/>
    <s v="Cloturé"/>
    <m/>
  </r>
  <r>
    <x v="3"/>
    <n v="5"/>
    <x v="0"/>
    <s v="Vend et veille JF - JOUR - Consultation"/>
    <n v="29"/>
    <s v="Loic Nottet"/>
    <s v="Solidaris"/>
    <s v="Cash"/>
    <m/>
    <m/>
    <n v="29"/>
    <m/>
    <x v="0"/>
    <m/>
    <x v="0"/>
    <n v="29"/>
    <x v="4"/>
    <d v="2016-12-12T00:00:00"/>
    <n v="29"/>
    <s v="Cloturé"/>
    <m/>
  </r>
  <r>
    <x v="3"/>
    <n v="5"/>
    <x v="0"/>
    <s v="Vend et veille JF - JOUR - Consultation"/>
    <n v="29"/>
    <s v="Jean Philippe"/>
    <m/>
    <s v="Différé"/>
    <s v="Admin. De biens"/>
    <s v="Disponible"/>
    <n v="0"/>
    <n v="1.5"/>
    <x v="3"/>
    <n v="37"/>
    <x v="4"/>
    <m/>
    <x v="1"/>
    <d v="2016-12-12T00:00:00"/>
    <n v="38.5"/>
    <s v="Cloturé"/>
    <m/>
  </r>
  <r>
    <x v="3"/>
    <n v="5"/>
    <x v="0"/>
    <s v="Vend et veille JF - JOUR - Consultation"/>
    <n v="29"/>
    <s v="Jean Dujardine"/>
    <m/>
    <s v="Différé"/>
    <s v="CPAS"/>
    <s v="Disponible"/>
    <n v="0"/>
    <n v="1.5"/>
    <x v="3"/>
    <n v="37"/>
    <x v="4"/>
    <m/>
    <x v="1"/>
    <d v="2016-12-12T00:00:00"/>
    <n v="38.5"/>
    <s v="Cloturé"/>
    <m/>
  </r>
  <r>
    <x v="3"/>
    <n v="5"/>
    <x v="0"/>
    <s v="Vend et veille JF - JOUR - Consultation"/>
    <n v="29"/>
    <s v="Valérie Clerbois"/>
    <m/>
    <s v="Différé"/>
    <s v="⅓ payant BC"/>
    <s v="Disponible"/>
    <n v="0"/>
    <n v="2"/>
    <x v="3"/>
    <n v="40"/>
    <x v="4"/>
    <m/>
    <x v="1"/>
    <d v="2016-12-12T00:00:00"/>
    <n v="42"/>
    <s v="Cloturé"/>
    <m/>
  </r>
  <r>
    <x v="3"/>
    <n v="5"/>
    <x v="0"/>
    <s v="Vend et veille JF - JOUR - Consultation"/>
    <n v="29"/>
    <s v="Clerfays Jeanne"/>
    <s v="MC"/>
    <s v="Cash"/>
    <m/>
    <m/>
    <n v="29"/>
    <m/>
    <x v="0"/>
    <m/>
    <x v="0"/>
    <n v="29"/>
    <x v="4"/>
    <d v="2016-12-12T00:00:00"/>
    <n v="29"/>
    <s v="Cloturé"/>
    <m/>
  </r>
  <r>
    <x v="3"/>
    <n v="5"/>
    <x v="0"/>
    <s v="Vend et veille JF - JOUR - Consultation"/>
    <n v="29"/>
    <s v="Jean Delarue"/>
    <m/>
    <s v="Différé"/>
    <s v="⅓ payant C"/>
    <s v="Non disponible"/>
    <n v="0"/>
    <n v="2"/>
    <x v="3"/>
    <n v="40"/>
    <x v="4"/>
    <m/>
    <x v="1"/>
    <d v="2016-12-12T00:00:00"/>
    <n v="42"/>
    <s v="Cloturé"/>
    <m/>
  </r>
  <r>
    <x v="4"/>
    <n v="5"/>
    <x v="0"/>
    <s v="Vend et veille JF - JOUR - Consultation"/>
    <n v="29"/>
    <s v="Phil Lame"/>
    <s v="MC"/>
    <s v="Cash"/>
    <m/>
    <m/>
    <n v="29"/>
    <m/>
    <x v="0"/>
    <m/>
    <x v="0"/>
    <n v="29"/>
    <x v="5"/>
    <d v="2016-12-14T00:00:00"/>
    <n v="29"/>
    <s v="Cloturé"/>
    <m/>
  </r>
  <r>
    <x v="4"/>
    <n v="5"/>
    <x v="0"/>
    <s v="Vend et veille JF - JOUR - Consultation"/>
    <n v="29"/>
    <s v="Marco Verratti"/>
    <s v="MC"/>
    <s v="Bancontact"/>
    <m/>
    <m/>
    <n v="29"/>
    <m/>
    <x v="0"/>
    <m/>
    <x v="0"/>
    <n v="29"/>
    <x v="5"/>
    <d v="2016-12-14T00:00:00"/>
    <n v="29"/>
    <s v="Cloturé"/>
    <m/>
  </r>
  <r>
    <x v="4"/>
    <n v="5"/>
    <x v="0"/>
    <s v="Vend et veille JF - JOUR - Consultation"/>
    <n v="29"/>
    <s v="Zlatan Ibrahimovic"/>
    <m/>
    <s v="Différé"/>
    <s v="Admin. De biens"/>
    <s v="Oui"/>
    <n v="0"/>
    <n v="2"/>
    <x v="4"/>
    <m/>
    <x v="0"/>
    <m/>
    <x v="1"/>
    <m/>
    <n v="2"/>
    <s v="Mut recouvrement"/>
    <m/>
  </r>
  <r>
    <x v="4"/>
    <n v="5"/>
    <x v="0"/>
    <s v="Vend et veille JF - JOUR - Consultation"/>
    <n v="29"/>
    <s v="Jeanne Dark"/>
    <m/>
    <s v="Différé"/>
    <s v="CPAS"/>
    <s v="Oui"/>
    <n v="0"/>
    <n v="2"/>
    <x v="4"/>
    <n v="42"/>
    <x v="5"/>
    <m/>
    <x v="1"/>
    <d v="2016-12-14T00:00:00"/>
    <n v="44"/>
    <s v="Cloturé"/>
    <m/>
  </r>
  <r>
    <x v="4"/>
    <n v="5"/>
    <x v="0"/>
    <s v="Vend et veille JF - JOUR - Consultation"/>
    <n v="29"/>
    <s v="Jean Dix"/>
    <s v="Solidaris"/>
    <s v="Différé"/>
    <s v="⅓ payant BC"/>
    <s v="Oui"/>
    <n v="0"/>
    <n v="2"/>
    <x v="4"/>
    <n v="42"/>
    <x v="5"/>
    <m/>
    <x v="1"/>
    <d v="2016-12-14T00:00:00"/>
    <n v="44"/>
    <s v="Cloturé"/>
    <m/>
  </r>
  <r>
    <x v="4"/>
    <n v="5"/>
    <x v="0"/>
    <s v="Vend et veille JF - JOUR - Consultation"/>
    <n v="29"/>
    <s v="Dix Neuf"/>
    <s v="Mutalia neutre"/>
    <s v="Bancontact"/>
    <m/>
    <m/>
    <n v="29"/>
    <m/>
    <x v="0"/>
    <m/>
    <x v="0"/>
    <n v="29"/>
    <x v="5"/>
    <d v="2016-12-14T00:00:00"/>
    <n v="29"/>
    <s v="Cloturé"/>
    <m/>
  </r>
  <r>
    <x v="4"/>
    <n v="5"/>
    <x v="0"/>
    <s v="Vend et veille JF - JOUR - Consultation"/>
    <n v="29"/>
    <s v="Sept Anthemille"/>
    <m/>
    <s v="Différé"/>
    <s v="⅓ payant BC"/>
    <s v="Non"/>
    <n v="0"/>
    <n v="2"/>
    <x v="4"/>
    <m/>
    <x v="0"/>
    <m/>
    <x v="1"/>
    <m/>
    <n v="2"/>
    <s v="Mut recouvrement"/>
    <m/>
  </r>
  <r>
    <x v="4"/>
    <n v="5"/>
    <x v="0"/>
    <s v="Vend et veille JF - JOUR - Consultation"/>
    <n v="29"/>
    <s v="Quatre Vingt"/>
    <m/>
    <s v="Bancontact"/>
    <m/>
    <m/>
    <n v="29"/>
    <m/>
    <x v="0"/>
    <m/>
    <x v="0"/>
    <n v="29"/>
    <x v="5"/>
    <d v="2016-12-14T00:00:00"/>
    <n v="29"/>
    <s v="Cloturé"/>
    <m/>
  </r>
  <r>
    <x v="5"/>
    <n v="5"/>
    <x v="0"/>
    <s v="Vend et veille JF - JOUR - Consultation"/>
    <n v="29"/>
    <s v="Jeanne Dark"/>
    <s v="MC"/>
    <s v="Différé"/>
    <s v="⅓ payant C"/>
    <s v="Oui"/>
    <n v="0"/>
    <n v="2"/>
    <x v="5"/>
    <n v="40"/>
    <x v="6"/>
    <m/>
    <x v="1"/>
    <d v="2016-12-20T00:00:00"/>
    <n v="42"/>
    <s v="Cloturé"/>
    <m/>
  </r>
  <r>
    <x v="5"/>
    <n v="5"/>
    <x v="0"/>
    <s v="Vend et veille JF - JOUR - Consultation"/>
    <n v="29"/>
    <s v="Encore Lui"/>
    <s v="MC"/>
    <s v="Différé"/>
    <s v="⅓ payant NP"/>
    <s v="Oui"/>
    <n v="0"/>
    <m/>
    <x v="0"/>
    <m/>
    <x v="0"/>
    <m/>
    <x v="1"/>
    <m/>
    <n v="0"/>
    <s v="TM recouvrement"/>
    <m/>
  </r>
  <r>
    <x v="5"/>
    <n v="5"/>
    <x v="0"/>
    <s v="Vend et veille JF - JOUR - Consultation"/>
    <n v="29"/>
    <s v="Encore Moi"/>
    <s v="Solidaris"/>
    <s v="Différé"/>
    <s v="MM"/>
    <s v="Oui"/>
    <n v="0"/>
    <n v="1"/>
    <x v="5"/>
    <n v="37"/>
    <x v="6"/>
    <m/>
    <x v="1"/>
    <d v="2016-12-20T00:00:00"/>
    <n v="38"/>
    <s v="Cloturé"/>
    <m/>
  </r>
  <r>
    <x v="5"/>
    <n v="5"/>
    <x v="0"/>
    <s v="Vend et veille JF - JOUR - Consultation"/>
    <n v="29"/>
    <s v="Encore Eux"/>
    <s v="Solidaris"/>
    <s v="Différé"/>
    <s v="MR"/>
    <s v="Non"/>
    <n v="0"/>
    <m/>
    <x v="0"/>
    <m/>
    <x v="0"/>
    <m/>
    <x v="1"/>
    <m/>
    <n v="0"/>
    <s v="TM recouvrement"/>
    <m/>
  </r>
  <r>
    <x v="5"/>
    <n v="5"/>
    <x v="0"/>
    <s v="Vend et veille JF - JOUR - Consultation"/>
    <n v="29"/>
    <s v="Cest Lui"/>
    <s v="Mutualia"/>
    <s v="Bancontact"/>
    <m/>
    <m/>
    <n v="29"/>
    <m/>
    <x v="0"/>
    <m/>
    <x v="0"/>
    <n v="29"/>
    <x v="6"/>
    <d v="2016-12-20T00:00:00"/>
    <n v="29"/>
    <s v="Cloturé"/>
    <m/>
  </r>
  <r>
    <x v="5"/>
    <n v="5"/>
    <x v="0"/>
    <s v="Vend et veille JF - JOUR - Consultation"/>
    <n v="29"/>
    <s v="Cest Moi"/>
    <s v="MC"/>
    <s v="Bancontact"/>
    <m/>
    <m/>
    <n v="29"/>
    <m/>
    <x v="0"/>
    <m/>
    <x v="0"/>
    <n v="29"/>
    <x v="6"/>
    <d v="2016-12-20T00:00:00"/>
    <n v="29"/>
    <s v="Cloturé"/>
    <m/>
  </r>
  <r>
    <x v="5"/>
    <n v="5"/>
    <x v="0"/>
    <s v="Vend et veille JF - JOUR - Consultation"/>
    <n v="29"/>
    <s v="Cest Pasmoi"/>
    <s v="Mutualia"/>
    <s v="Cash"/>
    <m/>
    <m/>
    <n v="29"/>
    <m/>
    <x v="0"/>
    <m/>
    <x v="0"/>
    <n v="29"/>
    <x v="6"/>
    <d v="2016-12-20T00:00:00"/>
    <n v="29"/>
    <s v="Cloturé"/>
    <m/>
  </r>
  <r>
    <x v="5"/>
    <n v="5"/>
    <x v="0"/>
    <s v="Vend et veille JF - JOUR - Consultation"/>
    <n v="29"/>
    <s v="Cest Paslui"/>
    <s v="Solidaris"/>
    <s v="Cash"/>
    <m/>
    <m/>
    <n v="29"/>
    <m/>
    <x v="0"/>
    <m/>
    <x v="0"/>
    <n v="29"/>
    <x v="6"/>
    <d v="2016-12-20T00:00:00"/>
    <n v="29"/>
    <s v="Cloturé"/>
    <m/>
  </r>
  <r>
    <x v="6"/>
    <n v="3"/>
    <x v="2"/>
    <s v="Vend et veille JF - JOUR - Consultation"/>
    <n v="29"/>
    <s v="Jean Thomas"/>
    <s v="MC"/>
    <s v="Différé"/>
    <s v="⅓ payant C"/>
    <s v="Oui"/>
    <n v="2"/>
    <n v="2"/>
    <x v="6"/>
    <m/>
    <x v="0"/>
    <m/>
    <x v="1"/>
    <m/>
    <n v="2"/>
    <s v="Mut recouvrement"/>
    <m/>
  </r>
  <r>
    <x v="6"/>
    <n v="3"/>
    <x v="2"/>
    <s v="Vend et veille JF - JOUR - Consultation"/>
    <n v="29"/>
    <s v="Jean Albert"/>
    <s v="MC"/>
    <s v="Différé"/>
    <s v="⅓ payant NP"/>
    <s v="Oui"/>
    <n v="0"/>
    <m/>
    <x v="0"/>
    <m/>
    <x v="0"/>
    <m/>
    <x v="1"/>
    <m/>
    <n v="0"/>
    <s v="TM recouvrement"/>
    <m/>
  </r>
  <r>
    <x v="6"/>
    <n v="3"/>
    <x v="2"/>
    <s v="Vend et veille JF - JOUR - Consultation"/>
    <n v="29"/>
    <s v="Jean Beatrice"/>
    <s v="Solidaris"/>
    <s v="Différé"/>
    <s v="⅓ payant BC"/>
    <s v="Oui"/>
    <n v="2"/>
    <n v="2"/>
    <x v="7"/>
    <m/>
    <x v="0"/>
    <m/>
    <x v="1"/>
    <m/>
    <n v="2"/>
    <s v="Mut recouvrement"/>
    <m/>
  </r>
  <r>
    <x v="6"/>
    <n v="3"/>
    <x v="2"/>
    <s v="Sam, dim et JF - JOUR - Consultation"/>
    <n v="37"/>
    <s v="Gilles Tom"/>
    <m/>
    <s v="Différé"/>
    <s v="Réquisition"/>
    <s v="Non"/>
    <n v="1.5"/>
    <n v="1.5"/>
    <x v="6"/>
    <n v="40"/>
    <x v="7"/>
    <m/>
    <x v="1"/>
    <d v="2016-12-26T00:00:00"/>
    <n v="41.5"/>
    <s v="Cloturé"/>
    <m/>
  </r>
  <r>
    <x v="6"/>
    <n v="3"/>
    <x v="2"/>
    <s v="Sam, dim et JF - JOUR - Consultation"/>
    <n v="37"/>
    <s v="Gilles Albert"/>
    <m/>
    <s v="Différé"/>
    <s v="Virement"/>
    <m/>
    <n v="1.5"/>
    <n v="1.5"/>
    <x v="6"/>
    <n v="40"/>
    <x v="7"/>
    <m/>
    <x v="1"/>
    <d v="2016-12-26T00:00:00"/>
    <n v="41.5"/>
    <s v="Cloturé"/>
    <m/>
  </r>
  <r>
    <x v="6"/>
    <n v="3"/>
    <x v="2"/>
    <s v="Vend et veille JF - JOUR - Consultation NA"/>
    <n v="25"/>
    <s v="Gilles Beatrice"/>
    <s v="MC"/>
    <s v="Bancontact"/>
    <m/>
    <m/>
    <n v="25"/>
    <m/>
    <x v="0"/>
    <m/>
    <x v="0"/>
    <n v="25"/>
    <x v="7"/>
    <d v="2016-12-16T00:00:00"/>
    <n v="25"/>
    <s v="Cloturé"/>
    <m/>
  </r>
  <r>
    <x v="6"/>
    <n v="3"/>
    <x v="2"/>
    <s v="Vend et veille JF - JOUR - Consultation NA"/>
    <n v="25"/>
    <s v="Beatrice Golberg"/>
    <s v="Solidaris "/>
    <s v="Bancontact"/>
    <m/>
    <m/>
    <n v="25"/>
    <m/>
    <x v="0"/>
    <m/>
    <x v="0"/>
    <n v="25"/>
    <x v="7"/>
    <d v="2016-12-26T00:00:00"/>
    <n v="25"/>
    <s v="Cloturé"/>
    <m/>
  </r>
  <r>
    <x v="6"/>
    <n v="3"/>
    <x v="2"/>
    <s v="Vend et veille JF - JOUR - Consultation NA"/>
    <n v="25"/>
    <s v="Jam Lasaucisse"/>
    <s v="Solidaris"/>
    <s v="Cash"/>
    <m/>
    <m/>
    <n v="25"/>
    <m/>
    <x v="0"/>
    <m/>
    <x v="0"/>
    <n v="25"/>
    <x v="7"/>
    <d v="2016-12-26T00:00:00"/>
    <n v="25"/>
    <s v="Cloturé"/>
    <m/>
  </r>
  <r>
    <x v="7"/>
    <n v="3"/>
    <x v="1"/>
    <s v="Vend et veille JF - JOUR - Consultation"/>
    <n v="29"/>
    <s v="Paul Johnson"/>
    <s v="MC"/>
    <s v="Cash"/>
    <m/>
    <s v="Oui"/>
    <n v="29"/>
    <m/>
    <x v="0"/>
    <m/>
    <x v="0"/>
    <n v="29"/>
    <x v="8"/>
    <d v="2016-12-30T00:00:00"/>
    <n v="29"/>
    <s v="Cloturé"/>
    <m/>
  </r>
  <r>
    <x v="7"/>
    <n v="3"/>
    <x v="1"/>
    <s v="Vend et veille JF - JOUR - Consultation"/>
    <n v="29"/>
    <s v="James Rodriguez"/>
    <s v="Solidaris"/>
    <s v="Cash"/>
    <m/>
    <s v="Oui"/>
    <n v="29"/>
    <m/>
    <x v="0"/>
    <m/>
    <x v="0"/>
    <n v="29"/>
    <x v="8"/>
    <d v="2016-12-30T00:00:00"/>
    <n v="29"/>
    <s v="Cloturé"/>
    <m/>
  </r>
  <r>
    <x v="7"/>
    <n v="3"/>
    <x v="1"/>
    <s v="Vend et veille JF - JOUR - Consultation"/>
    <n v="29"/>
    <s v="Cristiano Ronaldo"/>
    <s v="Solidaris"/>
    <s v="Bancontact"/>
    <m/>
    <s v="Oui"/>
    <n v="29"/>
    <m/>
    <x v="0"/>
    <m/>
    <x v="0"/>
    <n v="29"/>
    <x v="8"/>
    <d v="2016-12-30T00:00:00"/>
    <n v="29"/>
    <s v="Cloturé"/>
    <m/>
  </r>
  <r>
    <x v="7"/>
    <n v="3"/>
    <x v="1"/>
    <s v="Vend et veille JF - JOUR - Consultation"/>
    <n v="29"/>
    <s v="Philippe Lahm"/>
    <s v="Mutualia"/>
    <s v="Bancontact"/>
    <m/>
    <s v="Oui"/>
    <n v="29"/>
    <m/>
    <x v="0"/>
    <m/>
    <x v="0"/>
    <n v="29"/>
    <x v="8"/>
    <d v="2016-12-30T00:00:00"/>
    <n v="29"/>
    <s v="Cloturé"/>
    <m/>
  </r>
  <r>
    <x v="7"/>
    <n v="3"/>
    <x v="1"/>
    <s v="Vend et veille JF - JOUR - Consultation NA"/>
    <n v="25"/>
    <s v="Mario Gotze"/>
    <s v="MC"/>
    <s v="Cash"/>
    <m/>
    <s v="Oui"/>
    <n v="25"/>
    <m/>
    <x v="0"/>
    <m/>
    <x v="0"/>
    <n v="25"/>
    <x v="8"/>
    <d v="2016-12-30T00:00:00"/>
    <n v="25"/>
    <s v="Cloturé"/>
    <m/>
  </r>
  <r>
    <x v="7"/>
    <n v="3"/>
    <x v="1"/>
    <s v="Vend et veille JF - JOUR - Consultation"/>
    <n v="29"/>
    <s v="Mario Gomez"/>
    <m/>
    <s v="Différé"/>
    <s v="MM"/>
    <s v="Non"/>
    <n v="2"/>
    <n v="2"/>
    <x v="8"/>
    <n v="37"/>
    <x v="8"/>
    <m/>
    <x v="1"/>
    <d v="2016-12-30T00:00:00"/>
    <n v="39"/>
    <s v="Cloturé"/>
    <m/>
  </r>
  <r>
    <x v="7"/>
    <n v="3"/>
    <x v="1"/>
    <s v="Vend et veille JF - JOUR - Visite 2 bénéficiaires"/>
    <n v="42"/>
    <s v="Jeanne Dark"/>
    <m/>
    <s v="Différé"/>
    <s v="MR"/>
    <s v="Non"/>
    <n v="1.5"/>
    <n v="1.5"/>
    <x v="8"/>
    <m/>
    <x v="0"/>
    <m/>
    <x v="1"/>
    <m/>
    <n v="1.5"/>
    <s v="Mut recouvrement"/>
    <m/>
  </r>
  <r>
    <x v="7"/>
    <n v="3"/>
    <x v="1"/>
    <s v="Vend et veille JF - JOUR - Visite 1 bénéficiare"/>
    <n v="49"/>
    <s v="Lance Lancelot"/>
    <m/>
    <s v="Différé"/>
    <s v="⅓ payant C"/>
    <s v="Non"/>
    <n v="0"/>
    <m/>
    <x v="0"/>
    <m/>
    <x v="0"/>
    <m/>
    <x v="1"/>
    <m/>
    <n v="0"/>
    <s v="TM recouvrement"/>
    <m/>
  </r>
  <r>
    <x v="8"/>
    <n v="4"/>
    <x v="0"/>
    <s v="Vend et veille JF - JOUR - Consultation"/>
    <n v="29"/>
    <s v="Paul "/>
    <s v="MC"/>
    <s v="Différé"/>
    <s v="⅓ payant C"/>
    <s v="Oui"/>
    <n v="2"/>
    <n v="2"/>
    <x v="0"/>
    <m/>
    <x v="0"/>
    <m/>
    <x v="1"/>
    <m/>
    <n v="2"/>
    <m/>
    <m/>
  </r>
  <r>
    <x v="8"/>
    <n v="4"/>
    <x v="0"/>
    <s v="Vend et veille JF - JOUR - Consultation"/>
    <n v="29"/>
    <s v="Tom"/>
    <s v="Solidaris"/>
    <s v="Cash"/>
    <m/>
    <s v="Non"/>
    <n v="29"/>
    <m/>
    <x v="0"/>
    <m/>
    <x v="0"/>
    <m/>
    <x v="1"/>
    <m/>
    <n v="0"/>
    <m/>
    <m/>
  </r>
  <r>
    <x v="9"/>
    <s v="2b"/>
    <x v="2"/>
    <s v="Vend et veille JF - JOUR - Consultation"/>
    <n v="29"/>
    <m/>
    <m/>
    <s v="Différé"/>
    <s v="⅓ payant C"/>
    <m/>
    <n v="0"/>
    <n v="2"/>
    <x v="0"/>
    <m/>
    <x v="0"/>
    <m/>
    <x v="1"/>
    <m/>
    <n v="2"/>
    <m/>
    <m/>
  </r>
  <r>
    <x v="9"/>
    <s v="2b"/>
    <x v="2"/>
    <s v="Vend et veille JF - JOUR - Consultation NA"/>
    <n v="25"/>
    <m/>
    <m/>
    <s v="Bancontact"/>
    <m/>
    <m/>
    <n v="25"/>
    <m/>
    <x v="0"/>
    <m/>
    <x v="0"/>
    <m/>
    <x v="1"/>
    <m/>
    <n v="0"/>
    <m/>
    <m/>
  </r>
  <r>
    <x v="10"/>
    <s v="2a"/>
    <x v="3"/>
    <s v="Vend et veille JF - JOUR - Consultation"/>
    <n v="29"/>
    <m/>
    <m/>
    <m/>
    <m/>
    <m/>
    <n v="29"/>
    <m/>
    <x v="0"/>
    <m/>
    <x v="0"/>
    <m/>
    <x v="1"/>
    <m/>
    <s v=""/>
    <m/>
    <m/>
  </r>
  <r>
    <x v="10"/>
    <s v="2a"/>
    <x v="3"/>
    <s v="Vend et veille JF - JOUR - Visite 1 bénéficiare"/>
    <n v="49"/>
    <m/>
    <m/>
    <m/>
    <m/>
    <m/>
    <n v="49"/>
    <m/>
    <x v="0"/>
    <m/>
    <x v="0"/>
    <m/>
    <x v="1"/>
    <m/>
    <s v=""/>
    <m/>
    <m/>
  </r>
  <r>
    <x v="11"/>
    <s v="1b"/>
    <x v="4"/>
    <s v="Vend et veille JF - JOUR - Consultation"/>
    <n v="29"/>
    <m/>
    <m/>
    <s v="Bancontact"/>
    <m/>
    <m/>
    <n v="29"/>
    <m/>
    <x v="0"/>
    <m/>
    <x v="0"/>
    <n v="29"/>
    <x v="9"/>
    <m/>
    <n v="29"/>
    <m/>
    <m/>
  </r>
  <r>
    <x v="8"/>
    <s v="2a"/>
    <x v="2"/>
    <s v="Vend et veille JF - JOUR - Consultation"/>
    <n v="29"/>
    <m/>
    <m/>
    <s v="Cash"/>
    <m/>
    <m/>
    <n v="29"/>
    <m/>
    <x v="0"/>
    <m/>
    <x v="0"/>
    <n v="29"/>
    <x v="9"/>
    <m/>
    <n v="29"/>
    <m/>
    <m/>
  </r>
  <r>
    <x v="8"/>
    <s v="2a"/>
    <x v="2"/>
    <s v="Vend et veille JF - JOUR - Consultation"/>
    <n v="29"/>
    <m/>
    <m/>
    <s v="Différé"/>
    <m/>
    <m/>
    <n v="29"/>
    <n v="2"/>
    <x v="9"/>
    <m/>
    <x v="0"/>
    <m/>
    <x v="1"/>
    <m/>
    <n v="2"/>
    <m/>
    <m/>
  </r>
  <r>
    <x v="8"/>
    <s v="2a"/>
    <x v="2"/>
    <s v="Vend et veille JF - JOUR - Visite 2 bénéficiaires"/>
    <n v="42"/>
    <m/>
    <m/>
    <s v="Bancontact"/>
    <m/>
    <m/>
    <n v="42"/>
    <m/>
    <x v="0"/>
    <m/>
    <x v="0"/>
    <n v="42"/>
    <x v="9"/>
    <m/>
    <n v="42"/>
    <m/>
    <m/>
  </r>
  <r>
    <x v="8"/>
    <s v="2a"/>
    <x v="2"/>
    <s v="Vend et veille JF - JOUR - Consultation"/>
    <n v="29"/>
    <m/>
    <m/>
    <s v="Cash"/>
    <m/>
    <m/>
    <n v="29"/>
    <m/>
    <x v="0"/>
    <m/>
    <x v="0"/>
    <n v="29"/>
    <x v="9"/>
    <m/>
    <n v="29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>
  <location ref="F4:G7" firstHeaderRow="1" firstDataRow="1" firstDataCol="1" rowPageCount="1" colPageCount="1"/>
  <pivotFields count="3">
    <pivotField axis="axisPage" compact="0" outline="0" showAll="0">
      <items count="17">
        <item m="1" x="12"/>
        <item m="1" x="15"/>
        <item m="1" x="11"/>
        <item m="1" x="13"/>
        <item x="3"/>
        <item m="1" x="14"/>
        <item x="0"/>
        <item x="2"/>
        <item x="4"/>
        <item x="5"/>
        <item x="6"/>
        <item x="7"/>
        <item x="8"/>
        <item x="9"/>
        <item x="10"/>
        <item x="1"/>
        <item t="default"/>
      </items>
    </pivotField>
    <pivotField axis="axisRow" compact="0" outline="0" showAll="0">
      <items count="7">
        <item x="3"/>
        <item x="2"/>
        <item m="1" x="5"/>
        <item m="1" x="4"/>
        <item x="0"/>
        <item x="1"/>
        <item t="default"/>
      </items>
    </pivotField>
    <pivotField dataField="1" compact="0" outline="0" showAll="0"/>
  </pivotFields>
  <rowFields count="1">
    <field x="1"/>
  </rowFields>
  <rowItems count="3">
    <i>
      <x v="1"/>
    </i>
    <i>
      <x v="5"/>
    </i>
    <i t="grand">
      <x/>
    </i>
  </rowItems>
  <colItems count="1">
    <i/>
  </colItems>
  <pageFields count="1">
    <pageField fld="0" item="7" hier="-1"/>
  </pageFields>
  <dataFields count="1">
    <dataField name="Somme de Solde" fld="2" baseField="0" baseItem="4" numFmtId="166"/>
  </dataFields>
  <formats count="1">
    <format dxfId="10">
      <pivotArea outline="0" collapsedLevelsAreSubtotals="1" fieldPosition="0"/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D7:E13" firstHeaderRow="1" firstDataRow="1" firstDataCol="1" rowPageCount="1" colPageCount="1"/>
  <pivotFields count="22">
    <pivotField showAll="0">
      <items count="369"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1"/>
        <item x="2"/>
        <item x="3"/>
        <item x="4"/>
        <item x="5"/>
        <item x="6"/>
        <item x="7"/>
        <item x="8"/>
        <item x="9"/>
        <item x="32"/>
        <item x="33"/>
        <item x="34"/>
        <item x="35"/>
        <item x="36"/>
        <item x="37"/>
        <item x="38"/>
        <item x="39"/>
        <item x="40"/>
        <item x="61"/>
        <item x="62"/>
        <item x="63"/>
        <item x="64"/>
        <item x="65"/>
        <item x="66"/>
        <item x="67"/>
        <item x="68"/>
        <item x="69"/>
        <item x="92"/>
        <item x="93"/>
        <item x="94"/>
        <item x="95"/>
        <item x="96"/>
        <item x="97"/>
        <item x="98"/>
        <item x="99"/>
        <item x="100"/>
        <item x="122"/>
        <item x="123"/>
        <item x="124"/>
        <item x="125"/>
        <item x="126"/>
        <item x="127"/>
        <item x="128"/>
        <item x="129"/>
        <item x="130"/>
        <item x="153"/>
        <item x="154"/>
        <item x="155"/>
        <item x="156"/>
        <item x="157"/>
        <item x="158"/>
        <item x="159"/>
        <item x="160"/>
        <item x="161"/>
        <item x="183"/>
        <item x="184"/>
        <item x="185"/>
        <item x="186"/>
        <item x="187"/>
        <item x="188"/>
        <item x="189"/>
        <item x="190"/>
        <item x="191"/>
        <item x="214"/>
        <item x="215"/>
        <item x="216"/>
        <item x="217"/>
        <item x="218"/>
        <item x="219"/>
        <item x="220"/>
        <item x="221"/>
        <item x="222"/>
        <item x="245"/>
        <item x="246"/>
        <item x="247"/>
        <item x="248"/>
        <item x="249"/>
        <item x="250"/>
        <item x="251"/>
        <item x="252"/>
        <item x="253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67"/>
        <item t="default"/>
      </items>
    </pivotField>
    <pivotField showAll="0"/>
    <pivotField axis="axisRow" showAll="0">
      <items count="6">
        <item x="3"/>
        <item x="2"/>
        <item x="0"/>
        <item x="1"/>
        <item x="4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dataField="1" showAll="0"/>
    <pivotField axis="axisPage" showAll="0">
      <items count="10">
        <item x="2"/>
        <item x="3"/>
        <item x="4"/>
        <item x="5"/>
        <item x="1"/>
        <item x="6"/>
        <item x="7"/>
        <item x="8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14" item="8" hier="-1"/>
  </pageFields>
  <dataFields count="1">
    <dataField name="Somme de Montant mutuelle" fld="13" baseField="2" baseItem="0" numFmtId="166"/>
  </dataFields>
  <formats count="1">
    <format dxfId="2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6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G7:H10" firstHeaderRow="1" firstDataRow="1" firstDataCol="1" rowPageCount="1" colPageCount="1"/>
  <pivotFields count="22">
    <pivotField showAll="0">
      <items count="369"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1"/>
        <item x="2"/>
        <item x="3"/>
        <item x="4"/>
        <item x="5"/>
        <item x="6"/>
        <item x="7"/>
        <item x="8"/>
        <item x="9"/>
        <item x="32"/>
        <item x="33"/>
        <item x="34"/>
        <item x="35"/>
        <item x="36"/>
        <item x="37"/>
        <item x="38"/>
        <item x="39"/>
        <item x="40"/>
        <item x="61"/>
        <item x="62"/>
        <item x="63"/>
        <item x="64"/>
        <item x="65"/>
        <item x="66"/>
        <item x="67"/>
        <item x="68"/>
        <item x="69"/>
        <item x="92"/>
        <item x="93"/>
        <item x="94"/>
        <item x="95"/>
        <item x="96"/>
        <item x="97"/>
        <item x="98"/>
        <item x="99"/>
        <item x="100"/>
        <item x="122"/>
        <item x="123"/>
        <item x="124"/>
        <item x="125"/>
        <item x="126"/>
        <item x="127"/>
        <item x="128"/>
        <item x="129"/>
        <item x="130"/>
        <item x="153"/>
        <item x="154"/>
        <item x="155"/>
        <item x="156"/>
        <item x="157"/>
        <item x="158"/>
        <item x="159"/>
        <item x="160"/>
        <item x="161"/>
        <item x="183"/>
        <item x="184"/>
        <item x="185"/>
        <item x="186"/>
        <item x="187"/>
        <item x="188"/>
        <item x="189"/>
        <item x="190"/>
        <item x="191"/>
        <item x="214"/>
        <item x="215"/>
        <item x="216"/>
        <item x="217"/>
        <item x="218"/>
        <item x="219"/>
        <item x="220"/>
        <item x="221"/>
        <item x="222"/>
        <item x="245"/>
        <item x="246"/>
        <item x="247"/>
        <item x="248"/>
        <item x="249"/>
        <item x="250"/>
        <item x="251"/>
        <item x="252"/>
        <item x="253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67"/>
        <item t="default"/>
      </items>
    </pivotField>
    <pivotField showAll="0"/>
    <pivotField axis="axisRow" showAll="0">
      <items count="6">
        <item x="3"/>
        <item x="2"/>
        <item x="0"/>
        <item x="1"/>
        <item x="4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dataField="1" showAll="0"/>
    <pivotField axis="axisPage" showAll="0">
      <items count="11">
        <item x="0"/>
        <item x="2"/>
        <item x="3"/>
        <item x="4"/>
        <item x="5"/>
        <item x="6"/>
        <item x="7"/>
        <item x="8"/>
        <item x="1"/>
        <item x="9"/>
        <item t="default"/>
      </items>
    </pivotField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3">
    <i>
      <x v="1"/>
    </i>
    <i>
      <x v="4"/>
    </i>
    <i t="grand">
      <x/>
    </i>
  </rowItems>
  <colItems count="1">
    <i/>
  </colItems>
  <pageFields count="1">
    <pageField fld="16" item="9" hier="-1"/>
  </pageFields>
  <dataFields count="1">
    <dataField name="Somme de Honoraires complet" fld="15" baseField="2" baseItem="0" numFmtId="166"/>
  </dataFields>
  <formats count="1">
    <format dxfId="3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édecins">
  <location ref="A7:B9" firstHeaderRow="1" firstDataRow="1" firstDataCol="1" rowPageCount="1" colPageCount="1"/>
  <pivotFields count="22">
    <pivotField showAll="0">
      <items count="369"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1"/>
        <item x="2"/>
        <item x="3"/>
        <item x="4"/>
        <item x="5"/>
        <item x="6"/>
        <item x="7"/>
        <item x="8"/>
        <item x="9"/>
        <item x="32"/>
        <item x="33"/>
        <item x="34"/>
        <item x="35"/>
        <item x="36"/>
        <item x="37"/>
        <item x="38"/>
        <item x="39"/>
        <item x="40"/>
        <item x="61"/>
        <item x="62"/>
        <item x="63"/>
        <item x="64"/>
        <item x="65"/>
        <item x="66"/>
        <item x="67"/>
        <item x="68"/>
        <item x="69"/>
        <item x="92"/>
        <item x="93"/>
        <item x="94"/>
        <item x="95"/>
        <item x="96"/>
        <item x="97"/>
        <item x="98"/>
        <item x="99"/>
        <item x="100"/>
        <item x="122"/>
        <item x="123"/>
        <item x="124"/>
        <item x="125"/>
        <item x="126"/>
        <item x="127"/>
        <item x="128"/>
        <item x="129"/>
        <item x="130"/>
        <item x="153"/>
        <item x="154"/>
        <item x="155"/>
        <item x="156"/>
        <item x="157"/>
        <item x="158"/>
        <item x="159"/>
        <item x="160"/>
        <item x="161"/>
        <item x="183"/>
        <item x="184"/>
        <item x="185"/>
        <item x="186"/>
        <item x="187"/>
        <item x="188"/>
        <item x="189"/>
        <item x="190"/>
        <item x="191"/>
        <item x="214"/>
        <item x="215"/>
        <item x="216"/>
        <item x="217"/>
        <item x="218"/>
        <item x="219"/>
        <item x="220"/>
        <item x="221"/>
        <item x="222"/>
        <item x="245"/>
        <item x="246"/>
        <item x="247"/>
        <item x="248"/>
        <item x="249"/>
        <item x="250"/>
        <item x="251"/>
        <item x="252"/>
        <item x="253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67"/>
        <item t="default"/>
      </items>
    </pivotField>
    <pivotField showAll="0"/>
    <pivotField axis="axisRow" showAll="0">
      <items count="6">
        <item x="3"/>
        <item x="2"/>
        <item x="0"/>
        <item x="1"/>
        <item x="4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dataField="1" showAll="0"/>
    <pivotField axis="axisPage" showAll="0">
      <items count="11">
        <item x="1"/>
        <item x="2"/>
        <item x="3"/>
        <item x="7"/>
        <item x="4"/>
        <item x="5"/>
        <item x="6"/>
        <item x="8"/>
        <item x="0"/>
        <item x="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2">
    <i>
      <x v="1"/>
    </i>
    <i t="grand">
      <x/>
    </i>
  </rowItems>
  <colItems count="1">
    <i/>
  </colItems>
  <pageFields count="1">
    <pageField fld="12" item="9" hier="-1"/>
  </pageFields>
  <dataFields count="1">
    <dataField name="Somme de Ticket modérateur" fld="11" baseField="2" baseItem="0" numFmtId="166"/>
  </dataFields>
  <formats count="1">
    <format dxfId="4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MEDECINS" displayName="tabMEDECINS" ref="A3:D10" totalsRowShown="0">
  <autoFilter ref="A3:D10"/>
  <sortState ref="A4:D8">
    <sortCondition ref="A3:A8"/>
  </sortState>
  <tableColumns count="4">
    <tableColumn id="1" name="Nom &amp; Prénom" dataDxfId="61"/>
    <tableColumn id="2" name="Adresse"/>
    <tableColumn id="3" name="Localité"/>
    <tableColumn id="4" name="C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gardes" displayName="Tabgardes" ref="A9:R57" totalsRowShown="0" headerRowDxfId="58" headerRowBorderDxfId="57" tableBorderDxfId="56">
  <tableColumns count="18">
    <tableColumn id="1" name="N°" dataDxfId="55"/>
    <tableColumn id="18" name="Date" dataDxfId="54">
      <calculatedColumnFormula>IF(ISBLANK(Tabgardes[[#This Row],[Type d''Acte]]),"",$F$6)</calculatedColumnFormula>
    </tableColumn>
    <tableColumn id="19" name="Code" dataDxfId="53">
      <calculatedColumnFormula>IF(ISBLANK(Tabgardes[[#This Row],[Type d''Acte]]),"",$F$7)</calculatedColumnFormula>
    </tableColumn>
    <tableColumn id="20" name="Médecin" dataDxfId="52">
      <calculatedColumnFormula>IF(ISBLANK(Tabgardes[[#This Row],[Type d''Acte]]),"",$F$5)</calculatedColumnFormula>
    </tableColumn>
    <tableColumn id="2" name="Attestation" dataDxfId="51"/>
    <tableColumn id="3" name="Type d'Acte" dataDxfId="50"/>
    <tableColumn id="4" name="Nom et prénom du patient" dataDxfId="49"/>
    <tableColumn id="5" name="Coordonnées Institution" dataDxfId="48"/>
    <tableColumn id="6" name="Attestation récupérée" dataDxfId="47"/>
    <tableColumn id="7" name="Montant de base" dataDxfId="46">
      <calculatedColumnFormula>IF(F10="","",VLOOKUP(F10,$T$25:$U$42,2,FALSE))</calculatedColumnFormula>
    </tableColumn>
    <tableColumn id="8" name="Montant modifié" dataDxfId="45"/>
    <tableColumn id="9" name="Montant Dépl." dataDxfId="44"/>
    <tableColumn id="10" name="Montant TM" dataDxfId="43"/>
    <tableColumn id="11" name="Type de Paiement" dataDxfId="42"/>
    <tableColumn id="12" name="Type de différé" dataDxfId="41"/>
    <tableColumn id="13" name="Choix montant" dataDxfId="40">
      <calculatedColumnFormula xml:space="preserve"> IF(TRIM(K10)="",J10,K10)</calculatedColumnFormula>
    </tableColumn>
    <tableColumn id="14" name="Montant perçus" dataDxfId="39">
      <calculatedColumnFormula>IF(P10="","",    IF(N10&lt;&gt;"Différé",P10+L10,   L10+M10))</calculatedColumnFormula>
    </tableColumn>
    <tableColumn id="17" name="Commentaires éventuels" dataDxfId="3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histo" displayName="tabhisto" ref="A5:U83" totalsRowShown="0" headerRowDxfId="34" dataDxfId="33" tableBorderDxfId="32">
  <tableColumns count="21">
    <tableColumn id="1" name="Date" dataDxfId="31"/>
    <tableColumn id="2" name="Code Garde" dataDxfId="30"/>
    <tableColumn id="3" name="Médecin" dataDxfId="29"/>
    <tableColumn id="4" name="Acte" dataDxfId="28"/>
    <tableColumn id="5" name="Montant de base" dataDxfId="27"/>
    <tableColumn id="6" name="Patient" dataDxfId="26"/>
    <tableColumn id="7" name="Coordonnées Institution" dataDxfId="25"/>
    <tableColumn id="8" name="Type de paiement" dataDxfId="24"/>
    <tableColumn id="9" name="Type de différé" dataDxfId="23"/>
    <tableColumn id="10" name="Attestation récupérée" dataDxfId="22"/>
    <tableColumn id="11" name="Montant disponible à la fin de la garde" dataDxfId="21"/>
    <tableColumn id="12" name="Ticket modérateur" dataDxfId="20"/>
    <tableColumn id="13" name="Date de paiement TM" dataDxfId="19"/>
    <tableColumn id="14" name="Montant mutuelle" dataDxfId="18"/>
    <tableColumn id="15" name="Date de paiement MM" dataDxfId="17"/>
    <tableColumn id="16" name="Honoraires complet" dataDxfId="16"/>
    <tableColumn id="17" name="Date de paiement Hon." dataDxfId="15"/>
    <tableColumn id="18" name="Date du dernier paiement" dataDxfId="14"/>
    <tableColumn id="19" name="Total reçu" dataDxfId="13">
      <calculatedColumnFormula>IF('Historique des gardes'!$H6="","",IF(OR('Historique des gardes'!$H6="Bancontact",'Historique des gardes'!$H6="Cash"),'Historique des gardes'!$P6,'Historique des gardes'!$L6+'Historique des gardes'!$N6+'Historique des gardes'!$P6))</calculatedColumnFormula>
    </tableColumn>
    <tableColumn id="20" name="Statut" dataDxfId="12"/>
    <tableColumn id="21" name="Remarques" dataDxfId="11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2" name="tabpaie" displayName="tabpaie" ref="A4:C77" totalsRowShown="0" headerRowDxfId="9" tableBorderDxfId="8">
  <autoFilter ref="A4:C77"/>
  <tableColumns count="3">
    <tableColumn id="1" name="Date" dataDxfId="7"/>
    <tableColumn id="2" name="Médecin" dataDxfId="6"/>
    <tableColumn id="3" name="Solde" dataDxfId="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total" displayName="Tabtotal" ref="J7:K14" totalsRowShown="0">
  <autoFilter ref="J7:K14"/>
  <sortState ref="J8:K13">
    <sortCondition descending="1" ref="K7:K13"/>
  </sortState>
  <tableColumns count="2">
    <tableColumn id="1" name="Médecins" dataDxfId="0"/>
    <tableColumn id="2" name="TOTAL" dataDxfId="1">
      <calculatedColumnFormula>IF(ISERROR(GETPIVOTDATA($A$7,"Total " &amp; J8)),0,GETPIVOTDATA($A$7,"Total " &amp; J8))+IF(ISERROR(GETPIVOTDATA($D$7,"Total " &amp; J8)),0,GETPIVOTDATA($D$7,"Total " &amp; J8))+IF(ISERROR(GETPIVOTDATA($G$7,"Total " &amp; J8)),0,GETPIVOTDATA($G$7,"Total " &amp; J8))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4" Type="http://schemas.openxmlformats.org/officeDocument/2006/relationships/ctrlProp" Target="../ctrlProps/ctrlProp2.xml"/><Relationship Id="rId5" Type="http://schemas.openxmlformats.org/officeDocument/2006/relationships/table" Target="../tables/table4.xml"/><Relationship Id="rId1" Type="http://schemas.openxmlformats.org/officeDocument/2006/relationships/pivotTable" Target="../pivotTables/pivotTable1.xml"/><Relationship Id="rId2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4" Type="http://schemas.openxmlformats.org/officeDocument/2006/relationships/drawing" Target="../drawings/drawing4.xml"/><Relationship Id="rId5" Type="http://schemas.openxmlformats.org/officeDocument/2006/relationships/table" Target="../tables/table5.xml"/><Relationship Id="rId1" Type="http://schemas.openxmlformats.org/officeDocument/2006/relationships/pivotTable" Target="../pivotTables/pivotTable2.xml"/><Relationship Id="rId2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D10"/>
  <sheetViews>
    <sheetView workbookViewId="0">
      <selection activeCell="B50" sqref="B50"/>
    </sheetView>
  </sheetViews>
  <sheetFormatPr baseColWidth="10" defaultRowHeight="14" x14ac:dyDescent="0"/>
  <cols>
    <col min="1" max="1" width="19.5" customWidth="1"/>
    <col min="2" max="2" width="23.6640625" customWidth="1"/>
  </cols>
  <sheetData>
    <row r="1" spans="1:4">
      <c r="A1" s="141" t="s">
        <v>70</v>
      </c>
      <c r="B1" s="141"/>
      <c r="C1" s="141"/>
      <c r="D1" s="141"/>
    </row>
    <row r="2" spans="1:4">
      <c r="A2" s="141"/>
      <c r="B2" s="141"/>
      <c r="C2" s="141"/>
      <c r="D2" s="141"/>
    </row>
    <row r="3" spans="1:4">
      <c r="A3" t="s">
        <v>71</v>
      </c>
      <c r="B3" t="s">
        <v>72</v>
      </c>
      <c r="C3" t="s">
        <v>73</v>
      </c>
      <c r="D3" t="s">
        <v>74</v>
      </c>
    </row>
    <row r="4" spans="1:4">
      <c r="A4" t="s">
        <v>75</v>
      </c>
      <c r="B4" t="s">
        <v>76</v>
      </c>
      <c r="C4" t="s">
        <v>77</v>
      </c>
      <c r="D4">
        <v>4000</v>
      </c>
    </row>
    <row r="5" spans="1:4">
      <c r="A5" t="s">
        <v>22</v>
      </c>
      <c r="B5" t="s">
        <v>78</v>
      </c>
      <c r="C5" t="s">
        <v>77</v>
      </c>
      <c r="D5">
        <v>4000</v>
      </c>
    </row>
    <row r="6" spans="1:4">
      <c r="A6" s="92" t="s">
        <v>84</v>
      </c>
    </row>
    <row r="7" spans="1:4">
      <c r="A7" t="s">
        <v>23</v>
      </c>
      <c r="B7" t="s">
        <v>79</v>
      </c>
      <c r="C7" t="s">
        <v>80</v>
      </c>
      <c r="D7">
        <v>4000</v>
      </c>
    </row>
    <row r="8" spans="1:4">
      <c r="A8" s="92" t="s">
        <v>131</v>
      </c>
    </row>
    <row r="9" spans="1:4">
      <c r="A9" s="92" t="s">
        <v>192</v>
      </c>
    </row>
    <row r="10" spans="1:4">
      <c r="A10" s="92" t="s">
        <v>85</v>
      </c>
    </row>
  </sheetData>
  <mergeCells count="1">
    <mergeCell ref="A1:D2"/>
  </mergeCells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A1:W57"/>
  <sheetViews>
    <sheetView zoomScale="80" zoomScaleNormal="80" zoomScalePageLayoutView="80" workbookViewId="0">
      <selection activeCell="F5" sqref="F5"/>
    </sheetView>
  </sheetViews>
  <sheetFormatPr baseColWidth="10" defaultColWidth="9.1640625" defaultRowHeight="14" x14ac:dyDescent="0"/>
  <cols>
    <col min="1" max="1" width="5.1640625" customWidth="1"/>
    <col min="2" max="2" width="5.33203125" hidden="1" customWidth="1"/>
    <col min="3" max="3" width="5.1640625" hidden="1" customWidth="1"/>
    <col min="4" max="4" width="5.33203125" hidden="1" customWidth="1"/>
    <col min="5" max="5" width="12" customWidth="1"/>
    <col min="6" max="6" width="44" customWidth="1"/>
    <col min="7" max="7" width="19.5" customWidth="1"/>
    <col min="8" max="8" width="17" customWidth="1"/>
    <col min="9" max="9" width="16.1640625" customWidth="1"/>
    <col min="14" max="14" width="13.5" customWidth="1"/>
    <col min="18" max="18" width="13.5" customWidth="1"/>
    <col min="19" max="19" width="2.6640625" customWidth="1"/>
    <col min="20" max="20" width="41" customWidth="1"/>
    <col min="21" max="21" width="13.5" customWidth="1"/>
    <col min="22" max="22" width="2.1640625" customWidth="1"/>
    <col min="23" max="23" width="13" customWidth="1"/>
    <col min="24" max="24" width="1.5" customWidth="1"/>
  </cols>
  <sheetData>
    <row r="1" spans="1:23" ht="15" customHeight="1">
      <c r="A1" s="144" t="s">
        <v>26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</row>
    <row r="2" spans="1:23" ht="15" customHeight="1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</row>
    <row r="3" spans="1:23" ht="15.75" customHeight="1" thickBot="1">
      <c r="A3" s="144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</row>
    <row r="4" spans="1:23" ht="16" thickBot="1">
      <c r="A4" s="149"/>
      <c r="B4" s="85"/>
      <c r="C4" s="85"/>
      <c r="D4" s="85"/>
      <c r="E4" s="145" t="s">
        <v>27</v>
      </c>
      <c r="F4" s="146"/>
      <c r="G4" s="116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</row>
    <row r="5" spans="1:23" ht="15" thickBot="1">
      <c r="A5" s="149"/>
      <c r="B5" s="85"/>
      <c r="C5" s="85"/>
      <c r="D5" s="85"/>
      <c r="E5" s="3" t="s">
        <v>28</v>
      </c>
      <c r="F5" s="4"/>
      <c r="G5" s="116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</row>
    <row r="6" spans="1:23" ht="15" thickBot="1">
      <c r="A6" s="149"/>
      <c r="B6" s="85"/>
      <c r="C6" s="85"/>
      <c r="D6" s="85"/>
      <c r="E6" s="3" t="s">
        <v>29</v>
      </c>
      <c r="F6" s="5"/>
      <c r="G6" s="116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</row>
    <row r="7" spans="1:23" ht="15" thickBot="1">
      <c r="A7" s="149"/>
      <c r="B7" s="85"/>
      <c r="C7" s="85"/>
      <c r="D7" s="85"/>
      <c r="E7" s="3" t="s">
        <v>30</v>
      </c>
      <c r="F7" s="6"/>
      <c r="G7" s="116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</row>
    <row r="8" spans="1:23">
      <c r="A8" s="118"/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</row>
    <row r="9" spans="1:23" ht="29" thickBot="1">
      <c r="A9" s="7" t="s">
        <v>31</v>
      </c>
      <c r="B9" s="7" t="s">
        <v>2</v>
      </c>
      <c r="C9" s="7" t="s">
        <v>82</v>
      </c>
      <c r="D9" s="7" t="s">
        <v>4</v>
      </c>
      <c r="E9" s="7" t="s">
        <v>32</v>
      </c>
      <c r="F9" s="8" t="s">
        <v>33</v>
      </c>
      <c r="G9" s="8" t="s">
        <v>34</v>
      </c>
      <c r="H9" s="8" t="s">
        <v>7</v>
      </c>
      <c r="I9" s="8" t="s">
        <v>10</v>
      </c>
      <c r="J9" s="8" t="s">
        <v>5</v>
      </c>
      <c r="K9" s="8" t="s">
        <v>35</v>
      </c>
      <c r="L9" s="8" t="s">
        <v>36</v>
      </c>
      <c r="M9" s="8" t="s">
        <v>37</v>
      </c>
      <c r="N9" s="8" t="s">
        <v>38</v>
      </c>
      <c r="O9" s="9" t="s">
        <v>9</v>
      </c>
      <c r="P9" s="8" t="s">
        <v>39</v>
      </c>
      <c r="Q9" s="8" t="s">
        <v>40</v>
      </c>
      <c r="R9" s="9" t="s">
        <v>41</v>
      </c>
      <c r="S9" s="10"/>
      <c r="V9" s="10"/>
      <c r="W9" s="10"/>
    </row>
    <row r="10" spans="1:23">
      <c r="A10" s="11">
        <v>1</v>
      </c>
      <c r="B10" s="11" t="str">
        <f>IF(ISBLANK(Tabgardes[[#This Row],[Type d''Acte]]),"",$F$6)</f>
        <v/>
      </c>
      <c r="C10" s="11" t="str">
        <f>IF(ISBLANK(Tabgardes[[#This Row],[Type d''Acte]]),"",$F$7)</f>
        <v/>
      </c>
      <c r="D10" s="11" t="str">
        <f>IF(ISBLANK(Tabgardes[[#This Row],[Type d''Acte]]),"",$F$5)</f>
        <v/>
      </c>
      <c r="E10" s="12"/>
      <c r="F10" s="13"/>
      <c r="G10" s="14"/>
      <c r="H10" s="15"/>
      <c r="I10" s="15"/>
      <c r="J10" s="16" t="str">
        <f t="shared" ref="J10:J57" si="0">IF(F10="","",VLOOKUP(F10,$T$25:$U$42,2,FALSE))</f>
        <v/>
      </c>
      <c r="K10" s="17"/>
      <c r="L10" s="18"/>
      <c r="M10" s="18"/>
      <c r="N10" s="13"/>
      <c r="O10" s="19"/>
      <c r="P10" s="20" t="str">
        <f t="shared" ref="P10:P57" si="1" xml:space="preserve"> IF(TRIM(K10)="",J10,K10)</f>
        <v/>
      </c>
      <c r="Q10" s="16" t="str">
        <f t="shared" ref="Q10:Q57" si="2">IF(P10="","",    IF(N10&lt;&gt;"Différé",P10+L10,   L10+M10))</f>
        <v/>
      </c>
      <c r="R10" s="19"/>
      <c r="S10" s="10"/>
      <c r="V10" s="10"/>
    </row>
    <row r="11" spans="1:23">
      <c r="A11" s="21">
        <v>4</v>
      </c>
      <c r="B11" s="21" t="str">
        <f>IF(ISBLANK(Tabgardes[[#This Row],[Type d''Acte]]),"",$F$6)</f>
        <v/>
      </c>
      <c r="C11" s="21" t="str">
        <f>IF(ISBLANK(Tabgardes[[#This Row],[Type d''Acte]]),"",$F$7)</f>
        <v/>
      </c>
      <c r="D11" s="21" t="str">
        <f>IF(ISBLANK(Tabgardes[[#This Row],[Type d''Acte]]),"",$F$5)</f>
        <v/>
      </c>
      <c r="E11" s="22"/>
      <c r="F11" s="13"/>
      <c r="G11" s="23"/>
      <c r="H11" s="15"/>
      <c r="I11" s="15"/>
      <c r="J11" s="16" t="str">
        <f t="shared" si="0"/>
        <v/>
      </c>
      <c r="K11" s="24"/>
      <c r="L11" s="25"/>
      <c r="M11" s="18"/>
      <c r="N11" s="13"/>
      <c r="O11" s="19"/>
      <c r="P11" s="20" t="str">
        <f t="shared" si="1"/>
        <v/>
      </c>
      <c r="Q11" s="16" t="str">
        <f t="shared" si="2"/>
        <v/>
      </c>
      <c r="R11" s="26"/>
      <c r="S11" s="10"/>
      <c r="V11" s="27"/>
    </row>
    <row r="12" spans="1:23">
      <c r="A12" s="21">
        <v>5</v>
      </c>
      <c r="B12" s="21" t="str">
        <f>IF(ISBLANK(Tabgardes[[#This Row],[Type d''Acte]]),"",$F$6)</f>
        <v/>
      </c>
      <c r="C12" s="21" t="str">
        <f>IF(ISBLANK(Tabgardes[[#This Row],[Type d''Acte]]),"",$F$7)</f>
        <v/>
      </c>
      <c r="D12" s="21" t="str">
        <f>IF(ISBLANK(Tabgardes[[#This Row],[Type d''Acte]]),"",$F$5)</f>
        <v/>
      </c>
      <c r="E12" s="22"/>
      <c r="F12" s="13"/>
      <c r="G12" s="23"/>
      <c r="H12" s="15"/>
      <c r="I12" s="15"/>
      <c r="J12" s="16" t="str">
        <f t="shared" si="0"/>
        <v/>
      </c>
      <c r="K12" s="24"/>
      <c r="L12" s="25"/>
      <c r="M12" s="18"/>
      <c r="N12" s="13"/>
      <c r="O12" s="19"/>
      <c r="P12" s="20" t="str">
        <f t="shared" si="1"/>
        <v/>
      </c>
      <c r="Q12" s="16" t="str">
        <f t="shared" si="2"/>
        <v/>
      </c>
      <c r="R12" s="26"/>
      <c r="S12" s="10"/>
      <c r="V12" s="27"/>
    </row>
    <row r="13" spans="1:23" ht="15" thickBot="1">
      <c r="A13" s="21">
        <v>6</v>
      </c>
      <c r="B13" s="21" t="str">
        <f>IF(ISBLANK(Tabgardes[[#This Row],[Type d''Acte]]),"",$F$6)</f>
        <v/>
      </c>
      <c r="C13" s="21" t="str">
        <f>IF(ISBLANK(Tabgardes[[#This Row],[Type d''Acte]]),"",$F$7)</f>
        <v/>
      </c>
      <c r="D13" s="21" t="str">
        <f>IF(ISBLANK(Tabgardes[[#This Row],[Type d''Acte]]),"",$F$5)</f>
        <v/>
      </c>
      <c r="E13" s="22"/>
      <c r="F13" s="13"/>
      <c r="G13" s="23"/>
      <c r="H13" s="15"/>
      <c r="I13" s="15"/>
      <c r="J13" s="16" t="str">
        <f t="shared" si="0"/>
        <v/>
      </c>
      <c r="K13" s="24"/>
      <c r="L13" s="25"/>
      <c r="M13" s="18"/>
      <c r="N13" s="13"/>
      <c r="O13" s="19"/>
      <c r="P13" s="20" t="str">
        <f t="shared" si="1"/>
        <v/>
      </c>
      <c r="Q13" s="16" t="str">
        <f t="shared" si="2"/>
        <v/>
      </c>
      <c r="R13" s="26"/>
      <c r="S13" s="10"/>
      <c r="T13" s="10"/>
      <c r="U13" s="28"/>
      <c r="V13" s="10"/>
      <c r="W13" s="10"/>
    </row>
    <row r="14" spans="1:23">
      <c r="A14" s="21">
        <v>7</v>
      </c>
      <c r="B14" s="21" t="str">
        <f>IF(ISBLANK(Tabgardes[[#This Row],[Type d''Acte]]),"",$F$6)</f>
        <v/>
      </c>
      <c r="C14" s="21" t="str">
        <f>IF(ISBLANK(Tabgardes[[#This Row],[Type d''Acte]]),"",$F$7)</f>
        <v/>
      </c>
      <c r="D14" s="21" t="str">
        <f>IF(ISBLANK(Tabgardes[[#This Row],[Type d''Acte]]),"",$F$5)</f>
        <v/>
      </c>
      <c r="E14" s="22"/>
      <c r="F14" s="13"/>
      <c r="G14" s="23"/>
      <c r="H14" s="15"/>
      <c r="I14" s="15"/>
      <c r="J14" s="16" t="str">
        <f t="shared" si="0"/>
        <v/>
      </c>
      <c r="K14" s="24"/>
      <c r="L14" s="25"/>
      <c r="M14" s="18"/>
      <c r="N14" s="13"/>
      <c r="O14" s="19"/>
      <c r="P14" s="20" t="str">
        <f t="shared" si="1"/>
        <v/>
      </c>
      <c r="Q14" s="16" t="str">
        <f t="shared" si="2"/>
        <v/>
      </c>
      <c r="R14" s="26"/>
      <c r="S14" s="10"/>
      <c r="T14" s="145" t="s">
        <v>44</v>
      </c>
      <c r="U14" s="146"/>
      <c r="V14" s="10"/>
      <c r="W14" s="142" t="s">
        <v>45</v>
      </c>
    </row>
    <row r="15" spans="1:23" ht="15" thickBot="1">
      <c r="A15" s="21">
        <v>8</v>
      </c>
      <c r="B15" s="21" t="str">
        <f>IF(ISBLANK(Tabgardes[[#This Row],[Type d''Acte]]),"",$F$6)</f>
        <v/>
      </c>
      <c r="C15" s="21" t="str">
        <f>IF(ISBLANK(Tabgardes[[#This Row],[Type d''Acte]]),"",$F$7)</f>
        <v/>
      </c>
      <c r="D15" s="21" t="str">
        <f>IF(ISBLANK(Tabgardes[[#This Row],[Type d''Acte]]),"",$F$5)</f>
        <v/>
      </c>
      <c r="E15" s="22"/>
      <c r="F15" s="13"/>
      <c r="G15" s="23"/>
      <c r="H15" s="15"/>
      <c r="I15" s="15"/>
      <c r="J15" s="16" t="str">
        <f t="shared" si="0"/>
        <v/>
      </c>
      <c r="K15" s="24"/>
      <c r="L15" s="25"/>
      <c r="M15" s="18"/>
      <c r="N15" s="13"/>
      <c r="O15" s="19"/>
      <c r="P15" s="20" t="str">
        <f t="shared" si="1"/>
        <v/>
      </c>
      <c r="Q15" s="16" t="str">
        <f t="shared" si="2"/>
        <v/>
      </c>
      <c r="R15" s="26"/>
      <c r="S15" s="10"/>
      <c r="T15" s="147"/>
      <c r="U15" s="148"/>
      <c r="V15" s="29"/>
      <c r="W15" s="143"/>
    </row>
    <row r="16" spans="1:23">
      <c r="A16" s="21">
        <v>9</v>
      </c>
      <c r="B16" s="21" t="str">
        <f>IF(ISBLANK(Tabgardes[[#This Row],[Type d''Acte]]),"",$F$6)</f>
        <v/>
      </c>
      <c r="C16" s="21" t="str">
        <f>IF(ISBLANK(Tabgardes[[#This Row],[Type d''Acte]]),"",$F$7)</f>
        <v/>
      </c>
      <c r="D16" s="21" t="str">
        <f>IF(ISBLANK(Tabgardes[[#This Row],[Type d''Acte]]),"",$F$5)</f>
        <v/>
      </c>
      <c r="E16" s="22"/>
      <c r="F16" s="13"/>
      <c r="G16" s="23"/>
      <c r="H16" s="15"/>
      <c r="I16" s="15"/>
      <c r="J16" s="16" t="str">
        <f t="shared" si="0"/>
        <v/>
      </c>
      <c r="K16" s="24"/>
      <c r="L16" s="25"/>
      <c r="M16" s="18"/>
      <c r="N16" s="13"/>
      <c r="O16" s="19"/>
      <c r="P16" s="20" t="str">
        <f t="shared" si="1"/>
        <v/>
      </c>
      <c r="Q16" s="16" t="str">
        <f t="shared" si="2"/>
        <v/>
      </c>
      <c r="R16" s="26"/>
      <c r="S16" s="30"/>
      <c r="T16" s="31" t="s">
        <v>46</v>
      </c>
      <c r="U16" s="32">
        <f>SUMIF($N$10:$N$57,"Cash",$Q$10:$Q$57)</f>
        <v>0</v>
      </c>
      <c r="V16" s="10"/>
      <c r="W16" s="33">
        <f>COUNTIF($N$10:$N$57,"Cash")</f>
        <v>0</v>
      </c>
    </row>
    <row r="17" spans="1:23">
      <c r="A17" s="21">
        <v>10</v>
      </c>
      <c r="B17" s="21" t="str">
        <f>IF(ISBLANK(Tabgardes[[#This Row],[Type d''Acte]]),"",$F$6)</f>
        <v/>
      </c>
      <c r="C17" s="21" t="str">
        <f>IF(ISBLANK(Tabgardes[[#This Row],[Type d''Acte]]),"",$F$7)</f>
        <v/>
      </c>
      <c r="D17" s="21" t="str">
        <f>IF(ISBLANK(Tabgardes[[#This Row],[Type d''Acte]]),"",$F$5)</f>
        <v/>
      </c>
      <c r="E17" s="22"/>
      <c r="F17" s="13"/>
      <c r="G17" s="23"/>
      <c r="H17" s="15"/>
      <c r="I17" s="15"/>
      <c r="J17" s="16" t="str">
        <f t="shared" si="0"/>
        <v/>
      </c>
      <c r="K17" s="24"/>
      <c r="L17" s="25"/>
      <c r="M17" s="18"/>
      <c r="N17" s="13"/>
      <c r="O17" s="19"/>
      <c r="P17" s="20" t="str">
        <f t="shared" si="1"/>
        <v/>
      </c>
      <c r="Q17" s="16" t="str">
        <f t="shared" si="2"/>
        <v/>
      </c>
      <c r="R17" s="26"/>
      <c r="S17" s="10"/>
      <c r="T17" s="34" t="s">
        <v>47</v>
      </c>
      <c r="U17" s="35">
        <f>SUMIF($N$10:$N$57,"Bancontact",$Q$10:$Q$57)</f>
        <v>0</v>
      </c>
      <c r="V17" s="10"/>
      <c r="W17" s="36">
        <f>COUNTIF($N$10:$N$57,"Bancontact")</f>
        <v>0</v>
      </c>
    </row>
    <row r="18" spans="1:23">
      <c r="A18" s="21">
        <v>11</v>
      </c>
      <c r="B18" s="21" t="str">
        <f>IF(ISBLANK(Tabgardes[[#This Row],[Type d''Acte]]),"",$F$6)</f>
        <v/>
      </c>
      <c r="C18" s="21" t="str">
        <f>IF(ISBLANK(Tabgardes[[#This Row],[Type d''Acte]]),"",$F$7)</f>
        <v/>
      </c>
      <c r="D18" s="21" t="str">
        <f>IF(ISBLANK(Tabgardes[[#This Row],[Type d''Acte]]),"",$F$5)</f>
        <v/>
      </c>
      <c r="E18" s="22"/>
      <c r="F18" s="13"/>
      <c r="G18" s="23"/>
      <c r="H18" s="15"/>
      <c r="I18" s="15"/>
      <c r="J18" s="16" t="str">
        <f t="shared" si="0"/>
        <v/>
      </c>
      <c r="K18" s="24"/>
      <c r="L18" s="25"/>
      <c r="M18" s="18"/>
      <c r="N18" s="13"/>
      <c r="O18" s="19"/>
      <c r="P18" s="20" t="str">
        <f t="shared" si="1"/>
        <v/>
      </c>
      <c r="Q18" s="16" t="str">
        <f t="shared" si="2"/>
        <v/>
      </c>
      <c r="R18" s="26"/>
      <c r="S18" s="10"/>
      <c r="T18" s="34" t="s">
        <v>48</v>
      </c>
      <c r="U18" s="35">
        <f>SUM(L10:L57)</f>
        <v>0</v>
      </c>
      <c r="V18" s="37"/>
      <c r="W18" s="36">
        <f>COUNT($L$10:$L$57)</f>
        <v>0</v>
      </c>
    </row>
    <row r="19" spans="1:23">
      <c r="A19" s="21">
        <v>12</v>
      </c>
      <c r="B19" s="21" t="str">
        <f>IF(ISBLANK(Tabgardes[[#This Row],[Type d''Acte]]),"",$F$6)</f>
        <v/>
      </c>
      <c r="C19" s="21" t="str">
        <f>IF(ISBLANK(Tabgardes[[#This Row],[Type d''Acte]]),"",$F$7)</f>
        <v/>
      </c>
      <c r="D19" s="21" t="str">
        <f>IF(ISBLANK(Tabgardes[[#This Row],[Type d''Acte]]),"",$F$5)</f>
        <v/>
      </c>
      <c r="E19" s="22"/>
      <c r="F19" s="13"/>
      <c r="G19" s="23"/>
      <c r="H19" s="15"/>
      <c r="I19" s="15"/>
      <c r="J19" s="16" t="str">
        <f t="shared" si="0"/>
        <v/>
      </c>
      <c r="K19" s="24"/>
      <c r="L19" s="25"/>
      <c r="M19" s="18"/>
      <c r="N19" s="13"/>
      <c r="O19" s="19"/>
      <c r="P19" s="20" t="str">
        <f t="shared" si="1"/>
        <v/>
      </c>
      <c r="Q19" s="16" t="str">
        <f t="shared" si="2"/>
        <v/>
      </c>
      <c r="R19" s="26"/>
      <c r="S19" s="10"/>
      <c r="T19" s="38" t="s">
        <v>49</v>
      </c>
      <c r="U19" s="39">
        <f>SUMIF($O$10:$O$57,"⅓ payant C",$M$10:$M$57)</f>
        <v>0</v>
      </c>
      <c r="V19" s="37"/>
      <c r="W19" s="40">
        <f>COUNTIF($O$10:$O$57,"⅓ payant C")</f>
        <v>0</v>
      </c>
    </row>
    <row r="20" spans="1:23" ht="15" thickBot="1">
      <c r="A20" s="21">
        <v>13</v>
      </c>
      <c r="B20" s="21" t="str">
        <f>IF(ISBLANK(Tabgardes[[#This Row],[Type d''Acte]]),"",$F$6)</f>
        <v/>
      </c>
      <c r="C20" s="21" t="str">
        <f>IF(ISBLANK(Tabgardes[[#This Row],[Type d''Acte]]),"",$F$7)</f>
        <v/>
      </c>
      <c r="D20" s="21" t="str">
        <f>IF(ISBLANK(Tabgardes[[#This Row],[Type d''Acte]]),"",$F$5)</f>
        <v/>
      </c>
      <c r="E20" s="22"/>
      <c r="F20" s="13"/>
      <c r="G20" s="23"/>
      <c r="H20" s="15"/>
      <c r="I20" s="15"/>
      <c r="J20" s="16" t="str">
        <f t="shared" si="0"/>
        <v/>
      </c>
      <c r="K20" s="24"/>
      <c r="L20" s="25"/>
      <c r="M20" s="18"/>
      <c r="N20" s="13"/>
      <c r="O20" s="19"/>
      <c r="P20" s="20" t="str">
        <f t="shared" si="1"/>
        <v/>
      </c>
      <c r="Q20" s="16" t="str">
        <f t="shared" si="2"/>
        <v/>
      </c>
      <c r="R20" s="26"/>
      <c r="S20" s="10"/>
      <c r="T20" s="41" t="s">
        <v>50</v>
      </c>
      <c r="U20" s="42">
        <f>SUMIF($O$10:$O$57,"⅓ payant BC",$M$10:$M$57)</f>
        <v>0</v>
      </c>
      <c r="V20" s="37"/>
      <c r="W20" s="43">
        <f>COUNTIF($O$10:$O$57,"⅓ payant BC")</f>
        <v>0</v>
      </c>
    </row>
    <row r="21" spans="1:23" ht="15" thickBot="1">
      <c r="A21" s="21">
        <v>14</v>
      </c>
      <c r="B21" s="21" t="str">
        <f>IF(ISBLANK(Tabgardes[[#This Row],[Type d''Acte]]),"",$F$6)</f>
        <v/>
      </c>
      <c r="C21" s="21" t="str">
        <f>IF(ISBLANK(Tabgardes[[#This Row],[Type d''Acte]]),"",$F$7)</f>
        <v/>
      </c>
      <c r="D21" s="21" t="str">
        <f>IF(ISBLANK(Tabgardes[[#This Row],[Type d''Acte]]),"",$F$5)</f>
        <v/>
      </c>
      <c r="E21" s="22"/>
      <c r="F21" s="13"/>
      <c r="G21" s="23"/>
      <c r="H21" s="15"/>
      <c r="I21" s="15"/>
      <c r="J21" s="16" t="str">
        <f t="shared" si="0"/>
        <v/>
      </c>
      <c r="K21" s="24"/>
      <c r="L21" s="25"/>
      <c r="M21" s="18"/>
      <c r="N21" s="13"/>
      <c r="O21" s="19"/>
      <c r="P21" s="20" t="str">
        <f t="shared" si="1"/>
        <v/>
      </c>
      <c r="Q21" s="16" t="str">
        <f t="shared" si="2"/>
        <v/>
      </c>
      <c r="R21" s="26"/>
      <c r="S21" s="10"/>
      <c r="T21" s="44" t="s">
        <v>51</v>
      </c>
      <c r="U21" s="42">
        <f>SUM(Q10:Q57)</f>
        <v>0</v>
      </c>
      <c r="V21" s="10"/>
      <c r="W21" s="45"/>
    </row>
    <row r="22" spans="1:23" ht="15" thickBot="1">
      <c r="A22" s="21">
        <v>15</v>
      </c>
      <c r="B22" s="21" t="str">
        <f>IF(ISBLANK(Tabgardes[[#This Row],[Type d''Acte]]),"",$F$6)</f>
        <v/>
      </c>
      <c r="C22" s="21" t="str">
        <f>IF(ISBLANK(Tabgardes[[#This Row],[Type d''Acte]]),"",$F$7)</f>
        <v/>
      </c>
      <c r="D22" s="21" t="str">
        <f>IF(ISBLANK(Tabgardes[[#This Row],[Type d''Acte]]),"",$F$5)</f>
        <v/>
      </c>
      <c r="E22" s="22"/>
      <c r="F22" s="13"/>
      <c r="G22" s="23"/>
      <c r="H22" s="15"/>
      <c r="I22" s="15"/>
      <c r="J22" s="16" t="str">
        <f t="shared" si="0"/>
        <v/>
      </c>
      <c r="K22" s="24"/>
      <c r="L22" s="25"/>
      <c r="M22" s="18"/>
      <c r="N22" s="13"/>
      <c r="O22" s="19"/>
      <c r="P22" s="20" t="str">
        <f t="shared" si="1"/>
        <v/>
      </c>
      <c r="Q22" s="16" t="str">
        <f t="shared" si="2"/>
        <v/>
      </c>
      <c r="R22" s="26"/>
      <c r="S22" s="10"/>
      <c r="T22" s="10"/>
      <c r="U22" s="10"/>
      <c r="V22" s="10"/>
      <c r="W22" s="45"/>
    </row>
    <row r="23" spans="1:23" ht="15.75" customHeight="1">
      <c r="A23" s="21">
        <v>16</v>
      </c>
      <c r="B23" s="21" t="str">
        <f>IF(ISBLANK(Tabgardes[[#This Row],[Type d''Acte]]),"",$F$6)</f>
        <v/>
      </c>
      <c r="C23" s="21" t="str">
        <f>IF(ISBLANK(Tabgardes[[#This Row],[Type d''Acte]]),"",$F$7)</f>
        <v/>
      </c>
      <c r="D23" s="21" t="str">
        <f>IF(ISBLANK(Tabgardes[[#This Row],[Type d''Acte]]),"",$F$5)</f>
        <v/>
      </c>
      <c r="E23" s="22"/>
      <c r="F23" s="13"/>
      <c r="G23" s="23"/>
      <c r="H23" s="15"/>
      <c r="I23" s="15"/>
      <c r="J23" s="16" t="str">
        <f t="shared" si="0"/>
        <v/>
      </c>
      <c r="K23" s="24"/>
      <c r="L23" s="25"/>
      <c r="M23" s="18"/>
      <c r="N23" s="13"/>
      <c r="O23" s="19"/>
      <c r="P23" s="20" t="str">
        <f t="shared" si="1"/>
        <v/>
      </c>
      <c r="Q23" s="16" t="str">
        <f t="shared" si="2"/>
        <v/>
      </c>
      <c r="R23" s="26"/>
      <c r="S23" s="10"/>
      <c r="T23" s="142" t="s">
        <v>52</v>
      </c>
      <c r="U23" s="142" t="s">
        <v>53</v>
      </c>
      <c r="V23" s="10"/>
      <c r="W23" s="45"/>
    </row>
    <row r="24" spans="1:23" ht="15" thickBot="1">
      <c r="A24" s="21">
        <v>17</v>
      </c>
      <c r="B24" s="21" t="str">
        <f>IF(ISBLANK(Tabgardes[[#This Row],[Type d''Acte]]),"",$F$6)</f>
        <v/>
      </c>
      <c r="C24" s="21" t="str">
        <f>IF(ISBLANK(Tabgardes[[#This Row],[Type d''Acte]]),"",$F$7)</f>
        <v/>
      </c>
      <c r="D24" s="21" t="str">
        <f>IF(ISBLANK(Tabgardes[[#This Row],[Type d''Acte]]),"",$F$5)</f>
        <v/>
      </c>
      <c r="E24" s="22"/>
      <c r="F24" s="13"/>
      <c r="G24" s="23"/>
      <c r="H24" s="15"/>
      <c r="I24" s="15"/>
      <c r="J24" s="16" t="str">
        <f t="shared" si="0"/>
        <v/>
      </c>
      <c r="K24" s="24"/>
      <c r="L24" s="25"/>
      <c r="M24" s="18"/>
      <c r="N24" s="13"/>
      <c r="O24" s="19"/>
      <c r="P24" s="20" t="str">
        <f t="shared" si="1"/>
        <v/>
      </c>
      <c r="Q24" s="16" t="str">
        <f t="shared" si="2"/>
        <v/>
      </c>
      <c r="R24" s="26"/>
      <c r="S24" s="10"/>
      <c r="T24" s="143"/>
      <c r="U24" s="143"/>
      <c r="V24" s="37"/>
      <c r="W24" s="45"/>
    </row>
    <row r="25" spans="1:23">
      <c r="A25" s="21">
        <v>18</v>
      </c>
      <c r="B25" s="21" t="str">
        <f>IF(ISBLANK(Tabgardes[[#This Row],[Type d''Acte]]),"",$F$6)</f>
        <v/>
      </c>
      <c r="C25" s="21" t="str">
        <f>IF(ISBLANK(Tabgardes[[#This Row],[Type d''Acte]]),"",$F$7)</f>
        <v/>
      </c>
      <c r="D25" s="21" t="str">
        <f>IF(ISBLANK(Tabgardes[[#This Row],[Type d''Acte]]),"",$F$5)</f>
        <v/>
      </c>
      <c r="E25" s="22"/>
      <c r="F25" s="13"/>
      <c r="G25" s="23"/>
      <c r="H25" s="15"/>
      <c r="I25" s="15"/>
      <c r="J25" s="16" t="str">
        <f t="shared" si="0"/>
        <v/>
      </c>
      <c r="K25" s="24"/>
      <c r="L25" s="25"/>
      <c r="M25" s="18"/>
      <c r="N25" s="13"/>
      <c r="O25" s="19"/>
      <c r="P25" s="20" t="str">
        <f t="shared" si="1"/>
        <v/>
      </c>
      <c r="Q25" s="16" t="str">
        <f t="shared" si="2"/>
        <v/>
      </c>
      <c r="R25" s="26"/>
      <c r="S25" s="10"/>
      <c r="T25" s="46" t="s">
        <v>43</v>
      </c>
      <c r="U25" s="47">
        <v>29</v>
      </c>
      <c r="V25" s="37"/>
      <c r="W25" s="48">
        <f>COUNTIF($F$10:$F$57,"Vend et veille JF - JOUR - Consultation")</f>
        <v>0</v>
      </c>
    </row>
    <row r="26" spans="1:23">
      <c r="A26" s="21">
        <v>19</v>
      </c>
      <c r="B26" s="21" t="str">
        <f>IF(ISBLANK(Tabgardes[[#This Row],[Type d''Acte]]),"",$F$6)</f>
        <v/>
      </c>
      <c r="C26" s="21" t="str">
        <f>IF(ISBLANK(Tabgardes[[#This Row],[Type d''Acte]]),"",$F$7)</f>
        <v/>
      </c>
      <c r="D26" s="21" t="str">
        <f>IF(ISBLANK(Tabgardes[[#This Row],[Type d''Acte]]),"",$F$5)</f>
        <v/>
      </c>
      <c r="E26" s="22"/>
      <c r="F26" s="13"/>
      <c r="G26" s="23"/>
      <c r="H26" s="15"/>
      <c r="I26" s="15"/>
      <c r="J26" s="16" t="str">
        <f t="shared" si="0"/>
        <v/>
      </c>
      <c r="K26" s="24"/>
      <c r="L26" s="25"/>
      <c r="M26" s="18"/>
      <c r="N26" s="13"/>
      <c r="O26" s="19"/>
      <c r="P26" s="20" t="str">
        <f t="shared" si="1"/>
        <v/>
      </c>
      <c r="Q26" s="16" t="str">
        <f t="shared" si="2"/>
        <v/>
      </c>
      <c r="R26" s="26"/>
      <c r="S26" s="10"/>
      <c r="T26" s="49" t="s">
        <v>54</v>
      </c>
      <c r="U26" s="50">
        <v>25</v>
      </c>
      <c r="V26" s="37"/>
      <c r="W26" s="51">
        <f>COUNTIF($F$10:$F$57,"Vend et veille JF - JOUR - Consultation NA")</f>
        <v>0</v>
      </c>
    </row>
    <row r="27" spans="1:23">
      <c r="A27" s="21">
        <v>20</v>
      </c>
      <c r="B27" s="21" t="str">
        <f>IF(ISBLANK(Tabgardes[[#This Row],[Type d''Acte]]),"",$F$6)</f>
        <v/>
      </c>
      <c r="C27" s="21" t="str">
        <f>IF(ISBLANK(Tabgardes[[#This Row],[Type d''Acte]]),"",$F$7)</f>
        <v/>
      </c>
      <c r="D27" s="21" t="str">
        <f>IF(ISBLANK(Tabgardes[[#This Row],[Type d''Acte]]),"",$F$5)</f>
        <v/>
      </c>
      <c r="E27" s="22"/>
      <c r="F27" s="13"/>
      <c r="G27" s="23"/>
      <c r="H27" s="15"/>
      <c r="I27" s="15"/>
      <c r="J27" s="16" t="str">
        <f t="shared" si="0"/>
        <v/>
      </c>
      <c r="K27" s="24"/>
      <c r="L27" s="25"/>
      <c r="M27" s="18"/>
      <c r="N27" s="13"/>
      <c r="O27" s="19"/>
      <c r="P27" s="20" t="str">
        <f t="shared" si="1"/>
        <v/>
      </c>
      <c r="Q27" s="16" t="str">
        <f t="shared" si="2"/>
        <v/>
      </c>
      <c r="R27" s="26"/>
      <c r="S27" s="10"/>
      <c r="T27" s="49" t="s">
        <v>55</v>
      </c>
      <c r="U27" s="52">
        <v>49</v>
      </c>
      <c r="V27" s="37"/>
      <c r="W27" s="51">
        <f>COUNTIF($F$10:$F$57,"Vend et veille JF - JOUR - Visite 1 bénéficiare")</f>
        <v>0</v>
      </c>
    </row>
    <row r="28" spans="1:23">
      <c r="A28" s="21">
        <v>21</v>
      </c>
      <c r="B28" s="21" t="str">
        <f>IF(ISBLANK(Tabgardes[[#This Row],[Type d''Acte]]),"",$F$6)</f>
        <v/>
      </c>
      <c r="C28" s="21" t="str">
        <f>IF(ISBLANK(Tabgardes[[#This Row],[Type d''Acte]]),"",$F$7)</f>
        <v/>
      </c>
      <c r="D28" s="21" t="str">
        <f>IF(ISBLANK(Tabgardes[[#This Row],[Type d''Acte]]),"",$F$5)</f>
        <v/>
      </c>
      <c r="E28" s="22"/>
      <c r="F28" s="13"/>
      <c r="G28" s="23"/>
      <c r="H28" s="15"/>
      <c r="I28" s="15"/>
      <c r="J28" s="16" t="str">
        <f t="shared" si="0"/>
        <v/>
      </c>
      <c r="K28" s="24"/>
      <c r="L28" s="25"/>
      <c r="M28" s="18"/>
      <c r="N28" s="13"/>
      <c r="O28" s="19"/>
      <c r="P28" s="20" t="str">
        <f t="shared" si="1"/>
        <v/>
      </c>
      <c r="Q28" s="16" t="str">
        <f t="shared" si="2"/>
        <v/>
      </c>
      <c r="R28" s="26"/>
      <c r="S28" s="10"/>
      <c r="T28" s="49" t="s">
        <v>56</v>
      </c>
      <c r="U28" s="52">
        <v>42</v>
      </c>
      <c r="V28" s="10"/>
      <c r="W28" s="51">
        <f>COUNTIF($F$10:$F$57,"Vend et veille JF - JOUR - Visite 2 bénéficiaires")</f>
        <v>0</v>
      </c>
    </row>
    <row r="29" spans="1:23" ht="15" customHeight="1" thickBot="1">
      <c r="A29" s="21">
        <v>22</v>
      </c>
      <c r="B29" s="21" t="str">
        <f>IF(ISBLANK(Tabgardes[[#This Row],[Type d''Acte]]),"",$F$6)</f>
        <v/>
      </c>
      <c r="C29" s="21" t="str">
        <f>IF(ISBLANK(Tabgardes[[#This Row],[Type d''Acte]]),"",$F$7)</f>
        <v/>
      </c>
      <c r="D29" s="21" t="str">
        <f>IF(ISBLANK(Tabgardes[[#This Row],[Type d''Acte]]),"",$F$5)</f>
        <v/>
      </c>
      <c r="E29" s="22"/>
      <c r="F29" s="13"/>
      <c r="G29" s="23"/>
      <c r="H29" s="15"/>
      <c r="I29" s="15"/>
      <c r="J29" s="16" t="str">
        <f t="shared" si="0"/>
        <v/>
      </c>
      <c r="K29" s="24"/>
      <c r="L29" s="25"/>
      <c r="M29" s="18"/>
      <c r="N29" s="13"/>
      <c r="O29" s="19"/>
      <c r="P29" s="20" t="str">
        <f t="shared" si="1"/>
        <v/>
      </c>
      <c r="Q29" s="16" t="str">
        <f t="shared" si="2"/>
        <v/>
      </c>
      <c r="R29" s="26"/>
      <c r="S29" s="10"/>
      <c r="T29" s="53" t="s">
        <v>42</v>
      </c>
      <c r="U29" s="54">
        <v>40</v>
      </c>
      <c r="V29" s="10"/>
      <c r="W29" s="55">
        <f>COUNTIF($F$10:$F$57,"Vend et veille JF - JOUR - Visite 3 bénéficiaires")</f>
        <v>0</v>
      </c>
    </row>
    <row r="30" spans="1:23" ht="15.75" customHeight="1">
      <c r="A30" s="21">
        <v>23</v>
      </c>
      <c r="B30" s="21" t="str">
        <f>IF(ISBLANK(Tabgardes[[#This Row],[Type d''Acte]]),"",$F$6)</f>
        <v/>
      </c>
      <c r="C30" s="21" t="str">
        <f>IF(ISBLANK(Tabgardes[[#This Row],[Type d''Acte]]),"",$F$7)</f>
        <v/>
      </c>
      <c r="D30" s="21" t="str">
        <f>IF(ISBLANK(Tabgardes[[#This Row],[Type d''Acte]]),"",$F$5)</f>
        <v/>
      </c>
      <c r="E30" s="22"/>
      <c r="F30" s="13"/>
      <c r="G30" s="23"/>
      <c r="H30" s="15"/>
      <c r="I30" s="15"/>
      <c r="J30" s="16" t="str">
        <f t="shared" si="0"/>
        <v/>
      </c>
      <c r="K30" s="24"/>
      <c r="L30" s="25"/>
      <c r="M30" s="18"/>
      <c r="N30" s="13"/>
      <c r="O30" s="19"/>
      <c r="P30" s="20" t="str">
        <f t="shared" si="1"/>
        <v/>
      </c>
      <c r="Q30" s="16" t="str">
        <f t="shared" si="2"/>
        <v/>
      </c>
      <c r="R30" s="26"/>
      <c r="S30" s="10"/>
      <c r="T30" s="56" t="s">
        <v>57</v>
      </c>
      <c r="U30" s="47">
        <v>49</v>
      </c>
      <c r="V30" s="10"/>
      <c r="W30" s="48">
        <f>COUNTIF($F$10:$F$57,"Vend et veille JF - NUIT - Consultation")</f>
        <v>0</v>
      </c>
    </row>
    <row r="31" spans="1:23">
      <c r="A31" s="21">
        <v>24</v>
      </c>
      <c r="B31" s="21" t="str">
        <f>IF(ISBLANK(Tabgardes[[#This Row],[Type d''Acte]]),"",$F$6)</f>
        <v/>
      </c>
      <c r="C31" s="21" t="str">
        <f>IF(ISBLANK(Tabgardes[[#This Row],[Type d''Acte]]),"",$F$7)</f>
        <v/>
      </c>
      <c r="D31" s="21" t="str">
        <f>IF(ISBLANK(Tabgardes[[#This Row],[Type d''Acte]]),"",$F$5)</f>
        <v/>
      </c>
      <c r="E31" s="22"/>
      <c r="F31" s="13"/>
      <c r="G31" s="23"/>
      <c r="H31" s="15"/>
      <c r="I31" s="15"/>
      <c r="J31" s="16" t="str">
        <f t="shared" si="0"/>
        <v/>
      </c>
      <c r="K31" s="24"/>
      <c r="L31" s="25"/>
      <c r="M31" s="18"/>
      <c r="N31" s="13"/>
      <c r="O31" s="19"/>
      <c r="P31" s="20" t="str">
        <f t="shared" si="1"/>
        <v/>
      </c>
      <c r="Q31" s="16" t="str">
        <f t="shared" si="2"/>
        <v/>
      </c>
      <c r="R31" s="26"/>
      <c r="S31" s="10"/>
      <c r="T31" s="49" t="s">
        <v>58</v>
      </c>
      <c r="U31" s="52">
        <v>85</v>
      </c>
      <c r="V31" s="10"/>
      <c r="W31" s="51">
        <f>COUNTIF($F$10:$F$57,"Vend et veille JF - NUIT - Visite 1 bénéficiare")</f>
        <v>0</v>
      </c>
    </row>
    <row r="32" spans="1:23">
      <c r="A32" s="21">
        <v>25</v>
      </c>
      <c r="B32" s="21" t="str">
        <f>IF(ISBLANK(Tabgardes[[#This Row],[Type d''Acte]]),"",$F$6)</f>
        <v/>
      </c>
      <c r="C32" s="21" t="str">
        <f>IF(ISBLANK(Tabgardes[[#This Row],[Type d''Acte]]),"",$F$7)</f>
        <v/>
      </c>
      <c r="D32" s="21" t="str">
        <f>IF(ISBLANK(Tabgardes[[#This Row],[Type d''Acte]]),"",$F$5)</f>
        <v/>
      </c>
      <c r="E32" s="22"/>
      <c r="F32" s="13"/>
      <c r="G32" s="23"/>
      <c r="H32" s="15"/>
      <c r="I32" s="15"/>
      <c r="J32" s="16" t="str">
        <f t="shared" si="0"/>
        <v/>
      </c>
      <c r="K32" s="24"/>
      <c r="L32" s="25"/>
      <c r="M32" s="18"/>
      <c r="N32" s="13"/>
      <c r="O32" s="19"/>
      <c r="P32" s="20" t="str">
        <f t="shared" si="1"/>
        <v/>
      </c>
      <c r="Q32" s="16" t="str">
        <f t="shared" si="2"/>
        <v/>
      </c>
      <c r="R32" s="26"/>
      <c r="S32" s="10"/>
      <c r="T32" s="49" t="s">
        <v>59</v>
      </c>
      <c r="U32" s="52">
        <v>77</v>
      </c>
      <c r="V32" s="10"/>
      <c r="W32" s="51">
        <f>COUNTIF($F$10:$F$57,"Vend et veille JF - NUIT - Visite 2 bénéficiaires")</f>
        <v>0</v>
      </c>
    </row>
    <row r="33" spans="1:23" ht="15" thickBot="1">
      <c r="A33" s="21">
        <v>26</v>
      </c>
      <c r="B33" s="21" t="str">
        <f>IF(ISBLANK(Tabgardes[[#This Row],[Type d''Acte]]),"",$F$6)</f>
        <v/>
      </c>
      <c r="C33" s="21" t="str">
        <f>IF(ISBLANK(Tabgardes[[#This Row],[Type d''Acte]]),"",$F$7)</f>
        <v/>
      </c>
      <c r="D33" s="21" t="str">
        <f>IF(ISBLANK(Tabgardes[[#This Row],[Type d''Acte]]),"",$F$5)</f>
        <v/>
      </c>
      <c r="E33" s="22"/>
      <c r="F33" s="13"/>
      <c r="G33" s="23"/>
      <c r="H33" s="15"/>
      <c r="I33" s="15"/>
      <c r="J33" s="16" t="str">
        <f t="shared" si="0"/>
        <v/>
      </c>
      <c r="K33" s="24"/>
      <c r="L33" s="25"/>
      <c r="M33" s="18"/>
      <c r="N33" s="13"/>
      <c r="O33" s="19"/>
      <c r="P33" s="20" t="str">
        <f t="shared" si="1"/>
        <v/>
      </c>
      <c r="Q33" s="16" t="str">
        <f t="shared" si="2"/>
        <v/>
      </c>
      <c r="R33" s="26"/>
      <c r="S33" s="10"/>
      <c r="T33" s="53" t="s">
        <v>60</v>
      </c>
      <c r="U33" s="54">
        <v>75</v>
      </c>
      <c r="V33" s="10"/>
      <c r="W33" s="55">
        <f>COUNTIF($F$10:$F$57,"Vend et veille JF - NUIT - Visite 3 bénéficiaires")</f>
        <v>0</v>
      </c>
    </row>
    <row r="34" spans="1:23">
      <c r="A34" s="21">
        <v>27</v>
      </c>
      <c r="B34" s="21" t="str">
        <f>IF(ISBLANK(Tabgardes[[#This Row],[Type d''Acte]]),"",$F$6)</f>
        <v/>
      </c>
      <c r="C34" s="21" t="str">
        <f>IF(ISBLANK(Tabgardes[[#This Row],[Type d''Acte]]),"",$F$7)</f>
        <v/>
      </c>
      <c r="D34" s="21" t="str">
        <f>IF(ISBLANK(Tabgardes[[#This Row],[Type d''Acte]]),"",$F$5)</f>
        <v/>
      </c>
      <c r="E34" s="22"/>
      <c r="F34" s="13"/>
      <c r="G34" s="23"/>
      <c r="H34" s="15"/>
      <c r="I34" s="15"/>
      <c r="J34" s="16" t="str">
        <f t="shared" si="0"/>
        <v/>
      </c>
      <c r="K34" s="24"/>
      <c r="L34" s="25"/>
      <c r="M34" s="18"/>
      <c r="N34" s="13"/>
      <c r="O34" s="19"/>
      <c r="P34" s="20" t="str">
        <f t="shared" si="1"/>
        <v/>
      </c>
      <c r="Q34" s="16" t="str">
        <f t="shared" si="2"/>
        <v/>
      </c>
      <c r="R34" s="26"/>
      <c r="S34" s="10"/>
      <c r="T34" s="57" t="s">
        <v>61</v>
      </c>
      <c r="U34" s="47">
        <v>37</v>
      </c>
      <c r="V34" s="10"/>
      <c r="W34" s="48">
        <f>COUNTIF($F$10:$F$57,"Sam, dim et JF - JOUR - Consultation")</f>
        <v>0</v>
      </c>
    </row>
    <row r="35" spans="1:23">
      <c r="A35" s="21">
        <v>28</v>
      </c>
      <c r="B35" s="21" t="str">
        <f>IF(ISBLANK(Tabgardes[[#This Row],[Type d''Acte]]),"",$F$6)</f>
        <v/>
      </c>
      <c r="C35" s="21" t="str">
        <f>IF(ISBLANK(Tabgardes[[#This Row],[Type d''Acte]]),"",$F$7)</f>
        <v/>
      </c>
      <c r="D35" s="21" t="str">
        <f>IF(ISBLANK(Tabgardes[[#This Row],[Type d''Acte]]),"",$F$5)</f>
        <v/>
      </c>
      <c r="E35" s="22"/>
      <c r="F35" s="13"/>
      <c r="G35" s="23"/>
      <c r="H35" s="15"/>
      <c r="I35" s="15"/>
      <c r="J35" s="16" t="str">
        <f t="shared" si="0"/>
        <v/>
      </c>
      <c r="K35" s="24"/>
      <c r="L35" s="25"/>
      <c r="M35" s="18"/>
      <c r="N35" s="13"/>
      <c r="O35" s="19"/>
      <c r="P35" s="20" t="str">
        <f t="shared" si="1"/>
        <v/>
      </c>
      <c r="Q35" s="16" t="str">
        <f t="shared" si="2"/>
        <v/>
      </c>
      <c r="R35" s="26"/>
      <c r="S35" s="10"/>
      <c r="T35" s="49" t="s">
        <v>62</v>
      </c>
      <c r="U35" s="50">
        <v>33</v>
      </c>
      <c r="V35" s="10"/>
      <c r="W35" s="51">
        <f>COUNTIF($F$10:$F$57,"Sam, dim et JF - JOUR - Consultation NA")</f>
        <v>0</v>
      </c>
    </row>
    <row r="36" spans="1:23">
      <c r="A36" s="21">
        <v>29</v>
      </c>
      <c r="B36" s="21" t="str">
        <f>IF(ISBLANK(Tabgardes[[#This Row],[Type d''Acte]]),"",$F$6)</f>
        <v/>
      </c>
      <c r="C36" s="21" t="str">
        <f>IF(ISBLANK(Tabgardes[[#This Row],[Type d''Acte]]),"",$F$7)</f>
        <v/>
      </c>
      <c r="D36" s="21" t="str">
        <f>IF(ISBLANK(Tabgardes[[#This Row],[Type d''Acte]]),"",$F$5)</f>
        <v/>
      </c>
      <c r="E36" s="22"/>
      <c r="F36" s="13"/>
      <c r="G36" s="23"/>
      <c r="H36" s="15"/>
      <c r="I36" s="15"/>
      <c r="J36" s="16" t="str">
        <f t="shared" si="0"/>
        <v/>
      </c>
      <c r="K36" s="24"/>
      <c r="L36" s="25"/>
      <c r="M36" s="18"/>
      <c r="N36" s="13"/>
      <c r="O36" s="19"/>
      <c r="P36" s="20" t="str">
        <f t="shared" si="1"/>
        <v/>
      </c>
      <c r="Q36" s="16" t="str">
        <f t="shared" si="2"/>
        <v/>
      </c>
      <c r="R36" s="26"/>
      <c r="S36" s="10"/>
      <c r="T36" s="49" t="s">
        <v>63</v>
      </c>
      <c r="U36" s="52">
        <v>55</v>
      </c>
      <c r="V36" s="10"/>
      <c r="W36" s="51">
        <f>COUNTIF($F$10:$F$57,"Sam, dim et JF - JOUR - Visite 1 bénéficiaire")</f>
        <v>0</v>
      </c>
    </row>
    <row r="37" spans="1:23">
      <c r="A37" s="21">
        <v>30</v>
      </c>
      <c r="B37" s="21" t="str">
        <f>IF(ISBLANK(Tabgardes[[#This Row],[Type d''Acte]]),"",$F$6)</f>
        <v/>
      </c>
      <c r="C37" s="21" t="str">
        <f>IF(ISBLANK(Tabgardes[[#This Row],[Type d''Acte]]),"",$F$7)</f>
        <v/>
      </c>
      <c r="D37" s="21" t="str">
        <f>IF(ISBLANK(Tabgardes[[#This Row],[Type d''Acte]]),"",$F$5)</f>
        <v/>
      </c>
      <c r="E37" s="22"/>
      <c r="F37" s="13"/>
      <c r="G37" s="23"/>
      <c r="H37" s="15"/>
      <c r="I37" s="15"/>
      <c r="J37" s="16" t="str">
        <f t="shared" si="0"/>
        <v/>
      </c>
      <c r="K37" s="24"/>
      <c r="L37" s="25"/>
      <c r="M37" s="18"/>
      <c r="N37" s="13"/>
      <c r="O37" s="19"/>
      <c r="P37" s="20" t="str">
        <f t="shared" si="1"/>
        <v/>
      </c>
      <c r="Q37" s="16" t="str">
        <f t="shared" si="2"/>
        <v/>
      </c>
      <c r="R37" s="26"/>
      <c r="S37" s="10"/>
      <c r="T37" s="49" t="s">
        <v>64</v>
      </c>
      <c r="U37" s="52">
        <v>48</v>
      </c>
      <c r="V37" s="10"/>
      <c r="W37" s="51">
        <f>COUNTIF($F$10:$F$57,"Sam, dim et JF - JOUR - Visite 2 bénéficiaires")</f>
        <v>0</v>
      </c>
    </row>
    <row r="38" spans="1:23" ht="15" thickBot="1">
      <c r="A38" s="21">
        <v>31</v>
      </c>
      <c r="B38" s="21" t="str">
        <f>IF(ISBLANK(Tabgardes[[#This Row],[Type d''Acte]]),"",$F$6)</f>
        <v/>
      </c>
      <c r="C38" s="21" t="str">
        <f>IF(ISBLANK(Tabgardes[[#This Row],[Type d''Acte]]),"",$F$7)</f>
        <v/>
      </c>
      <c r="D38" s="21" t="str">
        <f>IF(ISBLANK(Tabgardes[[#This Row],[Type d''Acte]]),"",$F$5)</f>
        <v/>
      </c>
      <c r="E38" s="22"/>
      <c r="F38" s="13"/>
      <c r="G38" s="23"/>
      <c r="H38" s="15"/>
      <c r="I38" s="15"/>
      <c r="J38" s="16" t="str">
        <f t="shared" si="0"/>
        <v/>
      </c>
      <c r="K38" s="24"/>
      <c r="L38" s="25"/>
      <c r="M38" s="18"/>
      <c r="N38" s="13"/>
      <c r="O38" s="19"/>
      <c r="P38" s="20" t="str">
        <f t="shared" si="1"/>
        <v/>
      </c>
      <c r="Q38" s="16" t="str">
        <f t="shared" si="2"/>
        <v/>
      </c>
      <c r="R38" s="26"/>
      <c r="S38" s="10"/>
      <c r="T38" s="53" t="s">
        <v>65</v>
      </c>
      <c r="U38" s="54">
        <v>46</v>
      </c>
      <c r="V38" s="10"/>
      <c r="W38" s="55">
        <f>COUNTIF($F$10:$F$57,"Sam, dim et JF - JOUR - Visite 3 bénéficiaires")</f>
        <v>0</v>
      </c>
    </row>
    <row r="39" spans="1:23">
      <c r="A39" s="21">
        <v>32</v>
      </c>
      <c r="B39" s="21" t="str">
        <f>IF(ISBLANK(Tabgardes[[#This Row],[Type d''Acte]]),"",$F$6)</f>
        <v/>
      </c>
      <c r="C39" s="21" t="str">
        <f>IF(ISBLANK(Tabgardes[[#This Row],[Type d''Acte]]),"",$F$7)</f>
        <v/>
      </c>
      <c r="D39" s="21" t="str">
        <f>IF(ISBLANK(Tabgardes[[#This Row],[Type d''Acte]]),"",$F$5)</f>
        <v/>
      </c>
      <c r="E39" s="22"/>
      <c r="F39" s="13"/>
      <c r="G39" s="23"/>
      <c r="H39" s="15"/>
      <c r="I39" s="15"/>
      <c r="J39" s="16" t="str">
        <f t="shared" si="0"/>
        <v/>
      </c>
      <c r="K39" s="24"/>
      <c r="L39" s="25"/>
      <c r="M39" s="18"/>
      <c r="N39" s="13"/>
      <c r="O39" s="19"/>
      <c r="P39" s="20" t="str">
        <f t="shared" si="1"/>
        <v/>
      </c>
      <c r="Q39" s="16" t="str">
        <f t="shared" si="2"/>
        <v/>
      </c>
      <c r="R39" s="26"/>
      <c r="S39" s="10"/>
      <c r="T39" s="56" t="s">
        <v>66</v>
      </c>
      <c r="U39" s="47">
        <v>49</v>
      </c>
      <c r="V39" s="10"/>
      <c r="W39" s="48">
        <f>COUNTIF($F$10:$F$57,"Sam, dim et JF - NUIT - Consultation")</f>
        <v>0</v>
      </c>
    </row>
    <row r="40" spans="1:23">
      <c r="A40" s="21">
        <v>33</v>
      </c>
      <c r="B40" s="21" t="str">
        <f>IF(ISBLANK(Tabgardes[[#This Row],[Type d''Acte]]),"",$F$6)</f>
        <v/>
      </c>
      <c r="C40" s="21" t="str">
        <f>IF(ISBLANK(Tabgardes[[#This Row],[Type d''Acte]]),"",$F$7)</f>
        <v/>
      </c>
      <c r="D40" s="21" t="str">
        <f>IF(ISBLANK(Tabgardes[[#This Row],[Type d''Acte]]),"",$F$5)</f>
        <v/>
      </c>
      <c r="E40" s="22"/>
      <c r="F40" s="13"/>
      <c r="G40" s="23"/>
      <c r="H40" s="15"/>
      <c r="I40" s="15"/>
      <c r="J40" s="16" t="str">
        <f t="shared" si="0"/>
        <v/>
      </c>
      <c r="K40" s="24"/>
      <c r="L40" s="25"/>
      <c r="M40" s="18"/>
      <c r="N40" s="13"/>
      <c r="O40" s="19"/>
      <c r="P40" s="20" t="str">
        <f t="shared" si="1"/>
        <v/>
      </c>
      <c r="Q40" s="16" t="str">
        <f t="shared" si="2"/>
        <v/>
      </c>
      <c r="R40" s="26"/>
      <c r="S40" s="10"/>
      <c r="T40" s="49" t="s">
        <v>67</v>
      </c>
      <c r="U40" s="52">
        <v>85</v>
      </c>
      <c r="V40" s="10"/>
      <c r="W40" s="51">
        <f>COUNTIF($F$10:$F$57,"Sam, dim et JF - NUIT - Visite 1 bénéficiaire")</f>
        <v>0</v>
      </c>
    </row>
    <row r="41" spans="1:23">
      <c r="A41" s="21">
        <v>34</v>
      </c>
      <c r="B41" s="21" t="str">
        <f>IF(ISBLANK(Tabgardes[[#This Row],[Type d''Acte]]),"",$F$6)</f>
        <v/>
      </c>
      <c r="C41" s="21" t="str">
        <f>IF(ISBLANK(Tabgardes[[#This Row],[Type d''Acte]]),"",$F$7)</f>
        <v/>
      </c>
      <c r="D41" s="21" t="str">
        <f>IF(ISBLANK(Tabgardes[[#This Row],[Type d''Acte]]),"",$F$5)</f>
        <v/>
      </c>
      <c r="E41" s="22"/>
      <c r="F41" s="13"/>
      <c r="G41" s="23"/>
      <c r="H41" s="15"/>
      <c r="I41" s="15"/>
      <c r="J41" s="16" t="str">
        <f t="shared" si="0"/>
        <v/>
      </c>
      <c r="K41" s="24"/>
      <c r="L41" s="25"/>
      <c r="M41" s="18"/>
      <c r="N41" s="13"/>
      <c r="O41" s="19"/>
      <c r="P41" s="20" t="str">
        <f t="shared" si="1"/>
        <v/>
      </c>
      <c r="Q41" s="16" t="str">
        <f t="shared" si="2"/>
        <v/>
      </c>
      <c r="R41" s="26"/>
      <c r="S41" s="10"/>
      <c r="T41" s="49" t="s">
        <v>68</v>
      </c>
      <c r="U41" s="52">
        <v>77</v>
      </c>
      <c r="V41" s="10"/>
      <c r="W41" s="51">
        <f>COUNTIF($F$10:$F$57,"Sam, dim et JF - NUIT - Visite 2 bénéficiaires")</f>
        <v>0</v>
      </c>
    </row>
    <row r="42" spans="1:23" ht="15" thickBot="1">
      <c r="A42" s="21">
        <v>35</v>
      </c>
      <c r="B42" s="21" t="str">
        <f>IF(ISBLANK(Tabgardes[[#This Row],[Type d''Acte]]),"",$F$6)</f>
        <v/>
      </c>
      <c r="C42" s="21" t="str">
        <f>IF(ISBLANK(Tabgardes[[#This Row],[Type d''Acte]]),"",$F$7)</f>
        <v/>
      </c>
      <c r="D42" s="21" t="str">
        <f>IF(ISBLANK(Tabgardes[[#This Row],[Type d''Acte]]),"",$F$5)</f>
        <v/>
      </c>
      <c r="E42" s="22"/>
      <c r="F42" s="13"/>
      <c r="G42" s="23"/>
      <c r="H42" s="15"/>
      <c r="I42" s="15"/>
      <c r="J42" s="16" t="str">
        <f t="shared" si="0"/>
        <v/>
      </c>
      <c r="K42" s="24"/>
      <c r="L42" s="25"/>
      <c r="M42" s="18"/>
      <c r="N42" s="13"/>
      <c r="O42" s="19"/>
      <c r="P42" s="20" t="str">
        <f t="shared" si="1"/>
        <v/>
      </c>
      <c r="Q42" s="16" t="str">
        <f t="shared" si="2"/>
        <v/>
      </c>
      <c r="R42" s="26"/>
      <c r="S42" s="10"/>
      <c r="T42" s="58" t="s">
        <v>69</v>
      </c>
      <c r="U42" s="54">
        <v>75</v>
      </c>
      <c r="V42" s="10"/>
      <c r="W42" s="55">
        <f>COUNTIF($F$10:$F$57,"Sam, dim et JF - NUIT - Visite 3 bénéficiaires")</f>
        <v>0</v>
      </c>
    </row>
    <row r="43" spans="1:23">
      <c r="A43" s="21">
        <v>36</v>
      </c>
      <c r="B43" s="21" t="str">
        <f>IF(ISBLANK(Tabgardes[[#This Row],[Type d''Acte]]),"",$F$6)</f>
        <v/>
      </c>
      <c r="C43" s="21" t="str">
        <f>IF(ISBLANK(Tabgardes[[#This Row],[Type d''Acte]]),"",$F$7)</f>
        <v/>
      </c>
      <c r="D43" s="21" t="str">
        <f>IF(ISBLANK(Tabgardes[[#This Row],[Type d''Acte]]),"",$F$5)</f>
        <v/>
      </c>
      <c r="E43" s="22"/>
      <c r="F43" s="13"/>
      <c r="G43" s="23"/>
      <c r="H43" s="15"/>
      <c r="I43" s="15"/>
      <c r="J43" s="16" t="str">
        <f t="shared" si="0"/>
        <v/>
      </c>
      <c r="K43" s="24"/>
      <c r="L43" s="25"/>
      <c r="M43" s="18"/>
      <c r="N43" s="13"/>
      <c r="O43" s="19"/>
      <c r="P43" s="20" t="str">
        <f t="shared" si="1"/>
        <v/>
      </c>
      <c r="Q43" s="16" t="str">
        <f t="shared" si="2"/>
        <v/>
      </c>
      <c r="R43" s="26"/>
      <c r="S43" s="10"/>
    </row>
    <row r="44" spans="1:23">
      <c r="A44" s="21">
        <v>37</v>
      </c>
      <c r="B44" s="21" t="str">
        <f>IF(ISBLANK(Tabgardes[[#This Row],[Type d''Acte]]),"",$F$6)</f>
        <v/>
      </c>
      <c r="C44" s="21" t="str">
        <f>IF(ISBLANK(Tabgardes[[#This Row],[Type d''Acte]]),"",$F$7)</f>
        <v/>
      </c>
      <c r="D44" s="21" t="str">
        <f>IF(ISBLANK(Tabgardes[[#This Row],[Type d''Acte]]),"",$F$5)</f>
        <v/>
      </c>
      <c r="E44" s="22"/>
      <c r="F44" s="13"/>
      <c r="G44" s="23"/>
      <c r="H44" s="15"/>
      <c r="I44" s="15"/>
      <c r="J44" s="16" t="str">
        <f t="shared" si="0"/>
        <v/>
      </c>
      <c r="K44" s="24"/>
      <c r="L44" s="25"/>
      <c r="M44" s="18"/>
      <c r="N44" s="13"/>
      <c r="O44" s="19"/>
      <c r="P44" s="20" t="str">
        <f t="shared" si="1"/>
        <v/>
      </c>
      <c r="Q44" s="16" t="str">
        <f t="shared" si="2"/>
        <v/>
      </c>
      <c r="R44" s="26"/>
      <c r="S44" s="10"/>
    </row>
    <row r="45" spans="1:23">
      <c r="A45" s="21">
        <v>38</v>
      </c>
      <c r="B45" s="21" t="str">
        <f>IF(ISBLANK(Tabgardes[[#This Row],[Type d''Acte]]),"",$F$6)</f>
        <v/>
      </c>
      <c r="C45" s="21" t="str">
        <f>IF(ISBLANK(Tabgardes[[#This Row],[Type d''Acte]]),"",$F$7)</f>
        <v/>
      </c>
      <c r="D45" s="21" t="str">
        <f>IF(ISBLANK(Tabgardes[[#This Row],[Type d''Acte]]),"",$F$5)</f>
        <v/>
      </c>
      <c r="E45" s="22"/>
      <c r="F45" s="13"/>
      <c r="G45" s="23"/>
      <c r="H45" s="15"/>
      <c r="I45" s="15"/>
      <c r="J45" s="16" t="str">
        <f t="shared" si="0"/>
        <v/>
      </c>
      <c r="K45" s="24"/>
      <c r="L45" s="25"/>
      <c r="M45" s="18"/>
      <c r="N45" s="13"/>
      <c r="O45" s="19"/>
      <c r="P45" s="20" t="str">
        <f t="shared" si="1"/>
        <v/>
      </c>
      <c r="Q45" s="16" t="str">
        <f t="shared" si="2"/>
        <v/>
      </c>
      <c r="R45" s="26"/>
      <c r="S45" s="10"/>
    </row>
    <row r="46" spans="1:23">
      <c r="A46" s="21">
        <v>39</v>
      </c>
      <c r="B46" s="21" t="str">
        <f>IF(ISBLANK(Tabgardes[[#This Row],[Type d''Acte]]),"",$F$6)</f>
        <v/>
      </c>
      <c r="C46" s="21" t="str">
        <f>IF(ISBLANK(Tabgardes[[#This Row],[Type d''Acte]]),"",$F$7)</f>
        <v/>
      </c>
      <c r="D46" s="21" t="str">
        <f>IF(ISBLANK(Tabgardes[[#This Row],[Type d''Acte]]),"",$F$5)</f>
        <v/>
      </c>
      <c r="E46" s="22"/>
      <c r="F46" s="13"/>
      <c r="G46" s="23"/>
      <c r="H46" s="15"/>
      <c r="I46" s="15"/>
      <c r="J46" s="16" t="str">
        <f t="shared" si="0"/>
        <v/>
      </c>
      <c r="K46" s="24"/>
      <c r="L46" s="25"/>
      <c r="M46" s="18"/>
      <c r="N46" s="13"/>
      <c r="O46" s="19"/>
      <c r="P46" s="20" t="str">
        <f t="shared" si="1"/>
        <v/>
      </c>
      <c r="Q46" s="16" t="str">
        <f t="shared" si="2"/>
        <v/>
      </c>
      <c r="R46" s="26"/>
      <c r="S46" s="10"/>
    </row>
    <row r="47" spans="1:23">
      <c r="A47" s="21">
        <v>40</v>
      </c>
      <c r="B47" s="21" t="str">
        <f>IF(ISBLANK(Tabgardes[[#This Row],[Type d''Acte]]),"",$F$6)</f>
        <v/>
      </c>
      <c r="C47" s="21" t="str">
        <f>IF(ISBLANK(Tabgardes[[#This Row],[Type d''Acte]]),"",$F$7)</f>
        <v/>
      </c>
      <c r="D47" s="21" t="str">
        <f>IF(ISBLANK(Tabgardes[[#This Row],[Type d''Acte]]),"",$F$5)</f>
        <v/>
      </c>
      <c r="E47" s="22"/>
      <c r="F47" s="13"/>
      <c r="G47" s="23"/>
      <c r="H47" s="15"/>
      <c r="I47" s="15"/>
      <c r="J47" s="16" t="str">
        <f t="shared" si="0"/>
        <v/>
      </c>
      <c r="K47" s="24"/>
      <c r="L47" s="25"/>
      <c r="M47" s="18"/>
      <c r="N47" s="13"/>
      <c r="O47" s="19"/>
      <c r="P47" s="20" t="str">
        <f t="shared" si="1"/>
        <v/>
      </c>
      <c r="Q47" s="16" t="str">
        <f t="shared" si="2"/>
        <v/>
      </c>
      <c r="R47" s="26"/>
      <c r="S47" s="10"/>
    </row>
    <row r="48" spans="1:23">
      <c r="A48" s="21">
        <v>41</v>
      </c>
      <c r="B48" s="21" t="str">
        <f>IF(ISBLANK(Tabgardes[[#This Row],[Type d''Acte]]),"",$F$6)</f>
        <v/>
      </c>
      <c r="C48" s="21" t="str">
        <f>IF(ISBLANK(Tabgardes[[#This Row],[Type d''Acte]]),"",$F$7)</f>
        <v/>
      </c>
      <c r="D48" s="21" t="str">
        <f>IF(ISBLANK(Tabgardes[[#This Row],[Type d''Acte]]),"",$F$5)</f>
        <v/>
      </c>
      <c r="E48" s="22"/>
      <c r="F48" s="13"/>
      <c r="G48" s="23"/>
      <c r="H48" s="15"/>
      <c r="I48" s="15"/>
      <c r="J48" s="16" t="str">
        <f t="shared" si="0"/>
        <v/>
      </c>
      <c r="K48" s="24"/>
      <c r="L48" s="25"/>
      <c r="M48" s="18"/>
      <c r="N48" s="13"/>
      <c r="O48" s="19"/>
      <c r="P48" s="20" t="str">
        <f t="shared" si="1"/>
        <v/>
      </c>
      <c r="Q48" s="16" t="str">
        <f t="shared" si="2"/>
        <v/>
      </c>
      <c r="R48" s="26"/>
      <c r="S48" s="10"/>
    </row>
    <row r="49" spans="1:23">
      <c r="A49" s="21">
        <v>42</v>
      </c>
      <c r="B49" s="21" t="str">
        <f>IF(ISBLANK(Tabgardes[[#This Row],[Type d''Acte]]),"",$F$6)</f>
        <v/>
      </c>
      <c r="C49" s="21" t="str">
        <f>IF(ISBLANK(Tabgardes[[#This Row],[Type d''Acte]]),"",$F$7)</f>
        <v/>
      </c>
      <c r="D49" s="21" t="str">
        <f>IF(ISBLANK(Tabgardes[[#This Row],[Type d''Acte]]),"",$F$5)</f>
        <v/>
      </c>
      <c r="E49" s="22"/>
      <c r="F49" s="13"/>
      <c r="G49" s="23"/>
      <c r="H49" s="15"/>
      <c r="I49" s="15"/>
      <c r="J49" s="16" t="str">
        <f t="shared" si="0"/>
        <v/>
      </c>
      <c r="K49" s="24"/>
      <c r="L49" s="25"/>
      <c r="M49" s="18"/>
      <c r="N49" s="13"/>
      <c r="O49" s="19"/>
      <c r="P49" s="20" t="str">
        <f t="shared" si="1"/>
        <v/>
      </c>
      <c r="Q49" s="16" t="str">
        <f t="shared" si="2"/>
        <v/>
      </c>
      <c r="R49" s="26"/>
      <c r="S49" s="10"/>
      <c r="T49" s="10"/>
      <c r="U49" s="10"/>
      <c r="V49" s="10"/>
      <c r="W49" s="10"/>
    </row>
    <row r="50" spans="1:23">
      <c r="A50" s="21">
        <v>43</v>
      </c>
      <c r="B50" s="21" t="str">
        <f>IF(ISBLANK(Tabgardes[[#This Row],[Type d''Acte]]),"",$F$6)</f>
        <v/>
      </c>
      <c r="C50" s="21" t="str">
        <f>IF(ISBLANK(Tabgardes[[#This Row],[Type d''Acte]]),"",$F$7)</f>
        <v/>
      </c>
      <c r="D50" s="21" t="str">
        <f>IF(ISBLANK(Tabgardes[[#This Row],[Type d''Acte]]),"",$F$5)</f>
        <v/>
      </c>
      <c r="E50" s="22"/>
      <c r="F50" s="13"/>
      <c r="G50" s="23"/>
      <c r="H50" s="15"/>
      <c r="I50" s="15"/>
      <c r="J50" s="16" t="str">
        <f t="shared" si="0"/>
        <v/>
      </c>
      <c r="K50" s="24"/>
      <c r="L50" s="25"/>
      <c r="M50" s="18"/>
      <c r="N50" s="13"/>
      <c r="O50" s="19"/>
      <c r="P50" s="20" t="str">
        <f t="shared" si="1"/>
        <v/>
      </c>
      <c r="Q50" s="16" t="str">
        <f t="shared" si="2"/>
        <v/>
      </c>
      <c r="R50" s="26"/>
      <c r="S50" s="10"/>
      <c r="T50" s="10"/>
      <c r="U50" s="10"/>
      <c r="V50" s="10"/>
      <c r="W50" s="10"/>
    </row>
    <row r="51" spans="1:23">
      <c r="A51" s="21">
        <v>44</v>
      </c>
      <c r="B51" s="21" t="str">
        <f>IF(ISBLANK(Tabgardes[[#This Row],[Type d''Acte]]),"",$F$6)</f>
        <v/>
      </c>
      <c r="C51" s="21" t="str">
        <f>IF(ISBLANK(Tabgardes[[#This Row],[Type d''Acte]]),"",$F$7)</f>
        <v/>
      </c>
      <c r="D51" s="21" t="str">
        <f>IF(ISBLANK(Tabgardes[[#This Row],[Type d''Acte]]),"",$F$5)</f>
        <v/>
      </c>
      <c r="E51" s="22"/>
      <c r="F51" s="13"/>
      <c r="G51" s="23"/>
      <c r="H51" s="15"/>
      <c r="I51" s="15"/>
      <c r="J51" s="16" t="str">
        <f t="shared" si="0"/>
        <v/>
      </c>
      <c r="K51" s="24"/>
      <c r="L51" s="25"/>
      <c r="M51" s="18"/>
      <c r="N51" s="13"/>
      <c r="O51" s="19"/>
      <c r="P51" s="20" t="str">
        <f t="shared" si="1"/>
        <v/>
      </c>
      <c r="Q51" s="16" t="str">
        <f t="shared" si="2"/>
        <v/>
      </c>
      <c r="R51" s="26"/>
      <c r="S51" s="10"/>
      <c r="T51" s="10"/>
      <c r="U51" s="10"/>
      <c r="V51" s="10"/>
      <c r="W51" s="10"/>
    </row>
    <row r="52" spans="1:23">
      <c r="A52" s="21">
        <v>45</v>
      </c>
      <c r="B52" s="21" t="str">
        <f>IF(ISBLANK(Tabgardes[[#This Row],[Type d''Acte]]),"",$F$6)</f>
        <v/>
      </c>
      <c r="C52" s="21" t="str">
        <f>IF(ISBLANK(Tabgardes[[#This Row],[Type d''Acte]]),"",$F$7)</f>
        <v/>
      </c>
      <c r="D52" s="21" t="str">
        <f>IF(ISBLANK(Tabgardes[[#This Row],[Type d''Acte]]),"",$F$5)</f>
        <v/>
      </c>
      <c r="E52" s="22"/>
      <c r="F52" s="13"/>
      <c r="G52" s="23"/>
      <c r="H52" s="15"/>
      <c r="I52" s="15"/>
      <c r="J52" s="16" t="str">
        <f t="shared" si="0"/>
        <v/>
      </c>
      <c r="K52" s="24"/>
      <c r="L52" s="25"/>
      <c r="M52" s="18"/>
      <c r="N52" s="13"/>
      <c r="O52" s="19"/>
      <c r="P52" s="20" t="str">
        <f t="shared" si="1"/>
        <v/>
      </c>
      <c r="Q52" s="16" t="str">
        <f t="shared" si="2"/>
        <v/>
      </c>
      <c r="R52" s="26"/>
      <c r="S52" s="10"/>
      <c r="T52" s="10"/>
      <c r="U52" s="10"/>
      <c r="V52" s="10"/>
      <c r="W52" s="10"/>
    </row>
    <row r="53" spans="1:23">
      <c r="A53" s="21">
        <v>46</v>
      </c>
      <c r="B53" s="21" t="str">
        <f>IF(ISBLANK(Tabgardes[[#This Row],[Type d''Acte]]),"",$F$6)</f>
        <v/>
      </c>
      <c r="C53" s="21" t="str">
        <f>IF(ISBLANK(Tabgardes[[#This Row],[Type d''Acte]]),"",$F$7)</f>
        <v/>
      </c>
      <c r="D53" s="21" t="str">
        <f>IF(ISBLANK(Tabgardes[[#This Row],[Type d''Acte]]),"",$F$5)</f>
        <v/>
      </c>
      <c r="E53" s="22"/>
      <c r="F53" s="13"/>
      <c r="G53" s="23"/>
      <c r="H53" s="15"/>
      <c r="I53" s="15"/>
      <c r="J53" s="16" t="str">
        <f t="shared" si="0"/>
        <v/>
      </c>
      <c r="K53" s="24"/>
      <c r="L53" s="25"/>
      <c r="M53" s="18"/>
      <c r="N53" s="13"/>
      <c r="O53" s="19"/>
      <c r="P53" s="20" t="str">
        <f t="shared" si="1"/>
        <v/>
      </c>
      <c r="Q53" s="16" t="str">
        <f t="shared" si="2"/>
        <v/>
      </c>
      <c r="R53" s="26"/>
      <c r="S53" s="10"/>
      <c r="T53" s="10"/>
      <c r="U53" s="10"/>
      <c r="V53" s="10"/>
      <c r="W53" s="10"/>
    </row>
    <row r="54" spans="1:23">
      <c r="A54" s="21">
        <v>47</v>
      </c>
      <c r="B54" s="21" t="str">
        <f>IF(ISBLANK(Tabgardes[[#This Row],[Type d''Acte]]),"",$F$6)</f>
        <v/>
      </c>
      <c r="C54" s="21" t="str">
        <f>IF(ISBLANK(Tabgardes[[#This Row],[Type d''Acte]]),"",$F$7)</f>
        <v/>
      </c>
      <c r="D54" s="21" t="str">
        <f>IF(ISBLANK(Tabgardes[[#This Row],[Type d''Acte]]),"",$F$5)</f>
        <v/>
      </c>
      <c r="E54" s="22"/>
      <c r="F54" s="13"/>
      <c r="G54" s="23"/>
      <c r="H54" s="15"/>
      <c r="I54" s="15"/>
      <c r="J54" s="16" t="str">
        <f t="shared" si="0"/>
        <v/>
      </c>
      <c r="K54" s="24"/>
      <c r="L54" s="25"/>
      <c r="M54" s="18"/>
      <c r="N54" s="13"/>
      <c r="O54" s="19"/>
      <c r="P54" s="20" t="str">
        <f t="shared" si="1"/>
        <v/>
      </c>
      <c r="Q54" s="16" t="str">
        <f t="shared" si="2"/>
        <v/>
      </c>
      <c r="R54" s="26"/>
      <c r="S54" s="10"/>
      <c r="T54" s="10"/>
      <c r="U54" s="10"/>
      <c r="V54" s="10"/>
      <c r="W54" s="10"/>
    </row>
    <row r="55" spans="1:23">
      <c r="A55" s="21">
        <v>48</v>
      </c>
      <c r="B55" s="21" t="str">
        <f>IF(ISBLANK(Tabgardes[[#This Row],[Type d''Acte]]),"",$F$6)</f>
        <v/>
      </c>
      <c r="C55" s="21" t="str">
        <f>IF(ISBLANK(Tabgardes[[#This Row],[Type d''Acte]]),"",$F$7)</f>
        <v/>
      </c>
      <c r="D55" s="21" t="str">
        <f>IF(ISBLANK(Tabgardes[[#This Row],[Type d''Acte]]),"",$F$5)</f>
        <v/>
      </c>
      <c r="E55" s="22"/>
      <c r="F55" s="13"/>
      <c r="G55" s="23"/>
      <c r="H55" s="15"/>
      <c r="I55" s="15"/>
      <c r="J55" s="16" t="str">
        <f t="shared" si="0"/>
        <v/>
      </c>
      <c r="K55" s="24"/>
      <c r="L55" s="25"/>
      <c r="M55" s="18"/>
      <c r="N55" s="13"/>
      <c r="O55" s="19"/>
      <c r="P55" s="20" t="str">
        <f t="shared" si="1"/>
        <v/>
      </c>
      <c r="Q55" s="16" t="str">
        <f t="shared" si="2"/>
        <v/>
      </c>
      <c r="R55" s="26"/>
      <c r="S55" s="10"/>
      <c r="T55" s="10"/>
      <c r="U55" s="10"/>
      <c r="V55" s="10"/>
      <c r="W55" s="10"/>
    </row>
    <row r="56" spans="1:23">
      <c r="A56" s="21">
        <v>49</v>
      </c>
      <c r="B56" s="21" t="str">
        <f>IF(ISBLANK(Tabgardes[[#This Row],[Type d''Acte]]),"",$F$6)</f>
        <v/>
      </c>
      <c r="C56" s="21" t="str">
        <f>IF(ISBLANK(Tabgardes[[#This Row],[Type d''Acte]]),"",$F$7)</f>
        <v/>
      </c>
      <c r="D56" s="21" t="str">
        <f>IF(ISBLANK(Tabgardes[[#This Row],[Type d''Acte]]),"",$F$5)</f>
        <v/>
      </c>
      <c r="E56" s="22"/>
      <c r="F56" s="13"/>
      <c r="G56" s="23"/>
      <c r="H56" s="15"/>
      <c r="I56" s="15"/>
      <c r="J56" s="16" t="str">
        <f t="shared" si="0"/>
        <v/>
      </c>
      <c r="K56" s="24"/>
      <c r="L56" s="25"/>
      <c r="M56" s="18"/>
      <c r="N56" s="13"/>
      <c r="O56" s="19"/>
      <c r="P56" s="20" t="str">
        <f t="shared" si="1"/>
        <v/>
      </c>
      <c r="Q56" s="16" t="str">
        <f t="shared" si="2"/>
        <v/>
      </c>
      <c r="R56" s="26"/>
      <c r="S56" s="10"/>
      <c r="T56" s="10"/>
      <c r="U56" s="10"/>
      <c r="V56" s="10"/>
      <c r="W56" s="10"/>
    </row>
    <row r="57" spans="1:23">
      <c r="A57" s="59">
        <v>50</v>
      </c>
      <c r="B57" s="59" t="str">
        <f>IF(ISBLANK(Tabgardes[[#This Row],[Type d''Acte]]),"",$F$6)</f>
        <v/>
      </c>
      <c r="C57" s="59" t="str">
        <f>IF(ISBLANK(Tabgardes[[#This Row],[Type d''Acte]]),"",$F$7)</f>
        <v/>
      </c>
      <c r="D57" s="59" t="str">
        <f>IF(ISBLANK(Tabgardes[[#This Row],[Type d''Acte]]),"",$F$5)</f>
        <v/>
      </c>
      <c r="E57" s="60"/>
      <c r="F57" s="13"/>
      <c r="G57" s="62"/>
      <c r="H57" s="62"/>
      <c r="I57" s="15"/>
      <c r="J57" s="16" t="str">
        <f t="shared" si="0"/>
        <v/>
      </c>
      <c r="K57" s="63"/>
      <c r="L57" s="64"/>
      <c r="M57" s="64"/>
      <c r="N57" s="61"/>
      <c r="O57" s="61"/>
      <c r="P57" s="65" t="str">
        <f t="shared" si="1"/>
        <v/>
      </c>
      <c r="Q57" s="66" t="str">
        <f t="shared" si="2"/>
        <v/>
      </c>
      <c r="R57" s="67"/>
      <c r="S57" s="10"/>
      <c r="T57" s="10"/>
      <c r="U57" s="10"/>
      <c r="V57" s="10"/>
      <c r="W57" s="10"/>
    </row>
  </sheetData>
  <mergeCells count="7">
    <mergeCell ref="T23:T24"/>
    <mergeCell ref="U23:U24"/>
    <mergeCell ref="A1:R3"/>
    <mergeCell ref="W14:W15"/>
    <mergeCell ref="T14:U15"/>
    <mergeCell ref="A4:A7"/>
    <mergeCell ref="E4:F4"/>
  </mergeCells>
  <conditionalFormatting sqref="V11:V12">
    <cfRule type="cellIs" dxfId="60" priority="1" operator="equal">
      <formula>"NON"</formula>
    </cfRule>
    <cfRule type="cellIs" dxfId="59" priority="2" operator="equal">
      <formula>"OUI"</formula>
    </cfRule>
  </conditionalFormatting>
  <dataValidations count="7">
    <dataValidation type="list" allowBlank="1" showInputMessage="1" showErrorMessage="1" sqref="F5">
      <formula1>INDIRECT("tabMEDECINS[Nom &amp; Prénom]")</formula1>
    </dataValidation>
    <dataValidation type="list" allowBlank="1" showInputMessage="1" showErrorMessage="1" sqref="O10:O57">
      <formula1>"Admin. De biens,CPAS,MR,MM,⅓ payant C,⅓ payant BC,⅓ payant NP,Réquisition,Virement,Autres"</formula1>
    </dataValidation>
    <dataValidation type="list" allowBlank="1" showInputMessage="1" showErrorMessage="1" sqref="N10:N57">
      <formula1>"Cash,Bancontact,Différé"</formula1>
    </dataValidation>
    <dataValidation type="list" allowBlank="1" showInputMessage="1" showErrorMessage="1" sqref="F7">
      <formula1>"1a,1b,2a,2b,3,4,5,6,7,nuit 1,nuit 2,nuit 3"</formula1>
    </dataValidation>
    <dataValidation type="list" allowBlank="1" showInputMessage="1" showErrorMessage="1" sqref="F10:F57">
      <formula1>typesactes</formula1>
    </dataValidation>
    <dataValidation type="list" allowBlank="1" showInputMessage="1" showErrorMessage="1" sqref="I10:I57">
      <formula1>"Oui,Non"</formula1>
    </dataValidation>
    <dataValidation type="list" allowBlank="1" showInputMessage="1" showErrorMessage="1" sqref="F10:F57">
      <formula1>$T$25:$T$42</formula1>
    </dataValidation>
  </dataValidations>
  <pageMargins left="0.7" right="0.7" top="0.75" bottom="0.75" header="0.3" footer="0.3"/>
  <pageSetup paperSize="9" orientation="portrait" horizontalDpi="4294967293" verticalDpi="429496729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sauvegarder">
                <anchor moveWithCells="1" sizeWithCells="1">
                  <from>
                    <xdr:col>7</xdr:col>
                    <xdr:colOff>12700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A83"/>
  <sheetViews>
    <sheetView zoomScale="80" zoomScaleNormal="80" zoomScalePageLayoutView="80" workbookViewId="0">
      <pane xSplit="3" ySplit="5" topLeftCell="D52" activePane="bottomRight" state="frozen"/>
      <selection pane="topRight" activeCell="D1" sqref="D1"/>
      <selection pane="bottomLeft" activeCell="A6" sqref="A6"/>
      <selection pane="bottomRight" activeCell="C68" sqref="C68"/>
    </sheetView>
  </sheetViews>
  <sheetFormatPr baseColWidth="10" defaultColWidth="9.1640625" defaultRowHeight="14" x14ac:dyDescent="0"/>
  <cols>
    <col min="1" max="1" width="13.1640625" customWidth="1"/>
    <col min="2" max="2" width="8.5" customWidth="1"/>
    <col min="3" max="3" width="16.1640625" customWidth="1"/>
    <col min="4" max="4" width="43.33203125" customWidth="1"/>
    <col min="5" max="5" width="11" customWidth="1"/>
    <col min="6" max="6" width="21" customWidth="1"/>
    <col min="7" max="7" width="16.5" customWidth="1"/>
    <col min="8" max="8" width="12.5" customWidth="1"/>
    <col min="9" max="9" width="13.33203125" customWidth="1"/>
    <col min="10" max="10" width="11.1640625" customWidth="1"/>
    <col min="11" max="11" width="10.83203125" customWidth="1"/>
    <col min="12" max="12" width="11.33203125" customWidth="1"/>
    <col min="13" max="13" width="13.33203125" customWidth="1"/>
    <col min="14" max="14" width="10.5" customWidth="1"/>
    <col min="15" max="15" width="11.6640625" customWidth="1"/>
    <col min="16" max="16" width="11" customWidth="1"/>
    <col min="17" max="17" width="14.5" customWidth="1"/>
    <col min="18" max="18" width="13" customWidth="1"/>
    <col min="19" max="19" width="11.33203125" customWidth="1"/>
    <col min="20" max="20" width="17.5" customWidth="1"/>
    <col min="21" max="21" width="15.5" customWidth="1"/>
    <col min="23" max="23" width="14.5" customWidth="1"/>
    <col min="24" max="24" width="13" customWidth="1"/>
    <col min="25" max="25" width="20.1640625" customWidth="1"/>
    <col min="26" max="26" width="21.6640625" bestFit="1" customWidth="1"/>
    <col min="27" max="27" width="27.5" customWidth="1"/>
    <col min="28" max="28" width="8.33203125" customWidth="1"/>
    <col min="29" max="29" width="21.6640625" customWidth="1"/>
    <col min="30" max="30" width="28.6640625" customWidth="1"/>
    <col min="31" max="31" width="13" bestFit="1" customWidth="1"/>
    <col min="32" max="32" width="16.1640625" bestFit="1" customWidth="1"/>
    <col min="33" max="33" width="13" bestFit="1" customWidth="1"/>
    <col min="34" max="34" width="16.1640625" bestFit="1" customWidth="1"/>
    <col min="35" max="36" width="13" bestFit="1" customWidth="1"/>
    <col min="37" max="37" width="16.1640625" bestFit="1" customWidth="1"/>
    <col min="38" max="39" width="13" bestFit="1" customWidth="1"/>
    <col min="40" max="40" width="16.1640625" bestFit="1" customWidth="1"/>
    <col min="41" max="41" width="8.1640625" customWidth="1"/>
    <col min="42" max="42" width="11.1640625" bestFit="1" customWidth="1"/>
    <col min="43" max="43" width="12.5" bestFit="1" customWidth="1"/>
  </cols>
  <sheetData>
    <row r="1" spans="1:27" ht="15.75" customHeight="1">
      <c r="A1" s="76"/>
      <c r="B1" s="76"/>
      <c r="C1" s="76"/>
      <c r="D1" s="76"/>
      <c r="E1" s="76"/>
      <c r="F1" s="15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Y1" s="121" t="s">
        <v>13</v>
      </c>
      <c r="Z1" s="121" t="s">
        <v>15</v>
      </c>
      <c r="AA1" s="121" t="s">
        <v>17</v>
      </c>
    </row>
    <row r="2" spans="1:27" ht="15.75" customHeight="1">
      <c r="A2" s="76"/>
      <c r="B2" s="76"/>
      <c r="C2" s="76"/>
      <c r="D2" s="76"/>
      <c r="E2" s="76"/>
      <c r="F2" s="150"/>
      <c r="G2" s="1"/>
      <c r="H2" s="1"/>
      <c r="I2" s="1"/>
      <c r="J2" s="1"/>
      <c r="K2" s="1"/>
      <c r="L2" s="2" t="s">
        <v>190</v>
      </c>
      <c r="M2" s="123"/>
      <c r="N2" s="1"/>
      <c r="O2" s="1"/>
      <c r="P2" s="1"/>
      <c r="Q2" s="124">
        <v>42719</v>
      </c>
      <c r="R2" s="1"/>
      <c r="S2" s="1"/>
      <c r="T2" s="1"/>
      <c r="U2" s="1"/>
      <c r="Y2" s="122">
        <f>M2</f>
        <v>0</v>
      </c>
      <c r="Z2" s="121"/>
      <c r="AA2" s="121"/>
    </row>
    <row r="3" spans="1:27" ht="27" customHeight="1">
      <c r="A3" s="76" t="s">
        <v>0</v>
      </c>
      <c r="B3" s="76"/>
      <c r="C3" s="76"/>
      <c r="D3" s="76"/>
      <c r="E3" s="76"/>
      <c r="F3" s="2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Y3" s="121"/>
      <c r="Z3" s="122">
        <f>M2</f>
        <v>0</v>
      </c>
      <c r="AA3" s="121"/>
    </row>
    <row r="4" spans="1:27" ht="15.75" customHeight="1">
      <c r="A4" s="76"/>
      <c r="B4" s="76"/>
      <c r="C4" s="76"/>
      <c r="D4" s="76"/>
      <c r="E4" s="7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X4" s="119"/>
      <c r="Y4" s="121"/>
      <c r="Z4" s="121"/>
      <c r="AA4" s="122">
        <f>M2</f>
        <v>0</v>
      </c>
    </row>
    <row r="5" spans="1:27" ht="43.25" customHeight="1" thickBot="1">
      <c r="A5" s="78" t="s">
        <v>2</v>
      </c>
      <c r="B5" s="79" t="s">
        <v>3</v>
      </c>
      <c r="C5" s="79" t="s">
        <v>4</v>
      </c>
      <c r="D5" s="79" t="s">
        <v>81</v>
      </c>
      <c r="E5" s="79" t="s">
        <v>5</v>
      </c>
      <c r="F5" s="79" t="s">
        <v>6</v>
      </c>
      <c r="G5" s="79" t="s">
        <v>7</v>
      </c>
      <c r="H5" s="79" t="s">
        <v>8</v>
      </c>
      <c r="I5" s="79" t="s">
        <v>9</v>
      </c>
      <c r="J5" s="79" t="s">
        <v>10</v>
      </c>
      <c r="K5" s="79" t="s">
        <v>11</v>
      </c>
      <c r="L5" s="79" t="s">
        <v>12</v>
      </c>
      <c r="M5" s="79" t="s">
        <v>13</v>
      </c>
      <c r="N5" s="79" t="s">
        <v>14</v>
      </c>
      <c r="O5" s="79" t="s">
        <v>15</v>
      </c>
      <c r="P5" s="79" t="s">
        <v>16</v>
      </c>
      <c r="Q5" s="79" t="s">
        <v>17</v>
      </c>
      <c r="R5" s="79" t="s">
        <v>18</v>
      </c>
      <c r="S5" s="79" t="s">
        <v>19</v>
      </c>
      <c r="T5" s="79" t="s">
        <v>20</v>
      </c>
      <c r="U5" s="79" t="s">
        <v>21</v>
      </c>
    </row>
    <row r="6" spans="1:27">
      <c r="A6" s="91">
        <v>42679</v>
      </c>
      <c r="B6" s="72" t="s">
        <v>86</v>
      </c>
      <c r="C6" s="71" t="s">
        <v>84</v>
      </c>
      <c r="D6" s="69" t="s">
        <v>61</v>
      </c>
      <c r="E6" s="70">
        <v>37</v>
      </c>
      <c r="F6" s="69" t="s">
        <v>88</v>
      </c>
      <c r="G6" s="69" t="s">
        <v>90</v>
      </c>
      <c r="H6" s="69" t="s">
        <v>87</v>
      </c>
      <c r="I6" s="69"/>
      <c r="J6" s="69" t="s">
        <v>102</v>
      </c>
      <c r="K6" s="70">
        <v>37</v>
      </c>
      <c r="L6" s="77"/>
      <c r="M6" s="69"/>
      <c r="N6" s="77"/>
      <c r="O6" s="69"/>
      <c r="P6" s="77">
        <v>37</v>
      </c>
      <c r="Q6" s="84">
        <v>42703</v>
      </c>
      <c r="R6" s="84">
        <v>42703</v>
      </c>
      <c r="S6" s="104">
        <f>IF('Historique des gardes'!$H6="","",IF(OR('Historique des gardes'!$H6="Bancontact",'Historique des gardes'!$H6="Cash"),'Historique des gardes'!$P6,'Historique des gardes'!$L6+'Historique des gardes'!$N6+'Historique des gardes'!$P6))</f>
        <v>37</v>
      </c>
      <c r="T6" s="69" t="s">
        <v>117</v>
      </c>
      <c r="U6" s="69"/>
    </row>
    <row r="7" spans="1:27">
      <c r="A7" s="93">
        <v>42679</v>
      </c>
      <c r="B7" s="72" t="s">
        <v>86</v>
      </c>
      <c r="C7" s="71" t="s">
        <v>84</v>
      </c>
      <c r="D7" s="71" t="s">
        <v>61</v>
      </c>
      <c r="E7" s="94">
        <v>37</v>
      </c>
      <c r="F7" s="71" t="s">
        <v>89</v>
      </c>
      <c r="G7" s="71" t="s">
        <v>91</v>
      </c>
      <c r="H7" s="71" t="s">
        <v>93</v>
      </c>
      <c r="I7" s="71" t="s">
        <v>94</v>
      </c>
      <c r="J7" s="71" t="s">
        <v>92</v>
      </c>
      <c r="K7" s="94">
        <v>2</v>
      </c>
      <c r="L7" s="95">
        <v>2</v>
      </c>
      <c r="M7" s="96">
        <v>42701</v>
      </c>
      <c r="N7" s="95">
        <v>35</v>
      </c>
      <c r="O7" s="96">
        <v>42719</v>
      </c>
      <c r="P7" s="95"/>
      <c r="Q7" s="71"/>
      <c r="R7" s="96">
        <v>42719</v>
      </c>
      <c r="S7" s="105">
        <f>IF('Historique des gardes'!$H7="","",IF(OR('Historique des gardes'!$H7="Bancontact",'Historique des gardes'!$H7="Cash"),'Historique des gardes'!$P7,'Historique des gardes'!$L7+'Historique des gardes'!$N7+'Historique des gardes'!$P7))</f>
        <v>37</v>
      </c>
      <c r="T7" s="71" t="s">
        <v>117</v>
      </c>
      <c r="U7" s="71"/>
    </row>
    <row r="8" spans="1:27">
      <c r="A8" s="93">
        <v>42679</v>
      </c>
      <c r="B8" s="72" t="s">
        <v>86</v>
      </c>
      <c r="C8" s="71" t="s">
        <v>84</v>
      </c>
      <c r="D8" s="71" t="s">
        <v>66</v>
      </c>
      <c r="E8" s="94">
        <v>49</v>
      </c>
      <c r="F8" s="71" t="s">
        <v>95</v>
      </c>
      <c r="G8" s="71" t="s">
        <v>96</v>
      </c>
      <c r="H8" s="71" t="s">
        <v>87</v>
      </c>
      <c r="I8" s="71"/>
      <c r="J8" s="71" t="s">
        <v>92</v>
      </c>
      <c r="K8" s="94">
        <v>49</v>
      </c>
      <c r="L8" s="95"/>
      <c r="M8" s="71"/>
      <c r="N8" s="95"/>
      <c r="O8" s="71"/>
      <c r="P8" s="95">
        <v>49</v>
      </c>
      <c r="Q8" s="96">
        <v>42703</v>
      </c>
      <c r="R8" s="96">
        <v>42703</v>
      </c>
      <c r="S8" s="105">
        <f>IF('Historique des gardes'!$H8="","",IF(OR('Historique des gardes'!$H8="Bancontact",'Historique des gardes'!$H8="Cash"),'Historique des gardes'!$P8,'Historique des gardes'!$L8+'Historique des gardes'!$N8+'Historique des gardes'!$P8))</f>
        <v>49</v>
      </c>
      <c r="T8" s="71" t="s">
        <v>117</v>
      </c>
      <c r="U8" s="71"/>
    </row>
    <row r="9" spans="1:27">
      <c r="A9" s="93">
        <v>42679</v>
      </c>
      <c r="B9" s="72" t="s">
        <v>86</v>
      </c>
      <c r="C9" s="71" t="s">
        <v>84</v>
      </c>
      <c r="D9" s="71" t="s">
        <v>66</v>
      </c>
      <c r="E9" s="94">
        <v>49</v>
      </c>
      <c r="F9" s="71" t="s">
        <v>97</v>
      </c>
      <c r="G9" s="71" t="s">
        <v>91</v>
      </c>
      <c r="H9" s="71" t="s">
        <v>87</v>
      </c>
      <c r="I9" s="71"/>
      <c r="J9" s="71" t="s">
        <v>92</v>
      </c>
      <c r="K9" s="94">
        <v>49</v>
      </c>
      <c r="L9" s="95"/>
      <c r="M9" s="71"/>
      <c r="N9" s="95"/>
      <c r="O9" s="71"/>
      <c r="P9" s="95">
        <v>49</v>
      </c>
      <c r="Q9" s="96">
        <v>42703</v>
      </c>
      <c r="R9" s="96">
        <v>42703</v>
      </c>
      <c r="S9" s="105">
        <f>IF('Historique des gardes'!$H9="","",IF(OR('Historique des gardes'!$H9="Bancontact",'Historique des gardes'!$H9="Cash"),'Historique des gardes'!$P9,'Historique des gardes'!$L9+'Historique des gardes'!$N9+'Historique des gardes'!$P9))</f>
        <v>49</v>
      </c>
      <c r="T9" s="71" t="s">
        <v>117</v>
      </c>
      <c r="U9" s="71"/>
    </row>
    <row r="10" spans="1:27">
      <c r="A10" s="93">
        <v>42679</v>
      </c>
      <c r="B10" s="72" t="s">
        <v>86</v>
      </c>
      <c r="C10" s="71" t="s">
        <v>84</v>
      </c>
      <c r="D10" s="71" t="s">
        <v>66</v>
      </c>
      <c r="E10" s="94">
        <v>49</v>
      </c>
      <c r="F10" s="71" t="s">
        <v>98</v>
      </c>
      <c r="G10" s="71" t="s">
        <v>90</v>
      </c>
      <c r="H10" s="71" t="s">
        <v>87</v>
      </c>
      <c r="I10" s="71"/>
      <c r="J10" s="71" t="s">
        <v>92</v>
      </c>
      <c r="K10" s="94">
        <v>49</v>
      </c>
      <c r="L10" s="95"/>
      <c r="M10" s="71"/>
      <c r="N10" s="95"/>
      <c r="O10" s="71"/>
      <c r="P10" s="95">
        <v>49</v>
      </c>
      <c r="Q10" s="96">
        <v>42703</v>
      </c>
      <c r="R10" s="96">
        <v>42703</v>
      </c>
      <c r="S10" s="105">
        <f>IF('Historique des gardes'!$H10="","",IF(OR('Historique des gardes'!$H10="Bancontact",'Historique des gardes'!$H10="Cash"),'Historique des gardes'!$P10,'Historique des gardes'!$L10+'Historique des gardes'!$N10+'Historique des gardes'!$P10))</f>
        <v>49</v>
      </c>
      <c r="T10" s="71" t="s">
        <v>117</v>
      </c>
      <c r="U10" s="71"/>
    </row>
    <row r="11" spans="1:27">
      <c r="A11" s="93">
        <v>42679</v>
      </c>
      <c r="B11" s="72" t="s">
        <v>86</v>
      </c>
      <c r="C11" s="71" t="s">
        <v>84</v>
      </c>
      <c r="D11" s="71" t="s">
        <v>66</v>
      </c>
      <c r="E11" s="94">
        <v>49</v>
      </c>
      <c r="F11" s="71" t="s">
        <v>99</v>
      </c>
      <c r="G11" s="71" t="s">
        <v>96</v>
      </c>
      <c r="H11" s="71" t="s">
        <v>87</v>
      </c>
      <c r="I11" s="71"/>
      <c r="J11" s="71" t="s">
        <v>92</v>
      </c>
      <c r="K11" s="94">
        <v>49</v>
      </c>
      <c r="L11" s="95"/>
      <c r="M11" s="71"/>
      <c r="N11" s="95"/>
      <c r="O11" s="71"/>
      <c r="P11" s="95">
        <v>49</v>
      </c>
      <c r="Q11" s="96">
        <v>42703</v>
      </c>
      <c r="R11" s="96">
        <v>42703</v>
      </c>
      <c r="S11" s="105">
        <f>IF('Historique des gardes'!$H11="","",IF(OR('Historique des gardes'!$H11="Bancontact",'Historique des gardes'!$H11="Cash"),'Historique des gardes'!$P11,'Historique des gardes'!$L11+'Historique des gardes'!$N11+'Historique des gardes'!$P11))</f>
        <v>49</v>
      </c>
      <c r="T11" s="71" t="s">
        <v>117</v>
      </c>
      <c r="U11" s="71"/>
    </row>
    <row r="12" spans="1:27" ht="15" thickBot="1">
      <c r="A12" s="97">
        <v>42679</v>
      </c>
      <c r="B12" s="98" t="s">
        <v>86</v>
      </c>
      <c r="C12" s="99" t="s">
        <v>84</v>
      </c>
      <c r="D12" s="99" t="s">
        <v>66</v>
      </c>
      <c r="E12" s="100">
        <v>49</v>
      </c>
      <c r="F12" s="99" t="s">
        <v>100</v>
      </c>
      <c r="G12" s="99" t="s">
        <v>91</v>
      </c>
      <c r="H12" s="99" t="s">
        <v>87</v>
      </c>
      <c r="I12" s="99"/>
      <c r="J12" s="99" t="s">
        <v>92</v>
      </c>
      <c r="K12" s="100">
        <v>49</v>
      </c>
      <c r="L12" s="101"/>
      <c r="M12" s="99"/>
      <c r="N12" s="101"/>
      <c r="O12" s="99"/>
      <c r="P12" s="101">
        <v>49</v>
      </c>
      <c r="Q12" s="102">
        <v>42703</v>
      </c>
      <c r="R12" s="102">
        <v>42703</v>
      </c>
      <c r="S12" s="106">
        <f>IF('Historique des gardes'!$H12="","",IF(OR('Historique des gardes'!$H12="Bancontact",'Historique des gardes'!$H12="Cash"),'Historique des gardes'!$P12,'Historique des gardes'!$L12+'Historique des gardes'!$N12+'Historique des gardes'!$P12))</f>
        <v>49</v>
      </c>
      <c r="T12" s="99" t="s">
        <v>117</v>
      </c>
      <c r="U12" s="99"/>
    </row>
    <row r="13" spans="1:27">
      <c r="A13" s="93">
        <v>42679</v>
      </c>
      <c r="B13" s="72">
        <v>5</v>
      </c>
      <c r="C13" s="71" t="s">
        <v>85</v>
      </c>
      <c r="D13" s="69" t="s">
        <v>63</v>
      </c>
      <c r="E13" s="70">
        <v>55</v>
      </c>
      <c r="F13" s="69" t="s">
        <v>101</v>
      </c>
      <c r="G13" s="69"/>
      <c r="H13" s="69" t="s">
        <v>103</v>
      </c>
      <c r="I13" s="69"/>
      <c r="J13" s="69" t="s">
        <v>102</v>
      </c>
      <c r="K13" s="70">
        <v>55</v>
      </c>
      <c r="L13" s="77"/>
      <c r="M13" s="69"/>
      <c r="N13" s="77"/>
      <c r="O13" s="69"/>
      <c r="P13" s="77">
        <v>55</v>
      </c>
      <c r="Q13" s="84">
        <v>42704</v>
      </c>
      <c r="R13" s="107">
        <v>42704</v>
      </c>
      <c r="S13" s="104">
        <f>IF('Historique des gardes'!$H13="","",IF(OR('Historique des gardes'!$H13="Bancontact",'Historique des gardes'!$H13="Cash"),'Historique des gardes'!$P13,'Historique des gardes'!$L13+'Historique des gardes'!$N13+'Historique des gardes'!$P13))</f>
        <v>55</v>
      </c>
      <c r="T13" s="108" t="s">
        <v>117</v>
      </c>
      <c r="U13" s="69"/>
    </row>
    <row r="14" spans="1:27">
      <c r="A14" s="93">
        <v>42679</v>
      </c>
      <c r="B14" s="72">
        <v>5</v>
      </c>
      <c r="C14" s="71" t="s">
        <v>85</v>
      </c>
      <c r="D14" s="71" t="s">
        <v>61</v>
      </c>
      <c r="E14" s="94">
        <v>37</v>
      </c>
      <c r="F14" s="71" t="s">
        <v>104</v>
      </c>
      <c r="G14" s="71" t="s">
        <v>90</v>
      </c>
      <c r="H14" s="71" t="s">
        <v>87</v>
      </c>
      <c r="I14" s="71"/>
      <c r="J14" s="71" t="s">
        <v>92</v>
      </c>
      <c r="K14" s="94">
        <v>37</v>
      </c>
      <c r="L14" s="95"/>
      <c r="M14" s="71"/>
      <c r="N14" s="95"/>
      <c r="O14" s="71"/>
      <c r="P14" s="95">
        <v>37</v>
      </c>
      <c r="Q14" s="96">
        <v>42704</v>
      </c>
      <c r="R14" s="107">
        <v>42704</v>
      </c>
      <c r="S14" s="104">
        <f>IF('Historique des gardes'!$H14="","",IF(OR('Historique des gardes'!$H14="Bancontact",'Historique des gardes'!$H14="Cash"),'Historique des gardes'!$P14,'Historique des gardes'!$L14+'Historique des gardes'!$N14+'Historique des gardes'!$P14))</f>
        <v>37</v>
      </c>
      <c r="T14" s="108" t="s">
        <v>117</v>
      </c>
      <c r="U14" s="71"/>
    </row>
    <row r="15" spans="1:27">
      <c r="A15" s="93">
        <v>42679</v>
      </c>
      <c r="B15" s="72">
        <v>5</v>
      </c>
      <c r="C15" s="71" t="s">
        <v>85</v>
      </c>
      <c r="D15" s="71" t="s">
        <v>61</v>
      </c>
      <c r="E15" s="94">
        <v>37</v>
      </c>
      <c r="F15" s="71" t="s">
        <v>105</v>
      </c>
      <c r="G15" s="71" t="s">
        <v>90</v>
      </c>
      <c r="H15" s="71" t="s">
        <v>93</v>
      </c>
      <c r="I15" s="71" t="s">
        <v>94</v>
      </c>
      <c r="J15" s="71" t="s">
        <v>102</v>
      </c>
      <c r="K15" s="94">
        <v>0</v>
      </c>
      <c r="L15" s="95">
        <v>2</v>
      </c>
      <c r="M15" s="96">
        <v>42701</v>
      </c>
      <c r="N15" s="95"/>
      <c r="O15" s="71"/>
      <c r="P15" s="95"/>
      <c r="Q15" s="96"/>
      <c r="R15" s="107"/>
      <c r="S15" s="104">
        <f>IF('Historique des gardes'!$H15="","",IF(OR('Historique des gardes'!$H15="Bancontact",'Historique des gardes'!$H15="Cash"),'Historique des gardes'!$P15,'Historique des gardes'!$L15+'Historique des gardes'!$N15+'Historique des gardes'!$P15))</f>
        <v>2</v>
      </c>
      <c r="T15" s="108" t="s">
        <v>160</v>
      </c>
      <c r="U15" s="71"/>
    </row>
    <row r="16" spans="1:27">
      <c r="A16" s="93">
        <v>42679</v>
      </c>
      <c r="B16" s="72">
        <v>5</v>
      </c>
      <c r="C16" s="71" t="s">
        <v>85</v>
      </c>
      <c r="D16" s="71" t="s">
        <v>61</v>
      </c>
      <c r="E16" s="94">
        <v>37</v>
      </c>
      <c r="F16" s="71" t="s">
        <v>106</v>
      </c>
      <c r="G16" s="71"/>
      <c r="H16" s="71" t="s">
        <v>93</v>
      </c>
      <c r="I16" s="71" t="s">
        <v>94</v>
      </c>
      <c r="J16" s="71" t="s">
        <v>102</v>
      </c>
      <c r="K16" s="94">
        <v>0</v>
      </c>
      <c r="L16" s="95">
        <v>2</v>
      </c>
      <c r="M16" s="96">
        <v>42701</v>
      </c>
      <c r="N16" s="95"/>
      <c r="O16" s="96"/>
      <c r="P16" s="95"/>
      <c r="Q16" s="96"/>
      <c r="R16" s="107"/>
      <c r="S16" s="104">
        <f>IF('Historique des gardes'!$H16="","",IF(OR('Historique des gardes'!$H16="Bancontact",'Historique des gardes'!$H16="Cash"),'Historique des gardes'!$P16,'Historique des gardes'!$L16+'Historique des gardes'!$N16+'Historique des gardes'!$P16))</f>
        <v>2</v>
      </c>
      <c r="T16" s="108" t="s">
        <v>160</v>
      </c>
      <c r="U16" s="71"/>
    </row>
    <row r="17" spans="1:21">
      <c r="A17" s="93">
        <v>42679</v>
      </c>
      <c r="B17" s="72">
        <v>5</v>
      </c>
      <c r="C17" s="71" t="s">
        <v>85</v>
      </c>
      <c r="D17" s="71" t="s">
        <v>61</v>
      </c>
      <c r="E17" s="94">
        <v>37</v>
      </c>
      <c r="F17" s="71" t="s">
        <v>107</v>
      </c>
      <c r="G17" s="71" t="s">
        <v>108</v>
      </c>
      <c r="H17" s="71" t="s">
        <v>93</v>
      </c>
      <c r="I17" s="71" t="s">
        <v>94</v>
      </c>
      <c r="J17" s="71" t="s">
        <v>102</v>
      </c>
      <c r="K17" s="94">
        <v>0</v>
      </c>
      <c r="L17" s="95">
        <v>2</v>
      </c>
      <c r="M17" s="96">
        <v>42701</v>
      </c>
      <c r="N17" s="95">
        <v>35</v>
      </c>
      <c r="O17" s="96">
        <v>42701</v>
      </c>
      <c r="P17" s="95"/>
      <c r="Q17" s="96"/>
      <c r="R17" s="107"/>
      <c r="S17" s="104">
        <f>IF('Historique des gardes'!$H17="","",IF(OR('Historique des gardes'!$H17="Bancontact",'Historique des gardes'!$H17="Cash"),'Historique des gardes'!$P17,'Historique des gardes'!$L17+'Historique des gardes'!$N17+'Historique des gardes'!$P17))</f>
        <v>37</v>
      </c>
      <c r="T17" s="108" t="s">
        <v>117</v>
      </c>
      <c r="U17" s="71"/>
    </row>
    <row r="18" spans="1:21">
      <c r="A18" s="93">
        <v>42679</v>
      </c>
      <c r="B18" s="72">
        <v>5</v>
      </c>
      <c r="C18" s="71" t="s">
        <v>85</v>
      </c>
      <c r="D18" s="71" t="s">
        <v>61</v>
      </c>
      <c r="E18" s="94">
        <v>37</v>
      </c>
      <c r="F18" s="71" t="s">
        <v>109</v>
      </c>
      <c r="G18" s="71" t="s">
        <v>108</v>
      </c>
      <c r="H18" s="71" t="s">
        <v>87</v>
      </c>
      <c r="I18" s="71"/>
      <c r="J18" s="71" t="s">
        <v>92</v>
      </c>
      <c r="K18" s="94">
        <v>37</v>
      </c>
      <c r="L18" s="95"/>
      <c r="M18" s="71"/>
      <c r="N18" s="95"/>
      <c r="O18" s="71"/>
      <c r="P18" s="95">
        <v>37</v>
      </c>
      <c r="Q18" s="96">
        <v>42704</v>
      </c>
      <c r="R18" s="107">
        <v>42704</v>
      </c>
      <c r="S18" s="104">
        <f>IF('Historique des gardes'!$H18="","",IF(OR('Historique des gardes'!$H18="Bancontact",'Historique des gardes'!$H18="Cash"),'Historique des gardes'!$P18,'Historique des gardes'!$L18+'Historique des gardes'!$N18+'Historique des gardes'!$P18))</f>
        <v>37</v>
      </c>
      <c r="T18" s="108" t="s">
        <v>117</v>
      </c>
      <c r="U18" s="71"/>
    </row>
    <row r="19" spans="1:21">
      <c r="A19" s="93">
        <v>42679</v>
      </c>
      <c r="B19" s="72">
        <v>5</v>
      </c>
      <c r="C19" s="71" t="s">
        <v>85</v>
      </c>
      <c r="D19" s="71" t="s">
        <v>61</v>
      </c>
      <c r="E19" s="94">
        <v>37</v>
      </c>
      <c r="F19" s="71" t="s">
        <v>110</v>
      </c>
      <c r="G19" s="71"/>
      <c r="H19" s="71" t="s">
        <v>87</v>
      </c>
      <c r="I19" s="71"/>
      <c r="J19" s="71" t="s">
        <v>102</v>
      </c>
      <c r="K19" s="94">
        <v>37</v>
      </c>
      <c r="L19" s="95"/>
      <c r="M19" s="71"/>
      <c r="N19" s="95"/>
      <c r="O19" s="71"/>
      <c r="P19" s="95">
        <v>37</v>
      </c>
      <c r="Q19" s="96">
        <v>42704</v>
      </c>
      <c r="R19" s="107">
        <v>42704</v>
      </c>
      <c r="S19" s="104">
        <f>IF('Historique des gardes'!$H19="","",IF(OR('Historique des gardes'!$H19="Bancontact",'Historique des gardes'!$H19="Cash"),'Historique des gardes'!$P19,'Historique des gardes'!$L19+'Historique des gardes'!$N19+'Historique des gardes'!$P19))</f>
        <v>37</v>
      </c>
      <c r="T19" s="108" t="s">
        <v>117</v>
      </c>
      <c r="U19" s="71"/>
    </row>
    <row r="20" spans="1:21" ht="15" thickBot="1">
      <c r="A20" s="97">
        <v>42679</v>
      </c>
      <c r="B20" s="98">
        <v>5</v>
      </c>
      <c r="C20" s="99" t="s">
        <v>85</v>
      </c>
      <c r="D20" s="99" t="s">
        <v>61</v>
      </c>
      <c r="E20" s="100">
        <v>37</v>
      </c>
      <c r="F20" s="99" t="s">
        <v>111</v>
      </c>
      <c r="G20" s="99"/>
      <c r="H20" s="99" t="s">
        <v>87</v>
      </c>
      <c r="I20" s="99"/>
      <c r="J20" s="99" t="s">
        <v>102</v>
      </c>
      <c r="K20" s="100">
        <v>37</v>
      </c>
      <c r="L20" s="101"/>
      <c r="M20" s="99"/>
      <c r="N20" s="101"/>
      <c r="O20" s="99"/>
      <c r="P20" s="101">
        <v>37</v>
      </c>
      <c r="Q20" s="102">
        <v>42704</v>
      </c>
      <c r="R20" s="103">
        <v>42704</v>
      </c>
      <c r="S20" s="109">
        <f>IF('Historique des gardes'!$H20="","",IF(OR('Historique des gardes'!$H20="Bancontact",'Historique des gardes'!$H20="Cash"),'Historique des gardes'!$P20,'Historique des gardes'!$L20+'Historique des gardes'!$N20+'Historique des gardes'!$P20))</f>
        <v>37</v>
      </c>
      <c r="T20" s="110" t="s">
        <v>117</v>
      </c>
      <c r="U20" s="99"/>
    </row>
    <row r="21" spans="1:21">
      <c r="A21" s="93">
        <v>42686</v>
      </c>
      <c r="B21" s="72">
        <v>3</v>
      </c>
      <c r="C21" s="71" t="s">
        <v>22</v>
      </c>
      <c r="D21" s="69" t="s">
        <v>61</v>
      </c>
      <c r="E21" s="70">
        <v>37</v>
      </c>
      <c r="F21" s="69" t="s">
        <v>112</v>
      </c>
      <c r="G21" s="69" t="s">
        <v>90</v>
      </c>
      <c r="H21" s="69" t="s">
        <v>87</v>
      </c>
      <c r="I21" s="69"/>
      <c r="J21" s="69" t="s">
        <v>92</v>
      </c>
      <c r="K21" s="70">
        <v>37</v>
      </c>
      <c r="L21" s="77"/>
      <c r="M21" s="69"/>
      <c r="N21" s="77"/>
      <c r="O21" s="69"/>
      <c r="P21" s="77">
        <v>37</v>
      </c>
      <c r="Q21" s="84">
        <v>42704</v>
      </c>
      <c r="R21" s="107">
        <v>42704</v>
      </c>
      <c r="S21" s="104">
        <f>IF('Historique des gardes'!$H21="","",IF(OR('Historique des gardes'!$H21="Bancontact",'Historique des gardes'!$H21="Cash"),'Historique des gardes'!$P21,'Historique des gardes'!$L21+'Historique des gardes'!$N21+'Historique des gardes'!$P21))</f>
        <v>37</v>
      </c>
      <c r="T21" s="108" t="s">
        <v>117</v>
      </c>
      <c r="U21" s="69"/>
    </row>
    <row r="22" spans="1:21">
      <c r="A22" s="93">
        <v>42686</v>
      </c>
      <c r="B22" s="72">
        <v>3</v>
      </c>
      <c r="C22" s="71" t="s">
        <v>22</v>
      </c>
      <c r="D22" s="71" t="s">
        <v>61</v>
      </c>
      <c r="E22" s="94">
        <v>37</v>
      </c>
      <c r="F22" s="71" t="s">
        <v>113</v>
      </c>
      <c r="G22" s="71" t="s">
        <v>90</v>
      </c>
      <c r="H22" s="71" t="s">
        <v>87</v>
      </c>
      <c r="I22" s="71"/>
      <c r="J22" s="71" t="s">
        <v>92</v>
      </c>
      <c r="K22" s="94">
        <v>37</v>
      </c>
      <c r="L22" s="95"/>
      <c r="M22" s="71"/>
      <c r="N22" s="95"/>
      <c r="O22" s="71"/>
      <c r="P22" s="95">
        <v>37</v>
      </c>
      <c r="Q22" s="96">
        <v>42704</v>
      </c>
      <c r="R22" s="107">
        <v>42704</v>
      </c>
      <c r="S22" s="104">
        <f>IF('Historique des gardes'!$H22="","",IF(OR('Historique des gardes'!$H22="Bancontact",'Historique des gardes'!$H22="Cash"),'Historique des gardes'!$P22,'Historique des gardes'!$L22+'Historique des gardes'!$N22+'Historique des gardes'!$P22))</f>
        <v>37</v>
      </c>
      <c r="T22" s="108" t="s">
        <v>117</v>
      </c>
      <c r="U22" s="71"/>
    </row>
    <row r="23" spans="1:21">
      <c r="A23" s="93">
        <v>42686</v>
      </c>
      <c r="B23" s="72">
        <v>3</v>
      </c>
      <c r="C23" s="71" t="s">
        <v>22</v>
      </c>
      <c r="D23" s="71" t="s">
        <v>61</v>
      </c>
      <c r="E23" s="94">
        <v>37</v>
      </c>
      <c r="F23" s="71" t="s">
        <v>114</v>
      </c>
      <c r="G23" s="71" t="s">
        <v>96</v>
      </c>
      <c r="H23" s="71" t="s">
        <v>87</v>
      </c>
      <c r="I23" s="71"/>
      <c r="J23" s="71" t="s">
        <v>92</v>
      </c>
      <c r="K23" s="94">
        <v>37</v>
      </c>
      <c r="L23" s="95"/>
      <c r="M23" s="71"/>
      <c r="N23" s="95"/>
      <c r="O23" s="71"/>
      <c r="P23" s="95">
        <v>37</v>
      </c>
      <c r="Q23" s="96">
        <v>42704</v>
      </c>
      <c r="R23" s="107">
        <v>42704</v>
      </c>
      <c r="S23" s="104">
        <f>IF('Historique des gardes'!$H23="","",IF(OR('Historique des gardes'!$H23="Bancontact",'Historique des gardes'!$H23="Cash"),'Historique des gardes'!$P23,'Historique des gardes'!$L23+'Historique des gardes'!$N23+'Historique des gardes'!$P23))</f>
        <v>37</v>
      </c>
      <c r="T23" s="108" t="s">
        <v>117</v>
      </c>
      <c r="U23" s="71"/>
    </row>
    <row r="24" spans="1:21">
      <c r="A24" s="93">
        <v>42686</v>
      </c>
      <c r="B24" s="72">
        <v>3</v>
      </c>
      <c r="C24" s="71" t="s">
        <v>22</v>
      </c>
      <c r="D24" s="71" t="s">
        <v>63</v>
      </c>
      <c r="E24" s="94">
        <v>55</v>
      </c>
      <c r="F24" s="71" t="s">
        <v>115</v>
      </c>
      <c r="G24" s="71"/>
      <c r="H24" s="71" t="s">
        <v>93</v>
      </c>
      <c r="I24" s="71" t="s">
        <v>94</v>
      </c>
      <c r="J24" s="71" t="s">
        <v>102</v>
      </c>
      <c r="K24" s="94">
        <v>0</v>
      </c>
      <c r="L24" s="95"/>
      <c r="M24" s="71"/>
      <c r="N24" s="95"/>
      <c r="O24" s="71"/>
      <c r="P24" s="95"/>
      <c r="Q24" s="71"/>
      <c r="R24" s="107"/>
      <c r="S24" s="104">
        <f>IF('Historique des gardes'!$H24="","",IF(OR('Historique des gardes'!$H24="Bancontact",'Historique des gardes'!$H24="Cash"),'Historique des gardes'!$P24,'Historique des gardes'!$L24+'Historique des gardes'!$N24+'Historique des gardes'!$P24))</f>
        <v>0</v>
      </c>
      <c r="T24" s="108" t="s">
        <v>118</v>
      </c>
      <c r="U24" s="71"/>
    </row>
    <row r="25" spans="1:21">
      <c r="A25" s="112">
        <v>42686</v>
      </c>
      <c r="B25" s="72">
        <v>3</v>
      </c>
      <c r="C25" s="71" t="s">
        <v>22</v>
      </c>
      <c r="D25" s="71" t="s">
        <v>61</v>
      </c>
      <c r="E25" s="94">
        <v>37</v>
      </c>
      <c r="F25" s="71" t="s">
        <v>116</v>
      </c>
      <c r="G25" s="71"/>
      <c r="H25" s="71" t="s">
        <v>103</v>
      </c>
      <c r="I25" s="71"/>
      <c r="J25" s="71" t="s">
        <v>102</v>
      </c>
      <c r="K25" s="94">
        <v>37</v>
      </c>
      <c r="L25" s="95"/>
      <c r="M25" s="71"/>
      <c r="N25" s="95"/>
      <c r="O25" s="71"/>
      <c r="P25" s="95">
        <v>37</v>
      </c>
      <c r="Q25" s="96">
        <v>42704</v>
      </c>
      <c r="R25" s="107">
        <v>42704</v>
      </c>
      <c r="S25" s="104">
        <f>IF('Historique des gardes'!$H25="","",IF(OR('Historique des gardes'!$H25="Bancontact",'Historique des gardes'!$H25="Cash"),'Historique des gardes'!$P25,'Historique des gardes'!$L25+'Historique des gardes'!$N25+'Historique des gardes'!$P25))</f>
        <v>37</v>
      </c>
      <c r="T25" s="108" t="s">
        <v>117</v>
      </c>
      <c r="U25" s="71"/>
    </row>
    <row r="26" spans="1:21">
      <c r="A26" s="113">
        <v>42684</v>
      </c>
      <c r="B26" s="72" t="s">
        <v>128</v>
      </c>
      <c r="C26" s="71" t="s">
        <v>84</v>
      </c>
      <c r="D26" s="69" t="s">
        <v>43</v>
      </c>
      <c r="E26" s="70">
        <v>29</v>
      </c>
      <c r="F26" s="69" t="s">
        <v>121</v>
      </c>
      <c r="G26" s="69" t="s">
        <v>90</v>
      </c>
      <c r="H26" s="69" t="s">
        <v>87</v>
      </c>
      <c r="I26" s="69"/>
      <c r="J26" s="69"/>
      <c r="K26" s="70">
        <v>50</v>
      </c>
      <c r="L26" s="77"/>
      <c r="M26" s="69"/>
      <c r="N26" s="77"/>
      <c r="O26" s="69"/>
      <c r="P26" s="77">
        <v>50</v>
      </c>
      <c r="Q26" s="84">
        <v>42714</v>
      </c>
      <c r="R26" s="107">
        <v>42714</v>
      </c>
      <c r="S26" s="104">
        <f>IF('Historique des gardes'!$H26="","",IF(OR('Historique des gardes'!$H26="Bancontact",'Historique des gardes'!$H26="Cash"),'Historique des gardes'!$P26,'Historique des gardes'!$L26+'Historique des gardes'!$N26+'Historique des gardes'!$P26))</f>
        <v>50</v>
      </c>
      <c r="T26" s="108" t="s">
        <v>117</v>
      </c>
      <c r="U26" s="69"/>
    </row>
    <row r="27" spans="1:21">
      <c r="A27" s="113">
        <v>42684</v>
      </c>
      <c r="B27" s="72" t="s">
        <v>128</v>
      </c>
      <c r="C27" s="71" t="s">
        <v>84</v>
      </c>
      <c r="D27" s="71" t="s">
        <v>54</v>
      </c>
      <c r="E27" s="94">
        <v>25</v>
      </c>
      <c r="F27" s="71" t="s">
        <v>122</v>
      </c>
      <c r="G27" s="71" t="s">
        <v>91</v>
      </c>
      <c r="H27" s="71" t="s">
        <v>93</v>
      </c>
      <c r="I27" s="71" t="s">
        <v>94</v>
      </c>
      <c r="J27" s="71" t="s">
        <v>148</v>
      </c>
      <c r="K27" s="94">
        <v>0</v>
      </c>
      <c r="L27" s="95">
        <v>2</v>
      </c>
      <c r="M27" s="96">
        <v>42713</v>
      </c>
      <c r="N27" s="95">
        <v>37</v>
      </c>
      <c r="O27" s="96">
        <v>42714</v>
      </c>
      <c r="P27" s="95"/>
      <c r="Q27" s="96"/>
      <c r="R27" s="107">
        <v>42714</v>
      </c>
      <c r="S27" s="104">
        <f>IF('Historique des gardes'!$H27="","",IF(OR('Historique des gardes'!$H27="Bancontact",'Historique des gardes'!$H27="Cash"),'Historique des gardes'!$P27,'Historique des gardes'!$L27+'Historique des gardes'!$N27+'Historique des gardes'!$P27))</f>
        <v>39</v>
      </c>
      <c r="T27" s="108" t="s">
        <v>117</v>
      </c>
      <c r="U27" s="71"/>
    </row>
    <row r="28" spans="1:21">
      <c r="A28" s="113">
        <v>42684</v>
      </c>
      <c r="B28" s="72" t="s">
        <v>128</v>
      </c>
      <c r="C28" s="71" t="s">
        <v>84</v>
      </c>
      <c r="D28" s="71" t="s">
        <v>43</v>
      </c>
      <c r="E28" s="94">
        <v>29</v>
      </c>
      <c r="F28" s="71" t="s">
        <v>123</v>
      </c>
      <c r="G28" s="71"/>
      <c r="H28" s="71" t="s">
        <v>93</v>
      </c>
      <c r="I28" s="71" t="s">
        <v>119</v>
      </c>
      <c r="J28" s="71" t="s">
        <v>149</v>
      </c>
      <c r="K28" s="94">
        <v>0</v>
      </c>
      <c r="L28" s="95">
        <v>1.5</v>
      </c>
      <c r="M28" s="96">
        <v>42713</v>
      </c>
      <c r="N28" s="95">
        <v>37</v>
      </c>
      <c r="O28" s="96">
        <v>42714</v>
      </c>
      <c r="P28" s="95"/>
      <c r="Q28" s="96"/>
      <c r="R28" s="107">
        <v>42714</v>
      </c>
      <c r="S28" s="104">
        <f>IF('Historique des gardes'!$H28="","",IF(OR('Historique des gardes'!$H28="Bancontact",'Historique des gardes'!$H28="Cash"),'Historique des gardes'!$P28,'Historique des gardes'!$L28+'Historique des gardes'!$N28+'Historique des gardes'!$P28))</f>
        <v>38.5</v>
      </c>
      <c r="T28" s="108" t="s">
        <v>117</v>
      </c>
      <c r="U28" s="71"/>
    </row>
    <row r="29" spans="1:21">
      <c r="A29" s="113">
        <v>42684</v>
      </c>
      <c r="B29" s="72" t="s">
        <v>128</v>
      </c>
      <c r="C29" s="71" t="s">
        <v>84</v>
      </c>
      <c r="D29" s="71" t="s">
        <v>43</v>
      </c>
      <c r="E29" s="94">
        <v>29</v>
      </c>
      <c r="F29" s="71" t="s">
        <v>124</v>
      </c>
      <c r="G29" s="71" t="s">
        <v>90</v>
      </c>
      <c r="H29" s="71" t="s">
        <v>103</v>
      </c>
      <c r="I29" s="71"/>
      <c r="J29" s="71"/>
      <c r="K29" s="94">
        <v>29</v>
      </c>
      <c r="L29" s="95"/>
      <c r="M29" s="71"/>
      <c r="N29" s="95"/>
      <c r="O29" s="71"/>
      <c r="P29" s="95">
        <v>29</v>
      </c>
      <c r="Q29" s="96">
        <v>42714</v>
      </c>
      <c r="R29" s="107">
        <v>42714</v>
      </c>
      <c r="S29" s="104">
        <f>IF('Historique des gardes'!$H29="","",IF(OR('Historique des gardes'!$H29="Bancontact",'Historique des gardes'!$H29="Cash"),'Historique des gardes'!$P29,'Historique des gardes'!$L29+'Historique des gardes'!$N29+'Historique des gardes'!$P29))</f>
        <v>29</v>
      </c>
      <c r="T29" s="108" t="s">
        <v>117</v>
      </c>
      <c r="U29" s="71"/>
    </row>
    <row r="30" spans="1:21">
      <c r="A30" s="113">
        <v>42684</v>
      </c>
      <c r="B30" s="72" t="s">
        <v>128</v>
      </c>
      <c r="C30" s="71" t="s">
        <v>84</v>
      </c>
      <c r="D30" s="71" t="s">
        <v>43</v>
      </c>
      <c r="E30" s="94">
        <v>29</v>
      </c>
      <c r="F30" s="71" t="s">
        <v>125</v>
      </c>
      <c r="G30" s="71" t="s">
        <v>96</v>
      </c>
      <c r="H30" s="71" t="s">
        <v>87</v>
      </c>
      <c r="I30" s="71"/>
      <c r="J30" s="71"/>
      <c r="K30" s="94">
        <v>29</v>
      </c>
      <c r="L30" s="95"/>
      <c r="M30" s="71"/>
      <c r="N30" s="95"/>
      <c r="O30" s="71"/>
      <c r="P30" s="95">
        <v>29</v>
      </c>
      <c r="Q30" s="96">
        <v>42714</v>
      </c>
      <c r="R30" s="107">
        <v>42714</v>
      </c>
      <c r="S30" s="104">
        <f>IF('Historique des gardes'!$H30="","",IF(OR('Historique des gardes'!$H30="Bancontact",'Historique des gardes'!$H30="Cash"),'Historique des gardes'!$P30,'Historique des gardes'!$L30+'Historique des gardes'!$N30+'Historique des gardes'!$P30))</f>
        <v>29</v>
      </c>
      <c r="T30" s="108" t="s">
        <v>117</v>
      </c>
      <c r="U30" s="71"/>
    </row>
    <row r="31" spans="1:21">
      <c r="A31" s="113">
        <v>42684</v>
      </c>
      <c r="B31" s="72" t="s">
        <v>128</v>
      </c>
      <c r="C31" s="71" t="s">
        <v>84</v>
      </c>
      <c r="D31" s="71" t="s">
        <v>43</v>
      </c>
      <c r="E31" s="94">
        <v>29</v>
      </c>
      <c r="F31" s="71" t="s">
        <v>126</v>
      </c>
      <c r="G31" s="71"/>
      <c r="H31" s="71" t="s">
        <v>93</v>
      </c>
      <c r="I31" s="71" t="s">
        <v>120</v>
      </c>
      <c r="J31" s="71" t="s">
        <v>149</v>
      </c>
      <c r="K31" s="94">
        <v>0</v>
      </c>
      <c r="L31" s="95">
        <v>1.5</v>
      </c>
      <c r="M31" s="96">
        <v>42713</v>
      </c>
      <c r="N31" s="95">
        <v>37</v>
      </c>
      <c r="O31" s="96">
        <v>42714</v>
      </c>
      <c r="P31" s="95"/>
      <c r="Q31" s="96"/>
      <c r="R31" s="107">
        <v>42714</v>
      </c>
      <c r="S31" s="104">
        <f>IF('Historique des gardes'!$H31="","",IF(OR('Historique des gardes'!$H31="Bancontact",'Historique des gardes'!$H31="Cash"),'Historique des gardes'!$P31,'Historique des gardes'!$L31+'Historique des gardes'!$N31+'Historique des gardes'!$P31))</f>
        <v>38.5</v>
      </c>
      <c r="T31" s="108" t="s">
        <v>117</v>
      </c>
      <c r="U31" s="71"/>
    </row>
    <row r="32" spans="1:21" ht="15" thickBot="1">
      <c r="A32" s="114">
        <v>42684</v>
      </c>
      <c r="B32" s="98" t="s">
        <v>128</v>
      </c>
      <c r="C32" s="99" t="s">
        <v>84</v>
      </c>
      <c r="D32" s="99" t="s">
        <v>43</v>
      </c>
      <c r="E32" s="100">
        <v>29</v>
      </c>
      <c r="F32" s="99" t="s">
        <v>127</v>
      </c>
      <c r="G32" s="99" t="s">
        <v>96</v>
      </c>
      <c r="H32" s="99" t="s">
        <v>87</v>
      </c>
      <c r="I32" s="99"/>
      <c r="J32" s="99"/>
      <c r="K32" s="100">
        <v>29</v>
      </c>
      <c r="L32" s="101"/>
      <c r="M32" s="99"/>
      <c r="N32" s="101"/>
      <c r="O32" s="99"/>
      <c r="P32" s="101">
        <v>29</v>
      </c>
      <c r="Q32" s="102">
        <v>42714</v>
      </c>
      <c r="R32" s="103">
        <v>42714</v>
      </c>
      <c r="S32" s="109">
        <f>IF('Historique des gardes'!$H32="","",IF(OR('Historique des gardes'!$H32="Bancontact",'Historique des gardes'!$H32="Cash"),'Historique des gardes'!$P32,'Historique des gardes'!$L32+'Historique des gardes'!$N32+'Historique des gardes'!$P32))</f>
        <v>29</v>
      </c>
      <c r="T32" s="110" t="s">
        <v>117</v>
      </c>
      <c r="U32" s="99"/>
    </row>
    <row r="33" spans="1:21">
      <c r="A33" s="113">
        <v>42691</v>
      </c>
      <c r="B33" s="72">
        <v>5</v>
      </c>
      <c r="C33" s="71" t="s">
        <v>84</v>
      </c>
      <c r="D33" s="69" t="s">
        <v>43</v>
      </c>
      <c r="E33" s="70">
        <v>29</v>
      </c>
      <c r="F33" s="69" t="s">
        <v>131</v>
      </c>
      <c r="G33" s="69" t="s">
        <v>90</v>
      </c>
      <c r="H33" s="69" t="s">
        <v>87</v>
      </c>
      <c r="I33" s="69"/>
      <c r="J33" s="69"/>
      <c r="K33" s="70">
        <v>29</v>
      </c>
      <c r="L33" s="77"/>
      <c r="M33" s="69"/>
      <c r="N33" s="77"/>
      <c r="O33" s="69"/>
      <c r="P33" s="77">
        <v>29</v>
      </c>
      <c r="Q33" s="84">
        <v>42716</v>
      </c>
      <c r="R33" s="107">
        <v>42716</v>
      </c>
      <c r="S33" s="104">
        <f>IF('Historique des gardes'!$H33="","",IF(OR('Historique des gardes'!$H33="Bancontact",'Historique des gardes'!$H33="Cash"),'Historique des gardes'!$P33,'Historique des gardes'!$L33+'Historique des gardes'!$N33+'Historique des gardes'!$P33))</f>
        <v>29</v>
      </c>
      <c r="T33" s="108" t="s">
        <v>117</v>
      </c>
      <c r="U33" s="69"/>
    </row>
    <row r="34" spans="1:21">
      <c r="A34" s="113">
        <v>42691</v>
      </c>
      <c r="B34" s="72">
        <v>5</v>
      </c>
      <c r="C34" s="71" t="s">
        <v>84</v>
      </c>
      <c r="D34" s="71" t="s">
        <v>43</v>
      </c>
      <c r="E34" s="94">
        <v>29</v>
      </c>
      <c r="F34" s="71" t="s">
        <v>132</v>
      </c>
      <c r="G34" s="71" t="s">
        <v>90</v>
      </c>
      <c r="H34" s="71" t="s">
        <v>87</v>
      </c>
      <c r="I34" s="71"/>
      <c r="J34" s="71"/>
      <c r="K34" s="94">
        <v>29</v>
      </c>
      <c r="L34" s="95"/>
      <c r="M34" s="71"/>
      <c r="N34" s="95"/>
      <c r="O34" s="71"/>
      <c r="P34" s="95">
        <v>29</v>
      </c>
      <c r="Q34" s="96">
        <v>42716</v>
      </c>
      <c r="R34" s="107">
        <v>42716</v>
      </c>
      <c r="S34" s="104">
        <f>IF('Historique des gardes'!$H34="","",IF(OR('Historique des gardes'!$H34="Bancontact",'Historique des gardes'!$H34="Cash"),'Historique des gardes'!$P34,'Historique des gardes'!$L34+'Historique des gardes'!$N34+'Historique des gardes'!$P34))</f>
        <v>29</v>
      </c>
      <c r="T34" s="108" t="s">
        <v>117</v>
      </c>
      <c r="U34" s="71"/>
    </row>
    <row r="35" spans="1:21">
      <c r="A35" s="113">
        <v>42691</v>
      </c>
      <c r="B35" s="72">
        <v>5</v>
      </c>
      <c r="C35" s="71" t="s">
        <v>84</v>
      </c>
      <c r="D35" s="71" t="s">
        <v>43</v>
      </c>
      <c r="E35" s="94">
        <v>29</v>
      </c>
      <c r="F35" s="71" t="s">
        <v>133</v>
      </c>
      <c r="G35" s="71" t="s">
        <v>96</v>
      </c>
      <c r="H35" s="71" t="s">
        <v>103</v>
      </c>
      <c r="I35" s="71"/>
      <c r="J35" s="71"/>
      <c r="K35" s="94">
        <v>29</v>
      </c>
      <c r="L35" s="95"/>
      <c r="M35" s="71"/>
      <c r="N35" s="95"/>
      <c r="O35" s="71"/>
      <c r="P35" s="95">
        <v>29</v>
      </c>
      <c r="Q35" s="96">
        <v>42716</v>
      </c>
      <c r="R35" s="107">
        <v>42716</v>
      </c>
      <c r="S35" s="104">
        <f>IF('Historique des gardes'!$H35="","",IF(OR('Historique des gardes'!$H35="Bancontact",'Historique des gardes'!$H35="Cash"),'Historique des gardes'!$P35,'Historique des gardes'!$L35+'Historique des gardes'!$N35+'Historique des gardes'!$P35))</f>
        <v>29</v>
      </c>
      <c r="T35" s="108" t="s">
        <v>117</v>
      </c>
      <c r="U35" s="71"/>
    </row>
    <row r="36" spans="1:21">
      <c r="A36" s="113">
        <v>42691</v>
      </c>
      <c r="B36" s="72">
        <v>5</v>
      </c>
      <c r="C36" s="71" t="s">
        <v>84</v>
      </c>
      <c r="D36" s="71" t="s">
        <v>43</v>
      </c>
      <c r="E36" s="94">
        <v>29</v>
      </c>
      <c r="F36" s="71" t="s">
        <v>134</v>
      </c>
      <c r="G36" s="71"/>
      <c r="H36" s="71" t="s">
        <v>93</v>
      </c>
      <c r="I36" s="71" t="s">
        <v>120</v>
      </c>
      <c r="J36" s="71" t="s">
        <v>92</v>
      </c>
      <c r="K36" s="94">
        <v>0</v>
      </c>
      <c r="L36" s="95">
        <v>1.5</v>
      </c>
      <c r="M36" s="96">
        <v>42715</v>
      </c>
      <c r="N36" s="95">
        <v>37</v>
      </c>
      <c r="O36" s="96">
        <v>42716</v>
      </c>
      <c r="P36" s="95"/>
      <c r="Q36" s="71"/>
      <c r="R36" s="107">
        <v>42716</v>
      </c>
      <c r="S36" s="104">
        <f>IF('Historique des gardes'!$H36="","",IF(OR('Historique des gardes'!$H36="Bancontact",'Historique des gardes'!$H36="Cash"),'Historique des gardes'!$P36,'Historique des gardes'!$L36+'Historique des gardes'!$N36+'Historique des gardes'!$P36))</f>
        <v>38.5</v>
      </c>
      <c r="T36" s="108" t="s">
        <v>117</v>
      </c>
      <c r="U36" s="71"/>
    </row>
    <row r="37" spans="1:21">
      <c r="A37" s="113">
        <v>42691</v>
      </c>
      <c r="B37" s="72">
        <v>5</v>
      </c>
      <c r="C37" s="71" t="s">
        <v>84</v>
      </c>
      <c r="D37" s="71" t="s">
        <v>43</v>
      </c>
      <c r="E37" s="94">
        <v>29</v>
      </c>
      <c r="F37" s="71" t="s">
        <v>135</v>
      </c>
      <c r="G37" s="71"/>
      <c r="H37" s="71" t="s">
        <v>93</v>
      </c>
      <c r="I37" s="71" t="s">
        <v>129</v>
      </c>
      <c r="J37" s="71" t="s">
        <v>92</v>
      </c>
      <c r="K37" s="94">
        <v>0</v>
      </c>
      <c r="L37" s="95">
        <v>1.5</v>
      </c>
      <c r="M37" s="96">
        <v>42715</v>
      </c>
      <c r="N37" s="95">
        <v>37</v>
      </c>
      <c r="O37" s="96">
        <v>42716</v>
      </c>
      <c r="P37" s="95"/>
      <c r="Q37" s="71"/>
      <c r="R37" s="107">
        <v>42716</v>
      </c>
      <c r="S37" s="104">
        <f>IF('Historique des gardes'!$H37="","",IF(OR('Historique des gardes'!$H37="Bancontact",'Historique des gardes'!$H37="Cash"),'Historique des gardes'!$P37,'Historique des gardes'!$L37+'Historique des gardes'!$N37+'Historique des gardes'!$P37))</f>
        <v>38.5</v>
      </c>
      <c r="T37" s="108" t="s">
        <v>117</v>
      </c>
      <c r="U37" s="71"/>
    </row>
    <row r="38" spans="1:21">
      <c r="A38" s="113">
        <v>42691</v>
      </c>
      <c r="B38" s="72">
        <v>5</v>
      </c>
      <c r="C38" s="71" t="s">
        <v>84</v>
      </c>
      <c r="D38" s="71" t="s">
        <v>43</v>
      </c>
      <c r="E38" s="94">
        <v>29</v>
      </c>
      <c r="F38" s="71" t="s">
        <v>136</v>
      </c>
      <c r="G38" s="71"/>
      <c r="H38" s="71" t="s">
        <v>93</v>
      </c>
      <c r="I38" s="71" t="s">
        <v>130</v>
      </c>
      <c r="J38" s="71" t="s">
        <v>92</v>
      </c>
      <c r="K38" s="94">
        <v>0</v>
      </c>
      <c r="L38" s="95">
        <v>2</v>
      </c>
      <c r="M38" s="96">
        <v>42715</v>
      </c>
      <c r="N38" s="95">
        <v>40</v>
      </c>
      <c r="O38" s="96">
        <v>42716</v>
      </c>
      <c r="P38" s="95"/>
      <c r="Q38" s="71"/>
      <c r="R38" s="107">
        <v>42716</v>
      </c>
      <c r="S38" s="104">
        <f>IF('Historique des gardes'!$H38="","",IF(OR('Historique des gardes'!$H38="Bancontact",'Historique des gardes'!$H38="Cash"),'Historique des gardes'!$P38,'Historique des gardes'!$L38+'Historique des gardes'!$N38+'Historique des gardes'!$P38))</f>
        <v>42</v>
      </c>
      <c r="T38" s="108" t="s">
        <v>117</v>
      </c>
      <c r="U38" s="71"/>
    </row>
    <row r="39" spans="1:21">
      <c r="A39" s="113">
        <v>42691</v>
      </c>
      <c r="B39" s="72">
        <v>5</v>
      </c>
      <c r="C39" s="71" t="s">
        <v>84</v>
      </c>
      <c r="D39" s="71" t="s">
        <v>43</v>
      </c>
      <c r="E39" s="94">
        <v>29</v>
      </c>
      <c r="F39" s="71" t="s">
        <v>137</v>
      </c>
      <c r="G39" s="71" t="s">
        <v>90</v>
      </c>
      <c r="H39" s="71" t="s">
        <v>103</v>
      </c>
      <c r="I39" s="71"/>
      <c r="J39" s="71"/>
      <c r="K39" s="94">
        <v>29</v>
      </c>
      <c r="L39" s="95"/>
      <c r="M39" s="71"/>
      <c r="N39" s="95"/>
      <c r="O39" s="71"/>
      <c r="P39" s="95">
        <v>29</v>
      </c>
      <c r="Q39" s="96">
        <v>42716</v>
      </c>
      <c r="R39" s="107">
        <v>42716</v>
      </c>
      <c r="S39" s="104">
        <f>IF('Historique des gardes'!$H39="","",IF(OR('Historique des gardes'!$H39="Bancontact",'Historique des gardes'!$H39="Cash"),'Historique des gardes'!$P39,'Historique des gardes'!$L39+'Historique des gardes'!$N39+'Historique des gardes'!$P39))</f>
        <v>29</v>
      </c>
      <c r="T39" s="108" t="s">
        <v>117</v>
      </c>
      <c r="U39" s="71"/>
    </row>
    <row r="40" spans="1:21" ht="15" thickBot="1">
      <c r="A40" s="114">
        <v>42691</v>
      </c>
      <c r="B40" s="98">
        <v>5</v>
      </c>
      <c r="C40" s="99" t="s">
        <v>84</v>
      </c>
      <c r="D40" s="99" t="s">
        <v>43</v>
      </c>
      <c r="E40" s="100">
        <v>29</v>
      </c>
      <c r="F40" s="99" t="s">
        <v>138</v>
      </c>
      <c r="G40" s="99"/>
      <c r="H40" s="99" t="s">
        <v>93</v>
      </c>
      <c r="I40" s="99" t="s">
        <v>94</v>
      </c>
      <c r="J40" s="99" t="s">
        <v>102</v>
      </c>
      <c r="K40" s="100">
        <v>0</v>
      </c>
      <c r="L40" s="101">
        <v>2</v>
      </c>
      <c r="M40" s="102">
        <v>42715</v>
      </c>
      <c r="N40" s="101">
        <v>40</v>
      </c>
      <c r="O40" s="102">
        <v>42716</v>
      </c>
      <c r="P40" s="101"/>
      <c r="Q40" s="99"/>
      <c r="R40" s="103">
        <v>42716</v>
      </c>
      <c r="S40" s="109">
        <f>IF('Historique des gardes'!$H40="","",IF(OR('Historique des gardes'!$H40="Bancontact",'Historique des gardes'!$H40="Cash"),'Historique des gardes'!$P40,'Historique des gardes'!$L40+'Historique des gardes'!$N40+'Historique des gardes'!$P40))</f>
        <v>42</v>
      </c>
      <c r="T40" s="110" t="s">
        <v>117</v>
      </c>
      <c r="U40" s="99"/>
    </row>
    <row r="41" spans="1:21">
      <c r="A41" s="113">
        <v>42698</v>
      </c>
      <c r="B41" s="72">
        <v>5</v>
      </c>
      <c r="C41" s="71" t="s">
        <v>84</v>
      </c>
      <c r="D41" s="69" t="s">
        <v>43</v>
      </c>
      <c r="E41" s="70">
        <v>29</v>
      </c>
      <c r="F41" s="69" t="s">
        <v>139</v>
      </c>
      <c r="G41" s="69" t="s">
        <v>90</v>
      </c>
      <c r="H41" s="69" t="s">
        <v>103</v>
      </c>
      <c r="I41" s="69"/>
      <c r="J41" s="69"/>
      <c r="K41" s="70">
        <v>29</v>
      </c>
      <c r="L41" s="77"/>
      <c r="M41" s="69"/>
      <c r="N41" s="77"/>
      <c r="O41" s="69"/>
      <c r="P41" s="77">
        <v>29</v>
      </c>
      <c r="Q41" s="84">
        <v>42718</v>
      </c>
      <c r="R41" s="107">
        <v>42718</v>
      </c>
      <c r="S41" s="104">
        <f>IF('Historique des gardes'!$H41="","",IF(OR('Historique des gardes'!$H41="Bancontact",'Historique des gardes'!$H41="Cash"),'Historique des gardes'!$P41,'Historique des gardes'!$L41+'Historique des gardes'!$N41+'Historique des gardes'!$P41))</f>
        <v>29</v>
      </c>
      <c r="T41" s="108" t="s">
        <v>117</v>
      </c>
      <c r="U41" s="69"/>
    </row>
    <row r="42" spans="1:21">
      <c r="A42" s="113">
        <v>42698</v>
      </c>
      <c r="B42" s="72">
        <v>5</v>
      </c>
      <c r="C42" s="71" t="s">
        <v>84</v>
      </c>
      <c r="D42" s="71" t="s">
        <v>43</v>
      </c>
      <c r="E42" s="94">
        <v>29</v>
      </c>
      <c r="F42" s="71" t="s">
        <v>140</v>
      </c>
      <c r="G42" s="71" t="s">
        <v>90</v>
      </c>
      <c r="H42" s="71" t="s">
        <v>87</v>
      </c>
      <c r="I42" s="71"/>
      <c r="J42" s="71"/>
      <c r="K42" s="94">
        <v>29</v>
      </c>
      <c r="L42" s="95"/>
      <c r="M42" s="71"/>
      <c r="N42" s="95"/>
      <c r="O42" s="71"/>
      <c r="P42" s="95">
        <v>29</v>
      </c>
      <c r="Q42" s="96">
        <v>42718</v>
      </c>
      <c r="R42" s="107">
        <v>42718</v>
      </c>
      <c r="S42" s="104">
        <f>IF('Historique des gardes'!$H42="","",IF(OR('Historique des gardes'!$H42="Bancontact",'Historique des gardes'!$H42="Cash"),'Historique des gardes'!$P42,'Historique des gardes'!$L42+'Historique des gardes'!$N42+'Historique des gardes'!$P42))</f>
        <v>29</v>
      </c>
      <c r="T42" s="108" t="s">
        <v>117</v>
      </c>
      <c r="U42" s="71"/>
    </row>
    <row r="43" spans="1:21">
      <c r="A43" s="113">
        <v>42698</v>
      </c>
      <c r="B43" s="72">
        <v>5</v>
      </c>
      <c r="C43" s="71" t="s">
        <v>84</v>
      </c>
      <c r="D43" s="71" t="s">
        <v>43</v>
      </c>
      <c r="E43" s="94">
        <v>29</v>
      </c>
      <c r="F43" s="71" t="s">
        <v>141</v>
      </c>
      <c r="G43" s="71"/>
      <c r="H43" s="71" t="s">
        <v>93</v>
      </c>
      <c r="I43" s="71" t="s">
        <v>120</v>
      </c>
      <c r="J43" s="71" t="s">
        <v>148</v>
      </c>
      <c r="K43" s="94">
        <v>0</v>
      </c>
      <c r="L43" s="95">
        <v>2</v>
      </c>
      <c r="M43" s="96">
        <v>42717</v>
      </c>
      <c r="N43" s="95"/>
      <c r="O43" s="71"/>
      <c r="P43" s="95"/>
      <c r="Q43" s="71"/>
      <c r="R43" s="107"/>
      <c r="S43" s="104">
        <f>IF('Historique des gardes'!$H43="","",IF(OR('Historique des gardes'!$H43="Bancontact",'Historique des gardes'!$H43="Cash"),'Historique des gardes'!$P43,'Historique des gardes'!$L43+'Historique des gardes'!$N43+'Historique des gardes'!$P43))</f>
        <v>2</v>
      </c>
      <c r="T43" s="108" t="s">
        <v>160</v>
      </c>
      <c r="U43" s="71"/>
    </row>
    <row r="44" spans="1:21">
      <c r="A44" s="113">
        <v>42698</v>
      </c>
      <c r="B44" s="72">
        <v>5</v>
      </c>
      <c r="C44" s="71" t="s">
        <v>84</v>
      </c>
      <c r="D44" s="71" t="s">
        <v>43</v>
      </c>
      <c r="E44" s="94">
        <v>29</v>
      </c>
      <c r="F44" s="71" t="s">
        <v>142</v>
      </c>
      <c r="G44" s="71"/>
      <c r="H44" s="71" t="s">
        <v>93</v>
      </c>
      <c r="I44" s="71" t="s">
        <v>129</v>
      </c>
      <c r="J44" s="71" t="s">
        <v>148</v>
      </c>
      <c r="K44" s="94">
        <v>0</v>
      </c>
      <c r="L44" s="95">
        <v>2</v>
      </c>
      <c r="M44" s="96">
        <v>42717</v>
      </c>
      <c r="N44" s="95">
        <v>42</v>
      </c>
      <c r="O44" s="96">
        <v>42718</v>
      </c>
      <c r="P44" s="95"/>
      <c r="Q44" s="71"/>
      <c r="R44" s="107">
        <v>42718</v>
      </c>
      <c r="S44" s="104">
        <f>IF('Historique des gardes'!$H44="","",IF(OR('Historique des gardes'!$H44="Bancontact",'Historique des gardes'!$H44="Cash"),'Historique des gardes'!$P44,'Historique des gardes'!$L44+'Historique des gardes'!$N44+'Historique des gardes'!$P44))</f>
        <v>44</v>
      </c>
      <c r="T44" s="108" t="s">
        <v>117</v>
      </c>
      <c r="U44" s="71"/>
    </row>
    <row r="45" spans="1:21">
      <c r="A45" s="113">
        <v>42698</v>
      </c>
      <c r="B45" s="72">
        <v>5</v>
      </c>
      <c r="C45" s="71" t="s">
        <v>84</v>
      </c>
      <c r="D45" s="71" t="s">
        <v>43</v>
      </c>
      <c r="E45" s="94">
        <v>29</v>
      </c>
      <c r="F45" s="71" t="s">
        <v>143</v>
      </c>
      <c r="G45" s="71" t="s">
        <v>96</v>
      </c>
      <c r="H45" s="71" t="s">
        <v>93</v>
      </c>
      <c r="I45" s="71" t="s">
        <v>130</v>
      </c>
      <c r="J45" s="71" t="s">
        <v>148</v>
      </c>
      <c r="K45" s="94">
        <v>0</v>
      </c>
      <c r="L45" s="95">
        <v>2</v>
      </c>
      <c r="M45" s="96">
        <v>42717</v>
      </c>
      <c r="N45" s="95">
        <v>42</v>
      </c>
      <c r="O45" s="96">
        <v>42718</v>
      </c>
      <c r="P45" s="95"/>
      <c r="Q45" s="71"/>
      <c r="R45" s="107">
        <v>42718</v>
      </c>
      <c r="S45" s="104">
        <f>IF('Historique des gardes'!$H45="","",IF(OR('Historique des gardes'!$H45="Bancontact",'Historique des gardes'!$H45="Cash"),'Historique des gardes'!$P45,'Historique des gardes'!$L45+'Historique des gardes'!$N45+'Historique des gardes'!$P45))</f>
        <v>44</v>
      </c>
      <c r="T45" s="108" t="s">
        <v>117</v>
      </c>
      <c r="U45" s="71"/>
    </row>
    <row r="46" spans="1:21">
      <c r="A46" s="113">
        <v>42698</v>
      </c>
      <c r="B46" s="72">
        <v>5</v>
      </c>
      <c r="C46" s="71" t="s">
        <v>84</v>
      </c>
      <c r="D46" s="71" t="s">
        <v>43</v>
      </c>
      <c r="E46" s="94">
        <v>29</v>
      </c>
      <c r="F46" s="71" t="s">
        <v>144</v>
      </c>
      <c r="G46" s="71" t="s">
        <v>147</v>
      </c>
      <c r="H46" s="71" t="s">
        <v>87</v>
      </c>
      <c r="I46" s="71"/>
      <c r="J46" s="71"/>
      <c r="K46" s="94">
        <v>29</v>
      </c>
      <c r="L46" s="95"/>
      <c r="M46" s="71"/>
      <c r="N46" s="95"/>
      <c r="O46" s="71"/>
      <c r="P46" s="95">
        <v>29</v>
      </c>
      <c r="Q46" s="96">
        <v>42718</v>
      </c>
      <c r="R46" s="107">
        <v>42718</v>
      </c>
      <c r="S46" s="104">
        <f>IF('Historique des gardes'!$H46="","",IF(OR('Historique des gardes'!$H46="Bancontact",'Historique des gardes'!$H46="Cash"),'Historique des gardes'!$P46,'Historique des gardes'!$L46+'Historique des gardes'!$N46+'Historique des gardes'!$P46))</f>
        <v>29</v>
      </c>
      <c r="T46" s="108" t="s">
        <v>117</v>
      </c>
      <c r="U46" s="71"/>
    </row>
    <row r="47" spans="1:21">
      <c r="A47" s="113">
        <v>42698</v>
      </c>
      <c r="B47" s="72">
        <v>5</v>
      </c>
      <c r="C47" s="71" t="s">
        <v>84</v>
      </c>
      <c r="D47" s="71" t="s">
        <v>43</v>
      </c>
      <c r="E47" s="94">
        <v>29</v>
      </c>
      <c r="F47" s="71" t="s">
        <v>145</v>
      </c>
      <c r="G47" s="71"/>
      <c r="H47" s="71" t="s">
        <v>93</v>
      </c>
      <c r="I47" s="71" t="s">
        <v>130</v>
      </c>
      <c r="J47" s="71" t="s">
        <v>149</v>
      </c>
      <c r="K47" s="94">
        <v>0</v>
      </c>
      <c r="L47" s="95">
        <v>2</v>
      </c>
      <c r="M47" s="96">
        <v>42717</v>
      </c>
      <c r="N47" s="95"/>
      <c r="O47" s="71"/>
      <c r="P47" s="95"/>
      <c r="Q47" s="71"/>
      <c r="R47" s="107"/>
      <c r="S47" s="104">
        <f>IF('Historique des gardes'!$H47="","",IF(OR('Historique des gardes'!$H47="Bancontact",'Historique des gardes'!$H47="Cash"),'Historique des gardes'!$P47,'Historique des gardes'!$L47+'Historique des gardes'!$N47+'Historique des gardes'!$P47))</f>
        <v>2</v>
      </c>
      <c r="T47" s="108" t="s">
        <v>160</v>
      </c>
      <c r="U47" s="71"/>
    </row>
    <row r="48" spans="1:21" ht="15" thickBot="1">
      <c r="A48" s="114">
        <v>42698</v>
      </c>
      <c r="B48" s="98">
        <v>5</v>
      </c>
      <c r="C48" s="99" t="s">
        <v>84</v>
      </c>
      <c r="D48" s="99" t="s">
        <v>43</v>
      </c>
      <c r="E48" s="100">
        <v>29</v>
      </c>
      <c r="F48" s="99" t="s">
        <v>146</v>
      </c>
      <c r="G48" s="99"/>
      <c r="H48" s="99" t="s">
        <v>87</v>
      </c>
      <c r="I48" s="99"/>
      <c r="J48" s="99"/>
      <c r="K48" s="100">
        <v>29</v>
      </c>
      <c r="L48" s="101"/>
      <c r="M48" s="99"/>
      <c r="N48" s="101"/>
      <c r="O48" s="99"/>
      <c r="P48" s="101">
        <v>29</v>
      </c>
      <c r="Q48" s="102">
        <v>42718</v>
      </c>
      <c r="R48" s="103">
        <v>42718</v>
      </c>
      <c r="S48" s="109">
        <f>IF('Historique des gardes'!$H48="","",IF(OR('Historique des gardes'!$H48="Bancontact",'Historique des gardes'!$H48="Cash"),'Historique des gardes'!$P48,'Historique des gardes'!$L48+'Historique des gardes'!$N48+'Historique des gardes'!$P48))</f>
        <v>29</v>
      </c>
      <c r="T48" s="110" t="s">
        <v>117</v>
      </c>
      <c r="U48" s="99"/>
    </row>
    <row r="49" spans="1:21">
      <c r="A49" s="113">
        <v>42704</v>
      </c>
      <c r="B49" s="72">
        <v>5</v>
      </c>
      <c r="C49" s="71" t="s">
        <v>84</v>
      </c>
      <c r="D49" s="69" t="s">
        <v>43</v>
      </c>
      <c r="E49" s="70">
        <v>29</v>
      </c>
      <c r="F49" s="69" t="s">
        <v>142</v>
      </c>
      <c r="G49" s="69" t="s">
        <v>90</v>
      </c>
      <c r="H49" s="69" t="s">
        <v>93</v>
      </c>
      <c r="I49" s="69" t="s">
        <v>94</v>
      </c>
      <c r="J49" s="69" t="s">
        <v>148</v>
      </c>
      <c r="K49" s="70">
        <v>0</v>
      </c>
      <c r="L49" s="77">
        <v>2</v>
      </c>
      <c r="M49" s="84">
        <v>42722</v>
      </c>
      <c r="N49" s="77">
        <v>40</v>
      </c>
      <c r="O49" s="84">
        <v>42724</v>
      </c>
      <c r="P49" s="77"/>
      <c r="Q49" s="69"/>
      <c r="R49" s="107">
        <v>42724</v>
      </c>
      <c r="S49" s="104">
        <f>IF('Historique des gardes'!$H49="","",IF(OR('Historique des gardes'!$H49="Bancontact",'Historique des gardes'!$H49="Cash"),'Historique des gardes'!$P49,'Historique des gardes'!$L49+'Historique des gardes'!$N49+'Historique des gardes'!$P49))</f>
        <v>42</v>
      </c>
      <c r="T49" s="108" t="s">
        <v>117</v>
      </c>
      <c r="U49" s="69"/>
    </row>
    <row r="50" spans="1:21">
      <c r="A50" s="113">
        <v>42704</v>
      </c>
      <c r="B50" s="72">
        <v>5</v>
      </c>
      <c r="C50" s="71" t="s">
        <v>84</v>
      </c>
      <c r="D50" s="71" t="s">
        <v>43</v>
      </c>
      <c r="E50" s="94">
        <v>29</v>
      </c>
      <c r="F50" s="71" t="s">
        <v>150</v>
      </c>
      <c r="G50" s="71" t="s">
        <v>90</v>
      </c>
      <c r="H50" s="71" t="s">
        <v>93</v>
      </c>
      <c r="I50" s="71" t="s">
        <v>158</v>
      </c>
      <c r="J50" s="71" t="s">
        <v>148</v>
      </c>
      <c r="K50" s="94">
        <v>0</v>
      </c>
      <c r="L50" s="95"/>
      <c r="M50" s="71"/>
      <c r="N50" s="95"/>
      <c r="O50" s="71"/>
      <c r="P50" s="95"/>
      <c r="Q50" s="71"/>
      <c r="R50" s="107"/>
      <c r="S50" s="104">
        <f>IF('Historique des gardes'!$H50="","",IF(OR('Historique des gardes'!$H50="Bancontact",'Historique des gardes'!$H50="Cash"),'Historique des gardes'!$P50,'Historique des gardes'!$L50+'Historique des gardes'!$N50+'Historique des gardes'!$P50))</f>
        <v>0</v>
      </c>
      <c r="T50" s="108" t="s">
        <v>161</v>
      </c>
      <c r="U50" s="71"/>
    </row>
    <row r="51" spans="1:21">
      <c r="A51" s="113">
        <v>42704</v>
      </c>
      <c r="B51" s="72">
        <v>5</v>
      </c>
      <c r="C51" s="71" t="s">
        <v>84</v>
      </c>
      <c r="D51" s="71" t="s">
        <v>43</v>
      </c>
      <c r="E51" s="94">
        <v>29</v>
      </c>
      <c r="F51" s="71" t="s">
        <v>151</v>
      </c>
      <c r="G51" s="71" t="s">
        <v>96</v>
      </c>
      <c r="H51" s="71" t="s">
        <v>93</v>
      </c>
      <c r="I51" s="71" t="s">
        <v>159</v>
      </c>
      <c r="J51" s="71" t="s">
        <v>148</v>
      </c>
      <c r="K51" s="94">
        <v>0</v>
      </c>
      <c r="L51" s="95">
        <v>1</v>
      </c>
      <c r="M51" s="96">
        <v>42722</v>
      </c>
      <c r="N51" s="95">
        <v>37</v>
      </c>
      <c r="O51" s="96">
        <v>42724</v>
      </c>
      <c r="P51" s="95"/>
      <c r="Q51" s="71"/>
      <c r="R51" s="107">
        <v>42724</v>
      </c>
      <c r="S51" s="104">
        <f>IF('Historique des gardes'!$H51="","",IF(OR('Historique des gardes'!$H51="Bancontact",'Historique des gardes'!$H51="Cash"),'Historique des gardes'!$P51,'Historique des gardes'!$L51+'Historique des gardes'!$N51+'Historique des gardes'!$P51))</f>
        <v>38</v>
      </c>
      <c r="T51" s="108" t="s">
        <v>117</v>
      </c>
      <c r="U51" s="71"/>
    </row>
    <row r="52" spans="1:21">
      <c r="A52" s="113">
        <v>42704</v>
      </c>
      <c r="B52" s="72">
        <v>5</v>
      </c>
      <c r="C52" s="71" t="s">
        <v>84</v>
      </c>
      <c r="D52" s="71" t="s">
        <v>43</v>
      </c>
      <c r="E52" s="94">
        <v>29</v>
      </c>
      <c r="F52" s="71" t="s">
        <v>152</v>
      </c>
      <c r="G52" s="71" t="s">
        <v>96</v>
      </c>
      <c r="H52" s="71" t="s">
        <v>93</v>
      </c>
      <c r="I52" s="71" t="s">
        <v>119</v>
      </c>
      <c r="J52" s="71" t="s">
        <v>149</v>
      </c>
      <c r="K52" s="94">
        <v>0</v>
      </c>
      <c r="L52" s="95"/>
      <c r="M52" s="71"/>
      <c r="N52" s="95"/>
      <c r="O52" s="71"/>
      <c r="P52" s="95"/>
      <c r="Q52" s="71"/>
      <c r="R52" s="107"/>
      <c r="S52" s="104">
        <f>IF('Historique des gardes'!$H52="","",IF(OR('Historique des gardes'!$H52="Bancontact",'Historique des gardes'!$H52="Cash"),'Historique des gardes'!$P52,'Historique des gardes'!$L52+'Historique des gardes'!$N52+'Historique des gardes'!$P52))</f>
        <v>0</v>
      </c>
      <c r="T52" s="108" t="s">
        <v>161</v>
      </c>
      <c r="U52" s="71"/>
    </row>
    <row r="53" spans="1:21">
      <c r="A53" s="113">
        <v>42704</v>
      </c>
      <c r="B53" s="72">
        <v>5</v>
      </c>
      <c r="C53" s="71" t="s">
        <v>84</v>
      </c>
      <c r="D53" s="71" t="s">
        <v>43</v>
      </c>
      <c r="E53" s="94">
        <v>29</v>
      </c>
      <c r="F53" s="71" t="s">
        <v>153</v>
      </c>
      <c r="G53" s="71" t="s">
        <v>157</v>
      </c>
      <c r="H53" s="71" t="s">
        <v>87</v>
      </c>
      <c r="I53" s="71"/>
      <c r="J53" s="71"/>
      <c r="K53" s="94">
        <v>29</v>
      </c>
      <c r="L53" s="95"/>
      <c r="M53" s="71"/>
      <c r="N53" s="95"/>
      <c r="O53" s="71"/>
      <c r="P53" s="95">
        <v>29</v>
      </c>
      <c r="Q53" s="96">
        <v>42724</v>
      </c>
      <c r="R53" s="107">
        <v>42724</v>
      </c>
      <c r="S53" s="104">
        <f>IF('Historique des gardes'!$H53="","",IF(OR('Historique des gardes'!$H53="Bancontact",'Historique des gardes'!$H53="Cash"),'Historique des gardes'!$P53,'Historique des gardes'!$L53+'Historique des gardes'!$N53+'Historique des gardes'!$P53))</f>
        <v>29</v>
      </c>
      <c r="T53" s="108" t="s">
        <v>117</v>
      </c>
      <c r="U53" s="71"/>
    </row>
    <row r="54" spans="1:21">
      <c r="A54" s="113">
        <v>42704</v>
      </c>
      <c r="B54" s="72">
        <v>5</v>
      </c>
      <c r="C54" s="71" t="s">
        <v>84</v>
      </c>
      <c r="D54" s="71" t="s">
        <v>43</v>
      </c>
      <c r="E54" s="94">
        <v>29</v>
      </c>
      <c r="F54" s="71" t="s">
        <v>154</v>
      </c>
      <c r="G54" s="71" t="s">
        <v>90</v>
      </c>
      <c r="H54" s="71" t="s">
        <v>87</v>
      </c>
      <c r="I54" s="71"/>
      <c r="J54" s="71"/>
      <c r="K54" s="94">
        <v>29</v>
      </c>
      <c r="L54" s="95"/>
      <c r="M54" s="71"/>
      <c r="N54" s="95"/>
      <c r="O54" s="71"/>
      <c r="P54" s="95">
        <v>29</v>
      </c>
      <c r="Q54" s="96">
        <v>42724</v>
      </c>
      <c r="R54" s="107">
        <v>42724</v>
      </c>
      <c r="S54" s="104">
        <f>IF('Historique des gardes'!$H54="","",IF(OR('Historique des gardes'!$H54="Bancontact",'Historique des gardes'!$H54="Cash"),'Historique des gardes'!$P54,'Historique des gardes'!$L54+'Historique des gardes'!$N54+'Historique des gardes'!$P54))</f>
        <v>29</v>
      </c>
      <c r="T54" s="108" t="s">
        <v>117</v>
      </c>
      <c r="U54" s="71"/>
    </row>
    <row r="55" spans="1:21">
      <c r="A55" s="113">
        <v>42704</v>
      </c>
      <c r="B55" s="72">
        <v>5</v>
      </c>
      <c r="C55" s="71" t="s">
        <v>84</v>
      </c>
      <c r="D55" s="71" t="s">
        <v>43</v>
      </c>
      <c r="E55" s="94">
        <v>29</v>
      </c>
      <c r="F55" s="71" t="s">
        <v>155</v>
      </c>
      <c r="G55" s="71" t="s">
        <v>157</v>
      </c>
      <c r="H55" s="71" t="s">
        <v>103</v>
      </c>
      <c r="I55" s="71"/>
      <c r="J55" s="71"/>
      <c r="K55" s="94">
        <v>29</v>
      </c>
      <c r="L55" s="95"/>
      <c r="M55" s="71"/>
      <c r="N55" s="95"/>
      <c r="O55" s="71"/>
      <c r="P55" s="95">
        <v>29</v>
      </c>
      <c r="Q55" s="96">
        <v>42724</v>
      </c>
      <c r="R55" s="107">
        <v>42724</v>
      </c>
      <c r="S55" s="104">
        <f>IF('Historique des gardes'!$H55="","",IF(OR('Historique des gardes'!$H55="Bancontact",'Historique des gardes'!$H55="Cash"),'Historique des gardes'!$P55,'Historique des gardes'!$L55+'Historique des gardes'!$N55+'Historique des gardes'!$P55))</f>
        <v>29</v>
      </c>
      <c r="T55" s="108" t="s">
        <v>117</v>
      </c>
      <c r="U55" s="71"/>
    </row>
    <row r="56" spans="1:21" ht="15" thickBot="1">
      <c r="A56" s="114">
        <v>42704</v>
      </c>
      <c r="B56" s="98">
        <v>5</v>
      </c>
      <c r="C56" s="99" t="s">
        <v>84</v>
      </c>
      <c r="D56" s="99" t="s">
        <v>43</v>
      </c>
      <c r="E56" s="100">
        <v>29</v>
      </c>
      <c r="F56" s="99" t="s">
        <v>156</v>
      </c>
      <c r="G56" s="99" t="s">
        <v>96</v>
      </c>
      <c r="H56" s="99" t="s">
        <v>103</v>
      </c>
      <c r="I56" s="99"/>
      <c r="J56" s="99"/>
      <c r="K56" s="100">
        <v>29</v>
      </c>
      <c r="L56" s="101"/>
      <c r="M56" s="99"/>
      <c r="N56" s="101"/>
      <c r="O56" s="99"/>
      <c r="P56" s="101">
        <v>29</v>
      </c>
      <c r="Q56" s="102">
        <v>42724</v>
      </c>
      <c r="R56" s="103">
        <v>42724</v>
      </c>
      <c r="S56" s="109">
        <f>IF('Historique des gardes'!$H56="","",IF(OR('Historique des gardes'!$H56="Bancontact",'Historique des gardes'!$H56="Cash"),'Historique des gardes'!$P56,'Historique des gardes'!$L56+'Historique des gardes'!$N56+'Historique des gardes'!$P56))</f>
        <v>29</v>
      </c>
      <c r="T56" s="110" t="s">
        <v>117</v>
      </c>
      <c r="U56" s="99"/>
    </row>
    <row r="57" spans="1:21">
      <c r="A57" s="113">
        <v>42406</v>
      </c>
      <c r="B57" s="72">
        <v>3</v>
      </c>
      <c r="C57" s="71" t="s">
        <v>22</v>
      </c>
      <c r="D57" s="69" t="s">
        <v>43</v>
      </c>
      <c r="E57" s="70">
        <v>29</v>
      </c>
      <c r="F57" s="69" t="s">
        <v>162</v>
      </c>
      <c r="G57" s="69" t="s">
        <v>90</v>
      </c>
      <c r="H57" s="69" t="s">
        <v>93</v>
      </c>
      <c r="I57" s="69" t="s">
        <v>94</v>
      </c>
      <c r="J57" s="69" t="s">
        <v>148</v>
      </c>
      <c r="K57" s="70">
        <v>2</v>
      </c>
      <c r="L57" s="77">
        <v>2</v>
      </c>
      <c r="M57" s="84">
        <v>42726</v>
      </c>
      <c r="N57" s="77"/>
      <c r="O57" s="69"/>
      <c r="P57" s="77"/>
      <c r="Q57" s="69"/>
      <c r="R57" s="107"/>
      <c r="S57" s="104">
        <f>IF('Historique des gardes'!$H57="","",IF(OR('Historique des gardes'!$H57="Bancontact",'Historique des gardes'!$H57="Cash"),'Historique des gardes'!$P57,'Historique des gardes'!$L57+'Historique des gardes'!$N57+'Historique des gardes'!$P57))</f>
        <v>2</v>
      </c>
      <c r="T57" s="108" t="s">
        <v>160</v>
      </c>
      <c r="U57" s="69"/>
    </row>
    <row r="58" spans="1:21">
      <c r="A58" s="113">
        <v>42406</v>
      </c>
      <c r="B58" s="72">
        <v>3</v>
      </c>
      <c r="C58" s="71" t="s">
        <v>22</v>
      </c>
      <c r="D58" s="71" t="s">
        <v>43</v>
      </c>
      <c r="E58" s="94">
        <v>29</v>
      </c>
      <c r="F58" s="71" t="s">
        <v>163</v>
      </c>
      <c r="G58" s="71" t="s">
        <v>90</v>
      </c>
      <c r="H58" s="71" t="s">
        <v>93</v>
      </c>
      <c r="I58" s="71" t="s">
        <v>158</v>
      </c>
      <c r="J58" s="71" t="s">
        <v>148</v>
      </c>
      <c r="K58" s="94">
        <v>0</v>
      </c>
      <c r="L58" s="95"/>
      <c r="M58" s="71"/>
      <c r="N58" s="95"/>
      <c r="O58" s="71"/>
      <c r="P58" s="95"/>
      <c r="Q58" s="71"/>
      <c r="R58" s="107"/>
      <c r="S58" s="104">
        <f>IF('Historique des gardes'!$H58="","",IF(OR('Historique des gardes'!$H58="Bancontact",'Historique des gardes'!$H58="Cash"),'Historique des gardes'!$P58,'Historique des gardes'!$L58+'Historique des gardes'!$N58+'Historique des gardes'!$P58))</f>
        <v>0</v>
      </c>
      <c r="T58" s="108" t="s">
        <v>161</v>
      </c>
      <c r="U58" s="71"/>
    </row>
    <row r="59" spans="1:21">
      <c r="A59" s="113">
        <v>42406</v>
      </c>
      <c r="B59" s="72">
        <v>3</v>
      </c>
      <c r="C59" s="71" t="s">
        <v>22</v>
      </c>
      <c r="D59" s="71" t="s">
        <v>43</v>
      </c>
      <c r="E59" s="94">
        <v>29</v>
      </c>
      <c r="F59" s="71" t="s">
        <v>164</v>
      </c>
      <c r="G59" s="71" t="s">
        <v>96</v>
      </c>
      <c r="H59" s="71" t="s">
        <v>93</v>
      </c>
      <c r="I59" s="71" t="s">
        <v>130</v>
      </c>
      <c r="J59" s="71" t="s">
        <v>148</v>
      </c>
      <c r="K59" s="94">
        <v>2</v>
      </c>
      <c r="L59" s="95">
        <v>2</v>
      </c>
      <c r="M59" s="96">
        <v>42716</v>
      </c>
      <c r="N59" s="95"/>
      <c r="O59" s="71"/>
      <c r="P59" s="95"/>
      <c r="Q59" s="71"/>
      <c r="R59" s="107"/>
      <c r="S59" s="104">
        <f>IF('Historique des gardes'!$H59="","",IF(OR('Historique des gardes'!$H59="Bancontact",'Historique des gardes'!$H59="Cash"),'Historique des gardes'!$P59,'Historique des gardes'!$L59+'Historique des gardes'!$N59+'Historique des gardes'!$P59))</f>
        <v>2</v>
      </c>
      <c r="T59" s="108" t="s">
        <v>160</v>
      </c>
      <c r="U59" s="71"/>
    </row>
    <row r="60" spans="1:21">
      <c r="A60" s="113">
        <v>42406</v>
      </c>
      <c r="B60" s="72">
        <v>3</v>
      </c>
      <c r="C60" s="71" t="s">
        <v>22</v>
      </c>
      <c r="D60" s="71" t="s">
        <v>61</v>
      </c>
      <c r="E60" s="94">
        <v>37</v>
      </c>
      <c r="F60" s="71" t="s">
        <v>165</v>
      </c>
      <c r="G60" s="71"/>
      <c r="H60" s="71" t="s">
        <v>93</v>
      </c>
      <c r="I60" s="71" t="s">
        <v>171</v>
      </c>
      <c r="J60" s="71" t="s">
        <v>149</v>
      </c>
      <c r="K60" s="94">
        <v>1.5</v>
      </c>
      <c r="L60" s="95">
        <v>1.5</v>
      </c>
      <c r="M60" s="96">
        <v>42726</v>
      </c>
      <c r="N60" s="95">
        <v>40</v>
      </c>
      <c r="O60" s="96">
        <v>42730</v>
      </c>
      <c r="P60" s="95"/>
      <c r="Q60" s="71"/>
      <c r="R60" s="107">
        <v>42730</v>
      </c>
      <c r="S60" s="104">
        <f>IF('Historique des gardes'!$H60="","",IF(OR('Historique des gardes'!$H60="Bancontact",'Historique des gardes'!$H60="Cash"),'Historique des gardes'!$P60,'Historique des gardes'!$L60+'Historique des gardes'!$N60+'Historique des gardes'!$P60))</f>
        <v>41.5</v>
      </c>
      <c r="T60" s="108" t="s">
        <v>117</v>
      </c>
      <c r="U60" s="71"/>
    </row>
    <row r="61" spans="1:21">
      <c r="A61" s="113">
        <v>42406</v>
      </c>
      <c r="B61" s="72">
        <v>3</v>
      </c>
      <c r="C61" s="71" t="s">
        <v>22</v>
      </c>
      <c r="D61" s="71" t="s">
        <v>61</v>
      </c>
      <c r="E61" s="94">
        <v>37</v>
      </c>
      <c r="F61" s="71" t="s">
        <v>166</v>
      </c>
      <c r="G61" s="71"/>
      <c r="H61" s="71" t="s">
        <v>93</v>
      </c>
      <c r="I61" s="71" t="s">
        <v>172</v>
      </c>
      <c r="J61" s="71"/>
      <c r="K61" s="94">
        <v>1.5</v>
      </c>
      <c r="L61" s="95">
        <v>1.5</v>
      </c>
      <c r="M61" s="96">
        <v>42726</v>
      </c>
      <c r="N61" s="95">
        <v>40</v>
      </c>
      <c r="O61" s="96">
        <v>42730</v>
      </c>
      <c r="P61" s="95"/>
      <c r="Q61" s="71"/>
      <c r="R61" s="107">
        <v>42730</v>
      </c>
      <c r="S61" s="104">
        <f>IF('Historique des gardes'!$H61="","",IF(OR('Historique des gardes'!$H61="Bancontact",'Historique des gardes'!$H61="Cash"),'Historique des gardes'!$P61,'Historique des gardes'!$L61+'Historique des gardes'!$N61+'Historique des gardes'!$P61))</f>
        <v>41.5</v>
      </c>
      <c r="T61" s="108" t="s">
        <v>117</v>
      </c>
      <c r="U61" s="71"/>
    </row>
    <row r="62" spans="1:21">
      <c r="A62" s="113">
        <v>42406</v>
      </c>
      <c r="B62" s="72">
        <v>3</v>
      </c>
      <c r="C62" s="71" t="s">
        <v>22</v>
      </c>
      <c r="D62" s="71" t="s">
        <v>54</v>
      </c>
      <c r="E62" s="94">
        <v>25</v>
      </c>
      <c r="F62" s="71" t="s">
        <v>167</v>
      </c>
      <c r="G62" s="71" t="s">
        <v>90</v>
      </c>
      <c r="H62" s="71" t="s">
        <v>87</v>
      </c>
      <c r="I62" s="71"/>
      <c r="J62" s="71"/>
      <c r="K62" s="94">
        <v>25</v>
      </c>
      <c r="L62" s="95"/>
      <c r="M62" s="71"/>
      <c r="N62" s="95"/>
      <c r="O62" s="71"/>
      <c r="P62" s="95">
        <v>25</v>
      </c>
      <c r="Q62" s="96">
        <v>42730</v>
      </c>
      <c r="R62" s="107">
        <v>42720</v>
      </c>
      <c r="S62" s="104">
        <f>IF('Historique des gardes'!$H62="","",IF(OR('Historique des gardes'!$H62="Bancontact",'Historique des gardes'!$H62="Cash"),'Historique des gardes'!$P62,'Historique des gardes'!$L62+'Historique des gardes'!$N62+'Historique des gardes'!$P62))</f>
        <v>25</v>
      </c>
      <c r="T62" s="108" t="s">
        <v>117</v>
      </c>
      <c r="U62" s="71"/>
    </row>
    <row r="63" spans="1:21">
      <c r="A63" s="113">
        <v>42406</v>
      </c>
      <c r="B63" s="72">
        <v>3</v>
      </c>
      <c r="C63" s="71" t="s">
        <v>22</v>
      </c>
      <c r="D63" s="71" t="s">
        <v>54</v>
      </c>
      <c r="E63" s="94">
        <v>25</v>
      </c>
      <c r="F63" s="71" t="s">
        <v>168</v>
      </c>
      <c r="G63" s="71" t="s">
        <v>170</v>
      </c>
      <c r="H63" s="71" t="s">
        <v>87</v>
      </c>
      <c r="I63" s="71"/>
      <c r="J63" s="71"/>
      <c r="K63" s="94">
        <v>25</v>
      </c>
      <c r="L63" s="95"/>
      <c r="M63" s="71"/>
      <c r="N63" s="95"/>
      <c r="O63" s="71"/>
      <c r="P63" s="95">
        <v>25</v>
      </c>
      <c r="Q63" s="96">
        <v>42730</v>
      </c>
      <c r="R63" s="107">
        <v>42730</v>
      </c>
      <c r="S63" s="104">
        <f>IF('Historique des gardes'!$H63="","",IF(OR('Historique des gardes'!$H63="Bancontact",'Historique des gardes'!$H63="Cash"),'Historique des gardes'!$P63,'Historique des gardes'!$L63+'Historique des gardes'!$N63+'Historique des gardes'!$P63))</f>
        <v>25</v>
      </c>
      <c r="T63" s="108" t="s">
        <v>117</v>
      </c>
      <c r="U63" s="71"/>
    </row>
    <row r="64" spans="1:21" ht="15" thickBot="1">
      <c r="A64" s="114">
        <v>42406</v>
      </c>
      <c r="B64" s="98">
        <v>3</v>
      </c>
      <c r="C64" s="99" t="s">
        <v>22</v>
      </c>
      <c r="D64" s="99" t="s">
        <v>54</v>
      </c>
      <c r="E64" s="100">
        <v>25</v>
      </c>
      <c r="F64" s="99" t="s">
        <v>169</v>
      </c>
      <c r="G64" s="99" t="s">
        <v>96</v>
      </c>
      <c r="H64" s="99" t="s">
        <v>103</v>
      </c>
      <c r="I64" s="99"/>
      <c r="J64" s="99"/>
      <c r="K64" s="100">
        <v>25</v>
      </c>
      <c r="L64" s="101"/>
      <c r="M64" s="99"/>
      <c r="N64" s="101"/>
      <c r="O64" s="99"/>
      <c r="P64" s="101">
        <v>25</v>
      </c>
      <c r="Q64" s="102">
        <v>42730</v>
      </c>
      <c r="R64" s="103">
        <v>42730</v>
      </c>
      <c r="S64" s="109">
        <f>IF('Historique des gardes'!$H64="","",IF(OR('Historique des gardes'!$H64="Bancontact",'Historique des gardes'!$H64="Cash"),'Historique des gardes'!$P64,'Historique des gardes'!$L64+'Historique des gardes'!$N64+'Historique des gardes'!$P64))</f>
        <v>25</v>
      </c>
      <c r="T64" s="110" t="s">
        <v>117</v>
      </c>
      <c r="U64" s="99"/>
    </row>
    <row r="65" spans="1:21">
      <c r="A65" s="113">
        <v>42717</v>
      </c>
      <c r="B65" s="72">
        <v>3</v>
      </c>
      <c r="C65" s="71" t="s">
        <v>85</v>
      </c>
      <c r="D65" s="69" t="s">
        <v>43</v>
      </c>
      <c r="E65" s="70">
        <v>29</v>
      </c>
      <c r="F65" s="69" t="s">
        <v>173</v>
      </c>
      <c r="G65" s="69" t="s">
        <v>90</v>
      </c>
      <c r="H65" s="69" t="s">
        <v>103</v>
      </c>
      <c r="I65" s="69"/>
      <c r="J65" s="69" t="s">
        <v>148</v>
      </c>
      <c r="K65" s="70">
        <v>29</v>
      </c>
      <c r="L65" s="77"/>
      <c r="M65" s="69"/>
      <c r="N65" s="77"/>
      <c r="O65" s="69"/>
      <c r="P65" s="77">
        <v>29</v>
      </c>
      <c r="Q65" s="84">
        <v>42734</v>
      </c>
      <c r="R65" s="107">
        <v>42734</v>
      </c>
      <c r="S65" s="104">
        <f>IF('Historique des gardes'!$H65="","",IF(OR('Historique des gardes'!$H65="Bancontact",'Historique des gardes'!$H65="Cash"),'Historique des gardes'!$P65,'Historique des gardes'!$L65+'Historique des gardes'!$N65+'Historique des gardes'!$P65))</f>
        <v>29</v>
      </c>
      <c r="T65" s="108" t="s">
        <v>117</v>
      </c>
      <c r="U65" s="69"/>
    </row>
    <row r="66" spans="1:21">
      <c r="A66" s="113">
        <v>42717</v>
      </c>
      <c r="B66" s="72">
        <v>3</v>
      </c>
      <c r="C66" s="71" t="s">
        <v>85</v>
      </c>
      <c r="D66" s="71" t="s">
        <v>43</v>
      </c>
      <c r="E66" s="94">
        <v>29</v>
      </c>
      <c r="F66" s="71" t="s">
        <v>174</v>
      </c>
      <c r="G66" s="71" t="s">
        <v>96</v>
      </c>
      <c r="H66" s="71" t="s">
        <v>103</v>
      </c>
      <c r="I66" s="71"/>
      <c r="J66" s="71" t="s">
        <v>148</v>
      </c>
      <c r="K66" s="94">
        <v>29</v>
      </c>
      <c r="L66" s="95"/>
      <c r="M66" s="71"/>
      <c r="N66" s="95"/>
      <c r="O66" s="71"/>
      <c r="P66" s="95">
        <v>29</v>
      </c>
      <c r="Q66" s="96">
        <v>42734</v>
      </c>
      <c r="R66" s="107">
        <v>42734</v>
      </c>
      <c r="S66" s="104">
        <f>IF('Historique des gardes'!$H66="","",IF(OR('Historique des gardes'!$H66="Bancontact",'Historique des gardes'!$H66="Cash"),'Historique des gardes'!$P66,'Historique des gardes'!$L66+'Historique des gardes'!$N66+'Historique des gardes'!$P66))</f>
        <v>29</v>
      </c>
      <c r="T66" s="108" t="s">
        <v>117</v>
      </c>
      <c r="U66" s="71"/>
    </row>
    <row r="67" spans="1:21">
      <c r="A67" s="113">
        <v>42717</v>
      </c>
      <c r="B67" s="72">
        <v>3</v>
      </c>
      <c r="C67" s="71" t="s">
        <v>85</v>
      </c>
      <c r="D67" s="71" t="s">
        <v>43</v>
      </c>
      <c r="E67" s="94">
        <v>29</v>
      </c>
      <c r="F67" s="71" t="s">
        <v>175</v>
      </c>
      <c r="G67" s="71" t="s">
        <v>96</v>
      </c>
      <c r="H67" s="71" t="s">
        <v>87</v>
      </c>
      <c r="I67" s="71"/>
      <c r="J67" s="71" t="s">
        <v>148</v>
      </c>
      <c r="K67" s="94">
        <v>29</v>
      </c>
      <c r="L67" s="95"/>
      <c r="M67" s="71"/>
      <c r="N67" s="95"/>
      <c r="O67" s="71"/>
      <c r="P67" s="95">
        <v>29</v>
      </c>
      <c r="Q67" s="96">
        <v>42734</v>
      </c>
      <c r="R67" s="107">
        <v>42734</v>
      </c>
      <c r="S67" s="104">
        <f>IF('Historique des gardes'!$H67="","",IF(OR('Historique des gardes'!$H67="Bancontact",'Historique des gardes'!$H67="Cash"),'Historique des gardes'!$P67,'Historique des gardes'!$L67+'Historique des gardes'!$N67+'Historique des gardes'!$P67))</f>
        <v>29</v>
      </c>
      <c r="T67" s="108" t="s">
        <v>117</v>
      </c>
      <c r="U67" s="71"/>
    </row>
    <row r="68" spans="1:21">
      <c r="A68" s="113">
        <v>42717</v>
      </c>
      <c r="B68" s="72">
        <v>3</v>
      </c>
      <c r="C68" s="71" t="s">
        <v>85</v>
      </c>
      <c r="D68" s="71" t="s">
        <v>43</v>
      </c>
      <c r="E68" s="94">
        <v>29</v>
      </c>
      <c r="F68" s="71" t="s">
        <v>176</v>
      </c>
      <c r="G68" s="71" t="s">
        <v>157</v>
      </c>
      <c r="H68" s="71" t="s">
        <v>87</v>
      </c>
      <c r="I68" s="71"/>
      <c r="J68" s="71" t="s">
        <v>148</v>
      </c>
      <c r="K68" s="94">
        <v>29</v>
      </c>
      <c r="L68" s="95"/>
      <c r="M68" s="71"/>
      <c r="N68" s="95"/>
      <c r="O68" s="71"/>
      <c r="P68" s="95">
        <v>29</v>
      </c>
      <c r="Q68" s="96">
        <v>42734</v>
      </c>
      <c r="R68" s="107">
        <v>42734</v>
      </c>
      <c r="S68" s="104">
        <f>IF('Historique des gardes'!$H68="","",IF(OR('Historique des gardes'!$H68="Bancontact",'Historique des gardes'!$H68="Cash"),'Historique des gardes'!$P68,'Historique des gardes'!$L68+'Historique des gardes'!$N68+'Historique des gardes'!$P68))</f>
        <v>29</v>
      </c>
      <c r="T68" s="108" t="s">
        <v>117</v>
      </c>
      <c r="U68" s="71"/>
    </row>
    <row r="69" spans="1:21">
      <c r="A69" s="113">
        <v>42717</v>
      </c>
      <c r="B69" s="72">
        <v>3</v>
      </c>
      <c r="C69" s="71" t="s">
        <v>85</v>
      </c>
      <c r="D69" s="71" t="s">
        <v>54</v>
      </c>
      <c r="E69" s="94">
        <v>25</v>
      </c>
      <c r="F69" s="71" t="s">
        <v>177</v>
      </c>
      <c r="G69" s="71" t="s">
        <v>90</v>
      </c>
      <c r="H69" s="71" t="s">
        <v>103</v>
      </c>
      <c r="I69" s="71"/>
      <c r="J69" s="71" t="s">
        <v>148</v>
      </c>
      <c r="K69" s="94">
        <v>25</v>
      </c>
      <c r="L69" s="95"/>
      <c r="M69" s="71"/>
      <c r="N69" s="95"/>
      <c r="O69" s="71"/>
      <c r="P69" s="95">
        <v>25</v>
      </c>
      <c r="Q69" s="96">
        <v>42734</v>
      </c>
      <c r="R69" s="107">
        <v>42734</v>
      </c>
      <c r="S69" s="104">
        <f>IF('Historique des gardes'!$H69="","",IF(OR('Historique des gardes'!$H69="Bancontact",'Historique des gardes'!$H69="Cash"),'Historique des gardes'!$P69,'Historique des gardes'!$L69+'Historique des gardes'!$N69+'Historique des gardes'!$P69))</f>
        <v>25</v>
      </c>
      <c r="T69" s="108" t="s">
        <v>117</v>
      </c>
      <c r="U69" s="71"/>
    </row>
    <row r="70" spans="1:21">
      <c r="A70" s="113">
        <v>42717</v>
      </c>
      <c r="B70" s="72">
        <v>3</v>
      </c>
      <c r="C70" s="71" t="s">
        <v>85</v>
      </c>
      <c r="D70" s="71" t="s">
        <v>43</v>
      </c>
      <c r="E70" s="94">
        <v>29</v>
      </c>
      <c r="F70" s="71" t="s">
        <v>178</v>
      </c>
      <c r="G70" s="71"/>
      <c r="H70" s="71" t="s">
        <v>93</v>
      </c>
      <c r="I70" s="71" t="s">
        <v>159</v>
      </c>
      <c r="J70" s="71" t="s">
        <v>149</v>
      </c>
      <c r="K70" s="94">
        <v>2</v>
      </c>
      <c r="L70" s="95">
        <v>2</v>
      </c>
      <c r="M70" s="96">
        <v>42732</v>
      </c>
      <c r="N70" s="95">
        <v>37</v>
      </c>
      <c r="O70" s="96">
        <v>42734</v>
      </c>
      <c r="P70" s="95"/>
      <c r="Q70" s="71"/>
      <c r="R70" s="107">
        <v>42734</v>
      </c>
      <c r="S70" s="104">
        <f>IF('Historique des gardes'!$H70="","",IF(OR('Historique des gardes'!$H70="Bancontact",'Historique des gardes'!$H70="Cash"),'Historique des gardes'!$P70,'Historique des gardes'!$L70+'Historique des gardes'!$N70+'Historique des gardes'!$P70))</f>
        <v>39</v>
      </c>
      <c r="T70" s="108" t="s">
        <v>117</v>
      </c>
      <c r="U70" s="71"/>
    </row>
    <row r="71" spans="1:21">
      <c r="A71" s="113">
        <v>42717</v>
      </c>
      <c r="B71" s="72">
        <v>3</v>
      </c>
      <c r="C71" s="71" t="s">
        <v>85</v>
      </c>
      <c r="D71" s="71" t="s">
        <v>56</v>
      </c>
      <c r="E71" s="94">
        <v>42</v>
      </c>
      <c r="F71" s="71" t="s">
        <v>142</v>
      </c>
      <c r="G71" s="71"/>
      <c r="H71" s="71" t="s">
        <v>93</v>
      </c>
      <c r="I71" s="71" t="s">
        <v>119</v>
      </c>
      <c r="J71" s="71" t="s">
        <v>149</v>
      </c>
      <c r="K71" s="94">
        <v>1.5</v>
      </c>
      <c r="L71" s="95">
        <v>1.5</v>
      </c>
      <c r="M71" s="96">
        <v>42732</v>
      </c>
      <c r="N71" s="95"/>
      <c r="O71" s="71"/>
      <c r="P71" s="95"/>
      <c r="Q71" s="71"/>
      <c r="R71" s="107"/>
      <c r="S71" s="104">
        <f>IF('Historique des gardes'!$H71="","",IF(OR('Historique des gardes'!$H71="Bancontact",'Historique des gardes'!$H71="Cash"),'Historique des gardes'!$P71,'Historique des gardes'!$L71+'Historique des gardes'!$N71+'Historique des gardes'!$P71))</f>
        <v>1.5</v>
      </c>
      <c r="T71" s="108" t="s">
        <v>160</v>
      </c>
      <c r="U71" s="71"/>
    </row>
    <row r="72" spans="1:21" ht="15" thickBot="1">
      <c r="A72" s="114">
        <v>42717</v>
      </c>
      <c r="B72" s="98">
        <v>3</v>
      </c>
      <c r="C72" s="99" t="s">
        <v>85</v>
      </c>
      <c r="D72" s="99" t="s">
        <v>55</v>
      </c>
      <c r="E72" s="100">
        <v>49</v>
      </c>
      <c r="F72" s="99" t="s">
        <v>179</v>
      </c>
      <c r="G72" s="99"/>
      <c r="H72" s="99" t="s">
        <v>93</v>
      </c>
      <c r="I72" s="99" t="s">
        <v>94</v>
      </c>
      <c r="J72" s="99" t="s">
        <v>149</v>
      </c>
      <c r="K72" s="100">
        <v>0</v>
      </c>
      <c r="L72" s="101"/>
      <c r="M72" s="99"/>
      <c r="N72" s="101"/>
      <c r="O72" s="99"/>
      <c r="P72" s="101"/>
      <c r="Q72" s="99"/>
      <c r="R72" s="103"/>
      <c r="S72" s="109">
        <f>IF('Historique des gardes'!$H72="","",IF(OR('Historique des gardes'!$H72="Bancontact",'Historique des gardes'!$H72="Cash"),'Historique des gardes'!$P72,'Historique des gardes'!$L72+'Historique des gardes'!$N72+'Historique des gardes'!$P72))</f>
        <v>0</v>
      </c>
      <c r="T72" s="110" t="s">
        <v>161</v>
      </c>
      <c r="U72" s="99"/>
    </row>
    <row r="73" spans="1:21">
      <c r="A73" s="113">
        <v>42370</v>
      </c>
      <c r="B73" s="72">
        <v>4</v>
      </c>
      <c r="C73" s="71" t="s">
        <v>84</v>
      </c>
      <c r="D73" s="69" t="s">
        <v>43</v>
      </c>
      <c r="E73" s="70">
        <v>29</v>
      </c>
      <c r="F73" s="69" t="s">
        <v>180</v>
      </c>
      <c r="G73" s="69" t="s">
        <v>90</v>
      </c>
      <c r="H73" s="69" t="s">
        <v>93</v>
      </c>
      <c r="I73" s="69" t="s">
        <v>94</v>
      </c>
      <c r="J73" s="69" t="s">
        <v>148</v>
      </c>
      <c r="K73" s="70">
        <v>2</v>
      </c>
      <c r="L73" s="77">
        <v>2</v>
      </c>
      <c r="M73" s="69"/>
      <c r="N73" s="77"/>
      <c r="O73" s="69"/>
      <c r="P73" s="77"/>
      <c r="Q73" s="69"/>
      <c r="R73" s="107"/>
      <c r="S73" s="104">
        <f>IF('Historique des gardes'!$H73="","",IF(OR('Historique des gardes'!$H73="Bancontact",'Historique des gardes'!$H73="Cash"),'Historique des gardes'!$P73,'Historique des gardes'!$L73+'Historique des gardes'!$N73+'Historique des gardes'!$P73))</f>
        <v>2</v>
      </c>
      <c r="T73" s="108"/>
      <c r="U73" s="69"/>
    </row>
    <row r="74" spans="1:21" ht="15" thickBot="1">
      <c r="A74" s="114">
        <v>42370</v>
      </c>
      <c r="B74" s="98">
        <v>4</v>
      </c>
      <c r="C74" s="99" t="s">
        <v>84</v>
      </c>
      <c r="D74" s="99" t="s">
        <v>43</v>
      </c>
      <c r="E74" s="100">
        <v>29</v>
      </c>
      <c r="F74" s="99" t="s">
        <v>181</v>
      </c>
      <c r="G74" s="99" t="s">
        <v>96</v>
      </c>
      <c r="H74" s="99" t="s">
        <v>103</v>
      </c>
      <c r="I74" s="99"/>
      <c r="J74" s="99" t="s">
        <v>149</v>
      </c>
      <c r="K74" s="100">
        <v>29</v>
      </c>
      <c r="L74" s="101"/>
      <c r="M74" s="99"/>
      <c r="N74" s="101"/>
      <c r="O74" s="99"/>
      <c r="P74" s="101"/>
      <c r="Q74" s="99"/>
      <c r="R74" s="103"/>
      <c r="S74" s="109">
        <f>IF('Historique des gardes'!$H74="","",IF(OR('Historique des gardes'!$H74="Bancontact",'Historique des gardes'!$H74="Cash"),'Historique des gardes'!$P74,'Historique des gardes'!$L74+'Historique des gardes'!$N74+'Historique des gardes'!$P74))</f>
        <v>0</v>
      </c>
      <c r="T74" s="110"/>
      <c r="U74" s="99"/>
    </row>
    <row r="75" spans="1:21">
      <c r="A75" s="113">
        <v>42371</v>
      </c>
      <c r="B75" s="72" t="s">
        <v>182</v>
      </c>
      <c r="C75" s="71" t="s">
        <v>22</v>
      </c>
      <c r="D75" s="69" t="s">
        <v>43</v>
      </c>
      <c r="E75" s="70">
        <v>29</v>
      </c>
      <c r="F75" s="69"/>
      <c r="G75" s="69"/>
      <c r="H75" s="69" t="s">
        <v>93</v>
      </c>
      <c r="I75" s="69" t="s">
        <v>94</v>
      </c>
      <c r="J75" s="69"/>
      <c r="K75" s="70">
        <v>0</v>
      </c>
      <c r="L75" s="77">
        <v>2</v>
      </c>
      <c r="M75" s="69"/>
      <c r="N75" s="77"/>
      <c r="O75" s="69"/>
      <c r="P75" s="77"/>
      <c r="Q75" s="69"/>
      <c r="R75" s="107"/>
      <c r="S75" s="104">
        <f>IF('Historique des gardes'!$H75="","",IF(OR('Historique des gardes'!$H75="Bancontact",'Historique des gardes'!$H75="Cash"),'Historique des gardes'!$P75,'Historique des gardes'!$L75+'Historique des gardes'!$N75+'Historique des gardes'!$P75))</f>
        <v>2</v>
      </c>
      <c r="T75" s="108"/>
      <c r="U75" s="69"/>
    </row>
    <row r="76" spans="1:21" ht="15" thickBot="1">
      <c r="A76" s="114">
        <v>42371</v>
      </c>
      <c r="B76" s="98" t="s">
        <v>182</v>
      </c>
      <c r="C76" s="99" t="s">
        <v>22</v>
      </c>
      <c r="D76" s="99" t="s">
        <v>54</v>
      </c>
      <c r="E76" s="100">
        <v>25</v>
      </c>
      <c r="F76" s="99"/>
      <c r="G76" s="99"/>
      <c r="H76" s="99" t="s">
        <v>87</v>
      </c>
      <c r="I76" s="99"/>
      <c r="J76" s="99"/>
      <c r="K76" s="100">
        <v>25</v>
      </c>
      <c r="L76" s="101"/>
      <c r="M76" s="99"/>
      <c r="N76" s="101"/>
      <c r="O76" s="99"/>
      <c r="P76" s="101"/>
      <c r="Q76" s="99"/>
      <c r="R76" s="103"/>
      <c r="S76" s="109">
        <f>IF('Historique des gardes'!$H76="","",IF(OR('Historique des gardes'!$H76="Bancontact",'Historique des gardes'!$H76="Cash"),'Historique des gardes'!$P76,'Historique des gardes'!$L76+'Historique des gardes'!$N76+'Historique des gardes'!$P76))</f>
        <v>0</v>
      </c>
      <c r="T76" s="110"/>
      <c r="U76" s="99"/>
    </row>
    <row r="77" spans="1:21">
      <c r="A77" s="113">
        <v>42675</v>
      </c>
      <c r="B77" s="72" t="s">
        <v>184</v>
      </c>
      <c r="C77" s="71" t="s">
        <v>75</v>
      </c>
      <c r="D77" s="69" t="s">
        <v>43</v>
      </c>
      <c r="E77" s="70">
        <v>29</v>
      </c>
      <c r="F77" s="69"/>
      <c r="G77" s="69"/>
      <c r="H77" s="69"/>
      <c r="I77" s="69"/>
      <c r="J77" s="69"/>
      <c r="K77" s="70">
        <v>29</v>
      </c>
      <c r="L77" s="77"/>
      <c r="M77" s="69"/>
      <c r="N77" s="77"/>
      <c r="O77" s="69"/>
      <c r="P77" s="77"/>
      <c r="Q77" s="120"/>
      <c r="R77" s="107"/>
      <c r="S77" s="104" t="str">
        <f>IF('Historique des gardes'!$H77="","",IF(OR('Historique des gardes'!$H77="Bancontact",'Historique des gardes'!$H77="Cash"),'Historique des gardes'!$P77,'Historique des gardes'!$L77+'Historique des gardes'!$N77+'Historique des gardes'!$P77))</f>
        <v/>
      </c>
      <c r="T77" s="108"/>
      <c r="U77" s="69"/>
    </row>
    <row r="78" spans="1:21" ht="15" thickBot="1">
      <c r="A78" s="112">
        <v>42675</v>
      </c>
      <c r="B78" s="127" t="s">
        <v>184</v>
      </c>
      <c r="C78" s="128" t="s">
        <v>75</v>
      </c>
      <c r="D78" s="128" t="s">
        <v>55</v>
      </c>
      <c r="E78" s="129">
        <v>49</v>
      </c>
      <c r="F78" s="128"/>
      <c r="G78" s="128"/>
      <c r="H78" s="128"/>
      <c r="I78" s="128"/>
      <c r="J78" s="128"/>
      <c r="K78" s="129">
        <v>49</v>
      </c>
      <c r="L78" s="130"/>
      <c r="M78" s="128"/>
      <c r="N78" s="130"/>
      <c r="O78" s="128"/>
      <c r="P78" s="130"/>
      <c r="Q78" s="128"/>
      <c r="R78" s="112"/>
      <c r="S78" s="131" t="str">
        <f>IF('Historique des gardes'!$H78="","",IF(OR('Historique des gardes'!$H78="Bancontact",'Historique des gardes'!$H78="Cash"),'Historique des gardes'!$P78,'Historique des gardes'!$L78+'Historique des gardes'!$N78+'Historique des gardes'!$P78))</f>
        <v/>
      </c>
      <c r="T78" s="128"/>
      <c r="U78" s="128"/>
    </row>
    <row r="79" spans="1:21" ht="15" thickBot="1">
      <c r="A79" s="132">
        <v>42401</v>
      </c>
      <c r="B79" s="133" t="s">
        <v>128</v>
      </c>
      <c r="C79" s="134" t="s">
        <v>192</v>
      </c>
      <c r="D79" s="134" t="s">
        <v>43</v>
      </c>
      <c r="E79" s="135">
        <v>29</v>
      </c>
      <c r="F79" s="134"/>
      <c r="G79" s="134"/>
      <c r="H79" s="134" t="s">
        <v>87</v>
      </c>
      <c r="I79" s="134"/>
      <c r="J79" s="134"/>
      <c r="K79" s="135">
        <v>29</v>
      </c>
      <c r="L79" s="136"/>
      <c r="M79" s="134"/>
      <c r="N79" s="136"/>
      <c r="O79" s="134"/>
      <c r="P79" s="136">
        <v>29</v>
      </c>
      <c r="Q79" s="137">
        <v>42709</v>
      </c>
      <c r="R79" s="137"/>
      <c r="S79" s="138">
        <f>IF('Historique des gardes'!$H79="","",IF(OR('Historique des gardes'!$H79="Bancontact",'Historique des gardes'!$H79="Cash"),'Historique des gardes'!$P79,'Historique des gardes'!$L79+'Historique des gardes'!$N79+'Historique des gardes'!$P79))</f>
        <v>29</v>
      </c>
      <c r="T79" s="139"/>
      <c r="U79" s="134"/>
    </row>
    <row r="80" spans="1:21">
      <c r="A80" s="126">
        <v>42370</v>
      </c>
      <c r="B80" s="72" t="s">
        <v>184</v>
      </c>
      <c r="C80" s="71" t="s">
        <v>22</v>
      </c>
      <c r="D80" s="69" t="s">
        <v>43</v>
      </c>
      <c r="E80" s="70">
        <v>29</v>
      </c>
      <c r="F80" s="69"/>
      <c r="G80" s="69"/>
      <c r="H80" s="69" t="s">
        <v>103</v>
      </c>
      <c r="I80" s="69"/>
      <c r="J80" s="69"/>
      <c r="K80" s="70">
        <v>29</v>
      </c>
      <c r="L80" s="77"/>
      <c r="M80" s="69"/>
      <c r="N80" s="77"/>
      <c r="O80" s="69"/>
      <c r="P80" s="77">
        <v>29</v>
      </c>
      <c r="Q80" s="107">
        <v>42709</v>
      </c>
      <c r="R80" s="107"/>
      <c r="S80" s="104">
        <f>IF('Historique des gardes'!$H80="","",IF(OR('Historique des gardes'!$H80="Bancontact",'Historique des gardes'!$H80="Cash"),'Historique des gardes'!$P80,'Historique des gardes'!$L80+'Historique des gardes'!$N80+'Historique des gardes'!$P80))</f>
        <v>29</v>
      </c>
      <c r="T80" s="108"/>
      <c r="U80" s="69"/>
    </row>
    <row r="81" spans="1:21">
      <c r="A81" s="126">
        <v>42370</v>
      </c>
      <c r="B81" s="72" t="s">
        <v>184</v>
      </c>
      <c r="C81" s="71" t="s">
        <v>22</v>
      </c>
      <c r="D81" s="71" t="s">
        <v>43</v>
      </c>
      <c r="E81" s="94">
        <v>29</v>
      </c>
      <c r="F81" s="71"/>
      <c r="G81" s="71"/>
      <c r="H81" s="71" t="s">
        <v>93</v>
      </c>
      <c r="I81" s="71"/>
      <c r="J81" s="71"/>
      <c r="K81" s="94">
        <v>29</v>
      </c>
      <c r="L81" s="95">
        <v>2</v>
      </c>
      <c r="M81" s="96">
        <v>42709</v>
      </c>
      <c r="N81" s="95"/>
      <c r="O81" s="71"/>
      <c r="P81" s="95"/>
      <c r="Q81" s="120"/>
      <c r="R81" s="107"/>
      <c r="S81" s="104">
        <f>IF('Historique des gardes'!$H81="","",IF(OR('Historique des gardes'!$H81="Bancontact",'Historique des gardes'!$H81="Cash"),'Historique des gardes'!$P81,'Historique des gardes'!$L81+'Historique des gardes'!$N81+'Historique des gardes'!$P81))</f>
        <v>2</v>
      </c>
      <c r="T81" s="108"/>
      <c r="U81" s="71"/>
    </row>
    <row r="82" spans="1:21">
      <c r="A82" s="126">
        <v>42370</v>
      </c>
      <c r="B82" s="72" t="s">
        <v>184</v>
      </c>
      <c r="C82" s="71" t="s">
        <v>22</v>
      </c>
      <c r="D82" s="71" t="s">
        <v>56</v>
      </c>
      <c r="E82" s="94">
        <v>42</v>
      </c>
      <c r="F82" s="71"/>
      <c r="G82" s="71"/>
      <c r="H82" s="71" t="s">
        <v>87</v>
      </c>
      <c r="I82" s="71"/>
      <c r="J82" s="71"/>
      <c r="K82" s="94">
        <v>42</v>
      </c>
      <c r="L82" s="95"/>
      <c r="M82" s="71"/>
      <c r="N82" s="95"/>
      <c r="O82" s="71"/>
      <c r="P82" s="95">
        <v>42</v>
      </c>
      <c r="Q82" s="107">
        <v>42709</v>
      </c>
      <c r="R82" s="107"/>
      <c r="S82" s="104">
        <f>IF('Historique des gardes'!$H82="","",IF(OR('Historique des gardes'!$H82="Bancontact",'Historique des gardes'!$H82="Cash"),'Historique des gardes'!$P82,'Historique des gardes'!$L82+'Historique des gardes'!$N82+'Historique des gardes'!$P82))</f>
        <v>42</v>
      </c>
      <c r="T82" s="108"/>
      <c r="U82" s="71"/>
    </row>
    <row r="83" spans="1:21" ht="15" thickBot="1">
      <c r="A83" s="140">
        <v>42370</v>
      </c>
      <c r="B83" s="98" t="s">
        <v>184</v>
      </c>
      <c r="C83" s="99" t="s">
        <v>22</v>
      </c>
      <c r="D83" s="99" t="s">
        <v>43</v>
      </c>
      <c r="E83" s="100">
        <v>29</v>
      </c>
      <c r="F83" s="99"/>
      <c r="G83" s="99"/>
      <c r="H83" s="99" t="s">
        <v>103</v>
      </c>
      <c r="I83" s="99"/>
      <c r="J83" s="99"/>
      <c r="K83" s="100">
        <v>29</v>
      </c>
      <c r="L83" s="101"/>
      <c r="M83" s="99"/>
      <c r="N83" s="101"/>
      <c r="O83" s="99"/>
      <c r="P83" s="101">
        <v>29</v>
      </c>
      <c r="Q83" s="103">
        <v>42709</v>
      </c>
      <c r="R83" s="103"/>
      <c r="S83" s="109">
        <f>IF('Historique des gardes'!$H83="","",IF(OR('Historique des gardes'!$H83="Bancontact",'Historique des gardes'!$H83="Cash"),'Historique des gardes'!$P83,'Historique des gardes'!$L83+'Historique des gardes'!$N83+'Historique des gardes'!$P83))</f>
        <v>29</v>
      </c>
      <c r="T83" s="110"/>
      <c r="U83" s="99"/>
    </row>
  </sheetData>
  <mergeCells count="1">
    <mergeCell ref="F1:F2"/>
  </mergeCells>
  <conditionalFormatting sqref="T6:T83">
    <cfRule type="cellIs" dxfId="37" priority="3" operator="equal">
      <formula>"Cloturé"</formula>
    </cfRule>
    <cfRule type="cellIs" dxfId="36" priority="4" operator="equal">
      <formula>Cloturé</formula>
    </cfRule>
  </conditionalFormatting>
  <conditionalFormatting sqref="A6:T83">
    <cfRule type="expression" dxfId="35" priority="1">
      <formula>OR($M6=$Q$2,$O6=$Q$2,$Q6=$Q$2)</formula>
    </cfRule>
  </conditionalFormatting>
  <dataValidations count="1">
    <dataValidation type="list" allowBlank="1" showInputMessage="1" showErrorMessage="1" sqref="T6:T83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pageSetup paperSize="9" orientation="portrait" horizontalDpi="4294967293" verticalDpi="4294967293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1:G77"/>
  <sheetViews>
    <sheetView workbookViewId="0">
      <selection activeCell="G10" sqref="G10"/>
    </sheetView>
  </sheetViews>
  <sheetFormatPr baseColWidth="10" defaultColWidth="9.1640625" defaultRowHeight="14" x14ac:dyDescent="0"/>
  <cols>
    <col min="1" max="2" width="16.5" customWidth="1"/>
    <col min="3" max="3" width="14" customWidth="1"/>
    <col min="5" max="5" width="24" customWidth="1"/>
    <col min="6" max="6" width="12.5" customWidth="1"/>
    <col min="7" max="7" width="15.83203125" customWidth="1"/>
  </cols>
  <sheetData>
    <row r="1" spans="1:7" ht="14.5" customHeight="1">
      <c r="A1" s="75"/>
      <c r="B1" s="74"/>
      <c r="C1" s="74"/>
    </row>
    <row r="2" spans="1:7" ht="18" customHeight="1">
      <c r="A2" s="74" t="s">
        <v>24</v>
      </c>
      <c r="B2" s="74"/>
      <c r="C2" s="74"/>
      <c r="F2" s="90" t="s">
        <v>2</v>
      </c>
      <c r="G2" s="111">
        <v>42704</v>
      </c>
    </row>
    <row r="3" spans="1:7" ht="14.5" customHeight="1">
      <c r="A3" s="74"/>
      <c r="B3" s="74"/>
      <c r="C3" s="74"/>
    </row>
    <row r="4" spans="1:7">
      <c r="A4" s="82" t="s">
        <v>2</v>
      </c>
      <c r="B4" s="82" t="s">
        <v>4</v>
      </c>
      <c r="C4" s="82" t="s">
        <v>25</v>
      </c>
      <c r="F4" s="90" t="s">
        <v>4</v>
      </c>
      <c r="G4" t="s">
        <v>83</v>
      </c>
    </row>
    <row r="5" spans="1:7">
      <c r="A5" s="80">
        <v>42703</v>
      </c>
      <c r="B5" s="73" t="s">
        <v>84</v>
      </c>
      <c r="C5" s="81">
        <v>37</v>
      </c>
      <c r="F5" t="s">
        <v>22</v>
      </c>
      <c r="G5" s="68">
        <v>148</v>
      </c>
    </row>
    <row r="6" spans="1:7">
      <c r="A6" s="86">
        <v>42719</v>
      </c>
      <c r="B6" s="88" t="s">
        <v>84</v>
      </c>
      <c r="C6" s="81">
        <v>37</v>
      </c>
      <c r="F6" t="s">
        <v>85</v>
      </c>
      <c r="G6" s="68">
        <v>203</v>
      </c>
    </row>
    <row r="7" spans="1:7">
      <c r="A7" s="87">
        <v>42703</v>
      </c>
      <c r="B7" s="89" t="s">
        <v>84</v>
      </c>
      <c r="C7" s="83">
        <v>49</v>
      </c>
      <c r="F7" t="s">
        <v>185</v>
      </c>
      <c r="G7" s="68">
        <v>351</v>
      </c>
    </row>
    <row r="8" spans="1:7">
      <c r="A8" s="87">
        <v>42703</v>
      </c>
      <c r="B8" s="89" t="s">
        <v>84</v>
      </c>
      <c r="C8" s="83">
        <v>49</v>
      </c>
    </row>
    <row r="9" spans="1:7">
      <c r="A9" s="87">
        <v>42703</v>
      </c>
      <c r="B9" s="89" t="s">
        <v>84</v>
      </c>
      <c r="C9" s="83">
        <v>49</v>
      </c>
    </row>
    <row r="10" spans="1:7">
      <c r="A10" s="87">
        <v>42703</v>
      </c>
      <c r="B10" s="89" t="s">
        <v>84</v>
      </c>
      <c r="C10" s="83">
        <v>49</v>
      </c>
    </row>
    <row r="11" spans="1:7">
      <c r="A11" s="87">
        <v>42703</v>
      </c>
      <c r="B11" s="89" t="s">
        <v>84</v>
      </c>
      <c r="C11" s="83">
        <v>49</v>
      </c>
    </row>
    <row r="12" spans="1:7">
      <c r="A12" s="87">
        <v>42704</v>
      </c>
      <c r="B12" s="89" t="s">
        <v>85</v>
      </c>
      <c r="C12" s="83">
        <v>55</v>
      </c>
    </row>
    <row r="13" spans="1:7">
      <c r="A13" s="87">
        <v>42704</v>
      </c>
      <c r="B13" s="89" t="s">
        <v>85</v>
      </c>
      <c r="C13" s="83">
        <v>37</v>
      </c>
    </row>
    <row r="14" spans="1:7">
      <c r="A14" s="87"/>
      <c r="B14" s="89" t="s">
        <v>85</v>
      </c>
      <c r="C14" s="83">
        <v>2</v>
      </c>
    </row>
    <row r="15" spans="1:7">
      <c r="A15" s="87"/>
      <c r="B15" s="89" t="s">
        <v>85</v>
      </c>
      <c r="C15" s="83">
        <v>2</v>
      </c>
    </row>
    <row r="16" spans="1:7">
      <c r="A16" s="87"/>
      <c r="B16" s="89" t="s">
        <v>85</v>
      </c>
      <c r="C16" s="83">
        <v>37</v>
      </c>
    </row>
    <row r="17" spans="1:3">
      <c r="A17" s="87">
        <v>42704</v>
      </c>
      <c r="B17" s="89" t="s">
        <v>85</v>
      </c>
      <c r="C17" s="83">
        <v>37</v>
      </c>
    </row>
    <row r="18" spans="1:3">
      <c r="A18" s="87">
        <v>42704</v>
      </c>
      <c r="B18" s="89" t="s">
        <v>85</v>
      </c>
      <c r="C18" s="83">
        <v>37</v>
      </c>
    </row>
    <row r="19" spans="1:3">
      <c r="A19" s="87">
        <v>42704</v>
      </c>
      <c r="B19" s="89" t="s">
        <v>85</v>
      </c>
      <c r="C19" s="83">
        <v>37</v>
      </c>
    </row>
    <row r="20" spans="1:3">
      <c r="A20" s="87">
        <v>42704</v>
      </c>
      <c r="B20" s="89" t="s">
        <v>22</v>
      </c>
      <c r="C20" s="83">
        <v>37</v>
      </c>
    </row>
    <row r="21" spans="1:3">
      <c r="A21" s="87">
        <v>42704</v>
      </c>
      <c r="B21" s="89" t="s">
        <v>22</v>
      </c>
      <c r="C21" s="83">
        <v>37</v>
      </c>
    </row>
    <row r="22" spans="1:3">
      <c r="A22" s="87">
        <v>42704</v>
      </c>
      <c r="B22" s="89" t="s">
        <v>22</v>
      </c>
      <c r="C22" s="83">
        <v>37</v>
      </c>
    </row>
    <row r="23" spans="1:3">
      <c r="A23" s="87"/>
      <c r="B23" s="89" t="s">
        <v>22</v>
      </c>
      <c r="C23" s="83">
        <v>0</v>
      </c>
    </row>
    <row r="24" spans="1:3">
      <c r="A24" s="87">
        <v>42704</v>
      </c>
      <c r="B24" s="89" t="s">
        <v>22</v>
      </c>
      <c r="C24" s="83">
        <v>37</v>
      </c>
    </row>
    <row r="25" spans="1:3">
      <c r="A25" s="87">
        <v>42714</v>
      </c>
      <c r="B25" s="89" t="s">
        <v>84</v>
      </c>
      <c r="C25" s="83">
        <v>50</v>
      </c>
    </row>
    <row r="26" spans="1:3">
      <c r="A26" s="87">
        <v>42714</v>
      </c>
      <c r="B26" s="89" t="s">
        <v>84</v>
      </c>
      <c r="C26" s="83">
        <v>39</v>
      </c>
    </row>
    <row r="27" spans="1:3">
      <c r="A27" s="87">
        <v>42714</v>
      </c>
      <c r="B27" s="89" t="s">
        <v>84</v>
      </c>
      <c r="C27" s="83">
        <v>38.5</v>
      </c>
    </row>
    <row r="28" spans="1:3">
      <c r="A28" s="87">
        <v>42714</v>
      </c>
      <c r="B28" s="89" t="s">
        <v>84</v>
      </c>
      <c r="C28" s="83">
        <v>29</v>
      </c>
    </row>
    <row r="29" spans="1:3">
      <c r="A29" s="87">
        <v>42714</v>
      </c>
      <c r="B29" s="89" t="s">
        <v>84</v>
      </c>
      <c r="C29" s="83">
        <v>29</v>
      </c>
    </row>
    <row r="30" spans="1:3">
      <c r="A30" s="86">
        <v>42714</v>
      </c>
      <c r="B30" s="88" t="s">
        <v>84</v>
      </c>
      <c r="C30" s="81">
        <v>38.5</v>
      </c>
    </row>
    <row r="31" spans="1:3">
      <c r="A31" s="87">
        <v>42714</v>
      </c>
      <c r="B31" s="89" t="s">
        <v>84</v>
      </c>
      <c r="C31" s="83">
        <v>29</v>
      </c>
    </row>
    <row r="32" spans="1:3">
      <c r="A32" s="87">
        <v>42716</v>
      </c>
      <c r="B32" s="89" t="s">
        <v>84</v>
      </c>
      <c r="C32" s="83">
        <v>29</v>
      </c>
    </row>
    <row r="33" spans="1:3">
      <c r="A33" s="86">
        <v>42716</v>
      </c>
      <c r="B33" s="88" t="s">
        <v>84</v>
      </c>
      <c r="C33" s="81">
        <v>29</v>
      </c>
    </row>
    <row r="34" spans="1:3">
      <c r="A34" s="87">
        <v>42716</v>
      </c>
      <c r="B34" s="89" t="s">
        <v>84</v>
      </c>
      <c r="C34" s="83">
        <v>29</v>
      </c>
    </row>
    <row r="35" spans="1:3">
      <c r="A35" s="87">
        <v>42716</v>
      </c>
      <c r="B35" s="89" t="s">
        <v>84</v>
      </c>
      <c r="C35" s="83">
        <v>38.5</v>
      </c>
    </row>
    <row r="36" spans="1:3">
      <c r="A36" s="86">
        <v>42716</v>
      </c>
      <c r="B36" s="88" t="s">
        <v>84</v>
      </c>
      <c r="C36" s="81">
        <v>38.5</v>
      </c>
    </row>
    <row r="37" spans="1:3">
      <c r="A37" s="87">
        <v>42716</v>
      </c>
      <c r="B37" s="89" t="s">
        <v>84</v>
      </c>
      <c r="C37" s="83">
        <v>42</v>
      </c>
    </row>
    <row r="38" spans="1:3">
      <c r="A38" s="87">
        <v>42716</v>
      </c>
      <c r="B38" s="89" t="s">
        <v>84</v>
      </c>
      <c r="C38" s="83">
        <v>29</v>
      </c>
    </row>
    <row r="39" spans="1:3">
      <c r="A39" s="87">
        <v>42716</v>
      </c>
      <c r="B39" s="89" t="s">
        <v>84</v>
      </c>
      <c r="C39" s="83">
        <v>42</v>
      </c>
    </row>
    <row r="40" spans="1:3">
      <c r="A40" s="87">
        <v>42718</v>
      </c>
      <c r="B40" s="89" t="s">
        <v>84</v>
      </c>
      <c r="C40" s="83">
        <v>29</v>
      </c>
    </row>
    <row r="41" spans="1:3">
      <c r="A41" s="87">
        <v>42718</v>
      </c>
      <c r="B41" s="89" t="s">
        <v>84</v>
      </c>
      <c r="C41" s="83">
        <v>29</v>
      </c>
    </row>
    <row r="42" spans="1:3">
      <c r="A42" s="87"/>
      <c r="B42" s="89" t="s">
        <v>84</v>
      </c>
      <c r="C42" s="83">
        <v>2</v>
      </c>
    </row>
    <row r="43" spans="1:3">
      <c r="A43" s="87">
        <v>42718</v>
      </c>
      <c r="B43" s="89" t="s">
        <v>84</v>
      </c>
      <c r="C43" s="83">
        <v>44</v>
      </c>
    </row>
    <row r="44" spans="1:3">
      <c r="A44" s="87">
        <v>42718</v>
      </c>
      <c r="B44" s="89" t="s">
        <v>84</v>
      </c>
      <c r="C44" s="83">
        <v>44</v>
      </c>
    </row>
    <row r="45" spans="1:3">
      <c r="A45" s="87">
        <v>42718</v>
      </c>
      <c r="B45" s="89" t="s">
        <v>84</v>
      </c>
      <c r="C45" s="83">
        <v>29</v>
      </c>
    </row>
    <row r="46" spans="1:3">
      <c r="A46" s="87"/>
      <c r="B46" s="89" t="s">
        <v>84</v>
      </c>
      <c r="C46" s="83">
        <v>2</v>
      </c>
    </row>
    <row r="47" spans="1:3">
      <c r="A47" s="87">
        <v>42718</v>
      </c>
      <c r="B47" s="89" t="s">
        <v>84</v>
      </c>
      <c r="C47" s="83">
        <v>29</v>
      </c>
    </row>
    <row r="48" spans="1:3">
      <c r="A48" s="87">
        <v>42724</v>
      </c>
      <c r="B48" s="89" t="s">
        <v>84</v>
      </c>
      <c r="C48" s="83">
        <v>42</v>
      </c>
    </row>
    <row r="49" spans="1:3">
      <c r="A49" s="87"/>
      <c r="B49" s="89" t="s">
        <v>84</v>
      </c>
      <c r="C49" s="83">
        <v>0</v>
      </c>
    </row>
    <row r="50" spans="1:3">
      <c r="A50" s="87">
        <v>42724</v>
      </c>
      <c r="B50" s="89" t="s">
        <v>84</v>
      </c>
      <c r="C50" s="83">
        <v>38</v>
      </c>
    </row>
    <row r="51" spans="1:3">
      <c r="A51" s="87"/>
      <c r="B51" s="89" t="s">
        <v>84</v>
      </c>
      <c r="C51" s="83">
        <v>0</v>
      </c>
    </row>
    <row r="52" spans="1:3">
      <c r="A52" s="87">
        <v>42724</v>
      </c>
      <c r="B52" s="89" t="s">
        <v>84</v>
      </c>
      <c r="C52" s="83">
        <v>29</v>
      </c>
    </row>
    <row r="53" spans="1:3">
      <c r="A53" s="87">
        <v>42724</v>
      </c>
      <c r="B53" s="89" t="s">
        <v>84</v>
      </c>
      <c r="C53" s="83">
        <v>29</v>
      </c>
    </row>
    <row r="54" spans="1:3">
      <c r="A54" s="87">
        <v>42724</v>
      </c>
      <c r="B54" s="89" t="s">
        <v>84</v>
      </c>
      <c r="C54" s="83">
        <v>29</v>
      </c>
    </row>
    <row r="55" spans="1:3">
      <c r="A55" s="87">
        <v>42724</v>
      </c>
      <c r="B55" s="89" t="s">
        <v>84</v>
      </c>
      <c r="C55" s="83">
        <v>29</v>
      </c>
    </row>
    <row r="56" spans="1:3">
      <c r="A56" s="87"/>
      <c r="B56" s="89" t="s">
        <v>22</v>
      </c>
      <c r="C56" s="83">
        <v>2</v>
      </c>
    </row>
    <row r="57" spans="1:3">
      <c r="A57" s="87"/>
      <c r="B57" s="89" t="s">
        <v>22</v>
      </c>
      <c r="C57" s="83">
        <v>0</v>
      </c>
    </row>
    <row r="58" spans="1:3">
      <c r="A58" s="87"/>
      <c r="B58" s="89" t="s">
        <v>22</v>
      </c>
      <c r="C58" s="83">
        <v>2</v>
      </c>
    </row>
    <row r="59" spans="1:3">
      <c r="A59" s="87">
        <v>42730</v>
      </c>
      <c r="B59" s="89" t="s">
        <v>22</v>
      </c>
      <c r="C59" s="83">
        <v>41.5</v>
      </c>
    </row>
    <row r="60" spans="1:3">
      <c r="A60" s="87">
        <v>42730</v>
      </c>
      <c r="B60" s="89" t="s">
        <v>22</v>
      </c>
      <c r="C60" s="83">
        <v>41.5</v>
      </c>
    </row>
    <row r="61" spans="1:3">
      <c r="A61" s="87">
        <v>42720</v>
      </c>
      <c r="B61" s="89" t="s">
        <v>22</v>
      </c>
      <c r="C61" s="83">
        <v>25</v>
      </c>
    </row>
    <row r="62" spans="1:3">
      <c r="A62" s="87">
        <v>42730</v>
      </c>
      <c r="B62" s="89" t="s">
        <v>22</v>
      </c>
      <c r="C62" s="83">
        <v>25</v>
      </c>
    </row>
    <row r="63" spans="1:3">
      <c r="A63" s="87">
        <v>42730</v>
      </c>
      <c r="B63" s="89" t="s">
        <v>22</v>
      </c>
      <c r="C63" s="83">
        <v>25</v>
      </c>
    </row>
    <row r="64" spans="1:3">
      <c r="A64" s="87">
        <v>42734</v>
      </c>
      <c r="B64" s="89" t="s">
        <v>85</v>
      </c>
      <c r="C64" s="83">
        <v>29</v>
      </c>
    </row>
    <row r="65" spans="1:3">
      <c r="A65" s="87">
        <v>42734</v>
      </c>
      <c r="B65" s="89" t="s">
        <v>85</v>
      </c>
      <c r="C65" s="83">
        <v>29</v>
      </c>
    </row>
    <row r="66" spans="1:3">
      <c r="A66" s="87">
        <v>42734</v>
      </c>
      <c r="B66" s="89" t="s">
        <v>85</v>
      </c>
      <c r="C66" s="83">
        <v>29</v>
      </c>
    </row>
    <row r="67" spans="1:3">
      <c r="A67" s="87">
        <v>42734</v>
      </c>
      <c r="B67" s="89" t="s">
        <v>85</v>
      </c>
      <c r="C67" s="83">
        <v>29</v>
      </c>
    </row>
    <row r="68" spans="1:3">
      <c r="A68" s="87">
        <v>42734</v>
      </c>
      <c r="B68" s="89" t="s">
        <v>85</v>
      </c>
      <c r="C68" s="83">
        <v>25</v>
      </c>
    </row>
    <row r="69" spans="1:3">
      <c r="A69" s="87">
        <v>42734</v>
      </c>
      <c r="B69" s="89" t="s">
        <v>85</v>
      </c>
      <c r="C69" s="83">
        <v>39</v>
      </c>
    </row>
    <row r="70" spans="1:3">
      <c r="A70" s="87"/>
      <c r="B70" s="89" t="s">
        <v>85</v>
      </c>
      <c r="C70" s="83">
        <v>1.5</v>
      </c>
    </row>
    <row r="71" spans="1:3">
      <c r="A71" s="87"/>
      <c r="B71" s="89" t="s">
        <v>85</v>
      </c>
      <c r="C71" s="83">
        <v>0</v>
      </c>
    </row>
    <row r="72" spans="1:3">
      <c r="A72" s="86"/>
      <c r="B72" s="88" t="s">
        <v>84</v>
      </c>
      <c r="C72" s="81">
        <v>2</v>
      </c>
    </row>
    <row r="73" spans="1:3">
      <c r="A73" s="87"/>
      <c r="B73" s="89" t="s">
        <v>84</v>
      </c>
      <c r="C73" s="83">
        <v>0</v>
      </c>
    </row>
    <row r="74" spans="1:3">
      <c r="A74" s="87"/>
      <c r="B74" s="89" t="s">
        <v>22</v>
      </c>
      <c r="C74" s="83">
        <v>2</v>
      </c>
    </row>
    <row r="75" spans="1:3">
      <c r="A75" s="87"/>
      <c r="B75" s="89" t="s">
        <v>22</v>
      </c>
      <c r="C75" s="83">
        <v>0</v>
      </c>
    </row>
    <row r="76" spans="1:3">
      <c r="A76" s="87"/>
      <c r="B76" s="89" t="s">
        <v>75</v>
      </c>
      <c r="C76" s="83"/>
    </row>
    <row r="77" spans="1:3">
      <c r="A77" s="87"/>
      <c r="B77" s="89" t="s">
        <v>75</v>
      </c>
      <c r="C77" s="83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Check Box 2">
              <controlPr defaultSize="0" autoFill="0" autoLine="0" autoPict="0" macro="[0]!Macro1">
                <anchor moveWithCells="1">
                  <from>
                    <xdr:col>2</xdr:col>
                    <xdr:colOff>673100</xdr:colOff>
                    <xdr:row>1</xdr:row>
                    <xdr:rowOff>25400</xdr:rowOff>
                  </from>
                  <to>
                    <xdr:col>3</xdr:col>
                    <xdr:colOff>50800</xdr:colOff>
                    <xdr:row>2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5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K14"/>
  <sheetViews>
    <sheetView tabSelected="1" workbookViewId="0">
      <selection activeCell="C18" sqref="C18"/>
    </sheetView>
  </sheetViews>
  <sheetFormatPr baseColWidth="10" defaultRowHeight="14" x14ac:dyDescent="0"/>
  <cols>
    <col min="1" max="1" width="20.1640625" customWidth="1"/>
    <col min="2" max="2" width="27.5" customWidth="1"/>
    <col min="4" max="4" width="20.83203125" customWidth="1"/>
    <col min="5" max="5" width="27.5" customWidth="1"/>
    <col min="7" max="7" width="21.6640625" customWidth="1"/>
    <col min="8" max="8" width="28.6640625" customWidth="1"/>
    <col min="10" max="10" width="18" customWidth="1"/>
  </cols>
  <sheetData>
    <row r="1" spans="1:11">
      <c r="A1" s="151" t="s">
        <v>189</v>
      </c>
      <c r="B1" s="151"/>
      <c r="C1" s="151"/>
      <c r="D1" s="151"/>
      <c r="E1" s="151"/>
      <c r="F1" s="151"/>
      <c r="G1" s="151"/>
      <c r="H1" s="151"/>
    </row>
    <row r="2" spans="1:11">
      <c r="A2" s="151"/>
      <c r="B2" s="151"/>
      <c r="C2" s="151"/>
      <c r="D2" s="151"/>
      <c r="E2" s="151"/>
      <c r="F2" s="151"/>
      <c r="G2" s="151"/>
      <c r="H2" s="151"/>
    </row>
    <row r="3" spans="1:11">
      <c r="A3" s="151"/>
      <c r="B3" s="151"/>
      <c r="C3" s="151"/>
      <c r="D3" s="151"/>
      <c r="E3" s="151"/>
      <c r="F3" s="151"/>
      <c r="G3" s="151"/>
      <c r="H3" s="151"/>
    </row>
    <row r="5" spans="1:11">
      <c r="A5" s="90" t="s">
        <v>13</v>
      </c>
      <c r="B5" s="111">
        <v>42709</v>
      </c>
      <c r="D5" s="90" t="s">
        <v>15</v>
      </c>
      <c r="E5" t="s">
        <v>193</v>
      </c>
      <c r="G5" s="90" t="s">
        <v>17</v>
      </c>
      <c r="H5" s="111">
        <v>42709</v>
      </c>
    </row>
    <row r="7" spans="1:11">
      <c r="A7" s="90" t="s">
        <v>183</v>
      </c>
      <c r="B7" t="s">
        <v>186</v>
      </c>
      <c r="D7" s="90" t="s">
        <v>183</v>
      </c>
      <c r="E7" t="s">
        <v>187</v>
      </c>
      <c r="G7" s="90" t="s">
        <v>183</v>
      </c>
      <c r="H7" t="s">
        <v>188</v>
      </c>
      <c r="J7" t="s">
        <v>183</v>
      </c>
      <c r="K7" t="s">
        <v>191</v>
      </c>
    </row>
    <row r="8" spans="1:11">
      <c r="A8" s="115" t="s">
        <v>22</v>
      </c>
      <c r="B8" s="68">
        <v>2</v>
      </c>
      <c r="D8" s="115" t="s">
        <v>75</v>
      </c>
      <c r="E8" s="68"/>
      <c r="G8" s="115" t="s">
        <v>22</v>
      </c>
      <c r="H8" s="68">
        <v>100</v>
      </c>
      <c r="J8" t="s">
        <v>75</v>
      </c>
      <c r="K8" s="125">
        <f t="shared" ref="K8:K14" si="0">IF(ISERROR(GETPIVOTDATA($A$7,"Total " &amp; J8)),0,GETPIVOTDATA($A$7,"Total " &amp; J8))+IF(ISERROR(GETPIVOTDATA($D$7,"Total " &amp; J8)),0,GETPIVOTDATA($D$7,"Total " &amp; J8))+IF(ISERROR(GETPIVOTDATA($G$7,"Total " &amp; J8)),0,GETPIVOTDATA($G$7,"Total " &amp; J8))</f>
        <v>0</v>
      </c>
    </row>
    <row r="9" spans="1:11">
      <c r="A9" s="115" t="s">
        <v>185</v>
      </c>
      <c r="B9" s="68">
        <v>2</v>
      </c>
      <c r="D9" s="115" t="s">
        <v>22</v>
      </c>
      <c r="E9" s="68"/>
      <c r="G9" s="115" t="s">
        <v>192</v>
      </c>
      <c r="H9" s="68">
        <v>29</v>
      </c>
      <c r="J9" t="s">
        <v>22</v>
      </c>
      <c r="K9" s="125">
        <f t="shared" si="0"/>
        <v>102</v>
      </c>
    </row>
    <row r="10" spans="1:11">
      <c r="D10" s="115" t="s">
        <v>84</v>
      </c>
      <c r="E10" s="68"/>
      <c r="G10" s="115" t="s">
        <v>185</v>
      </c>
      <c r="H10" s="68">
        <v>129</v>
      </c>
      <c r="J10" s="92" t="s">
        <v>84</v>
      </c>
      <c r="K10" s="125">
        <f t="shared" si="0"/>
        <v>0</v>
      </c>
    </row>
    <row r="11" spans="1:11">
      <c r="D11" s="115" t="s">
        <v>85</v>
      </c>
      <c r="E11" s="68"/>
      <c r="J11" t="s">
        <v>23</v>
      </c>
      <c r="K11" s="125">
        <f t="shared" si="0"/>
        <v>0</v>
      </c>
    </row>
    <row r="12" spans="1:11">
      <c r="D12" s="115" t="s">
        <v>192</v>
      </c>
      <c r="E12" s="68"/>
      <c r="J12" s="92" t="s">
        <v>131</v>
      </c>
      <c r="K12" s="125">
        <f t="shared" si="0"/>
        <v>0</v>
      </c>
    </row>
    <row r="13" spans="1:11">
      <c r="D13" s="115" t="s">
        <v>185</v>
      </c>
      <c r="E13" s="68"/>
      <c r="J13" s="92" t="s">
        <v>192</v>
      </c>
      <c r="K13" s="125">
        <f t="shared" si="0"/>
        <v>29</v>
      </c>
    </row>
    <row r="14" spans="1:11">
      <c r="J14" s="92" t="s">
        <v>85</v>
      </c>
      <c r="K14" s="125">
        <f t="shared" si="0"/>
        <v>0</v>
      </c>
    </row>
  </sheetData>
  <mergeCells count="1">
    <mergeCell ref="A1:H3"/>
  </mergeCells>
  <pageMargins left="0.7" right="0.7" top="0.75" bottom="0.75" header="0.3" footer="0.3"/>
  <drawing r:id="rId4"/>
  <tableParts count="1">
    <tablePart r:id="rId5"/>
  </tablePart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6097E3-5D05-40C9-BE1E-81B4D0AE2F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 des medecins</vt:lpstr>
      <vt:lpstr>Encodage des gardes</vt:lpstr>
      <vt:lpstr>Historique des gardes</vt:lpstr>
      <vt:lpstr>Paiement des médecins</vt:lpstr>
      <vt:lpstr>Montants à verser aux médecins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Djn</cp:lastModifiedBy>
  <dcterms:created xsi:type="dcterms:W3CDTF">2006-09-16T00:00:00Z</dcterms:created>
  <dcterms:modified xsi:type="dcterms:W3CDTF">2016-12-05T17:21:46Z</dcterms:modified>
</cp:coreProperties>
</file>